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mc:AlternateContent xmlns:mc="http://schemas.openxmlformats.org/markup-compatibility/2006">
    <mc:Choice Requires="x15">
      <x15ac:absPath xmlns:x15ac="http://schemas.microsoft.com/office/spreadsheetml/2010/11/ac" url="H:\PSC Report with wages\"/>
    </mc:Choice>
  </mc:AlternateContent>
  <xr:revisionPtr revIDLastSave="0" documentId="13_ncr:1_{F6DA47EF-13A6-4A94-8EFC-E61755D96E84}" xr6:coauthVersionLast="47" xr6:coauthVersionMax="47" xr10:uidLastSave="{00000000-0000-0000-0000-000000000000}"/>
  <bookViews>
    <workbookView xWindow="28680" yWindow="-120" windowWidth="29040" windowHeight="15840" tabRatio="936" firstSheet="1" activeTab="2" xr2:uid="{00000000-000D-0000-FFFF-FFFF00000000}"/>
  </bookViews>
  <sheets>
    <sheet name="Readme" sheetId="1" r:id="rId1"/>
    <sheet name="Data sheet" sheetId="2" r:id="rId2"/>
    <sheet name="Cover" sheetId="3" r:id="rId3"/>
    <sheet name="Instructions" sheetId="4" r:id="rId4"/>
    <sheet name="Schedules" sheetId="5" r:id="rId5"/>
    <sheet name="101" sheetId="6" r:id="rId6"/>
    <sheet name="102103" sheetId="7" r:id="rId7"/>
    <sheet name="104105" sheetId="8" r:id="rId8"/>
    <sheet name="106107" sheetId="9" r:id="rId9"/>
    <sheet name="108109" sheetId="10" r:id="rId10"/>
    <sheet name="110" sheetId="83" r:id="rId11"/>
    <sheet name="111113" sheetId="11" r:id="rId12"/>
    <sheet name="114115" sheetId="12" r:id="rId13"/>
    <sheet name="116119" sheetId="13" r:id="rId14"/>
    <sheet name="120121" sheetId="14" r:id="rId15"/>
    <sheet name="122123" sheetId="15" r:id="rId16"/>
    <sheet name="124125" sheetId="16" r:id="rId17"/>
    <sheet name="200201" sheetId="17" r:id="rId18"/>
    <sheet name="202205" sheetId="18" r:id="rId19"/>
    <sheet name="206" sheetId="19" r:id="rId20"/>
    <sheet name="206a" sheetId="111" r:id="rId21"/>
    <sheet name="206b" sheetId="110" r:id="rId22"/>
    <sheet name="206c" sheetId="129" r:id="rId23"/>
    <sheet name="206d" sheetId="192" r:id="rId24"/>
    <sheet name="206e" sheetId="191" r:id="rId25"/>
    <sheet name="206f" sheetId="190" r:id="rId26"/>
    <sheet name="207" sheetId="20" r:id="rId27"/>
    <sheet name="208" sheetId="21" r:id="rId28"/>
    <sheet name="209" sheetId="22" r:id="rId29"/>
    <sheet name="210" sheetId="23" r:id="rId30"/>
    <sheet name="211" sheetId="24" r:id="rId31"/>
    <sheet name="212" sheetId="25" r:id="rId32"/>
    <sheet name="213" sheetId="26" r:id="rId33"/>
    <sheet name="214" sheetId="27" r:id="rId34"/>
    <sheet name="215" sheetId="28" r:id="rId35"/>
    <sheet name="216" sheetId="29" r:id="rId36"/>
    <sheet name="217" sheetId="30" r:id="rId37"/>
    <sheet name="250251" sheetId="31" r:id="rId38"/>
    <sheet name="252" sheetId="32" r:id="rId39"/>
    <sheet name="253" sheetId="33" r:id="rId40"/>
    <sheet name="254" sheetId="34" r:id="rId41"/>
    <sheet name="255" sheetId="35" r:id="rId42"/>
    <sheet name="256257" sheetId="36" r:id="rId43"/>
    <sheet name="258260" sheetId="37" r:id="rId44"/>
    <sheet name="261" sheetId="38" r:id="rId45"/>
    <sheet name="262263" sheetId="39" r:id="rId46"/>
    <sheet name="264265" sheetId="40" r:id="rId47"/>
    <sheet name="266" sheetId="41" r:id="rId48"/>
    <sheet name="267" sheetId="42" r:id="rId49"/>
    <sheet name="300" sheetId="43" r:id="rId50"/>
    <sheet name="301" sheetId="44" r:id="rId51"/>
    <sheet name="302304" sheetId="45" r:id="rId52"/>
    <sheet name="305" sheetId="46" r:id="rId53"/>
    <sheet name="306" sheetId="47" r:id="rId54"/>
    <sheet name="307309" sheetId="48" r:id="rId55"/>
    <sheet name="310" sheetId="49" r:id="rId56"/>
    <sheet name="311312" sheetId="50" r:id="rId57"/>
    <sheet name="313" sheetId="51" r:id="rId58"/>
    <sheet name="314" sheetId="52" r:id="rId59"/>
    <sheet name="315" sheetId="53" r:id="rId60"/>
    <sheet name="316" sheetId="54" r:id="rId61"/>
    <sheet name="317" sheetId="55" r:id="rId62"/>
    <sheet name="318320" sheetId="56" r:id="rId63"/>
    <sheet name="321" sheetId="57" r:id="rId64"/>
    <sheet name="350351" sheetId="58" r:id="rId65"/>
    <sheet name="352353" sheetId="59" r:id="rId66"/>
    <sheet name="354" sheetId="60" r:id="rId67"/>
    <sheet name="355356" sheetId="61" r:id="rId68"/>
    <sheet name="357358" sheetId="62" r:id="rId69"/>
    <sheet name="359360" sheetId="63" r:id="rId70"/>
    <sheet name="359a360a" sheetId="117" r:id="rId71"/>
    <sheet name="359b360b" sheetId="170" r:id="rId72"/>
    <sheet name="361362" sheetId="64" r:id="rId73"/>
    <sheet name="361a362a" sheetId="133" r:id="rId74"/>
    <sheet name="361b362b" sheetId="173" r:id="rId75"/>
    <sheet name="363" sheetId="65" r:id="rId76"/>
    <sheet name="363a" sheetId="151" r:id="rId77"/>
    <sheet name="363b" sheetId="174" r:id="rId78"/>
    <sheet name="364" sheetId="66" r:id="rId79"/>
    <sheet name="364a" sheetId="118" r:id="rId80"/>
    <sheet name="364b" sheetId="176" r:id="rId81"/>
    <sheet name="365" sheetId="67" r:id="rId82"/>
    <sheet name="365a" sheetId="119" r:id="rId83"/>
    <sheet name="365b" sheetId="178" r:id="rId84"/>
    <sheet name="366" sheetId="68" r:id="rId85"/>
    <sheet name="366a" sheetId="127" r:id="rId86"/>
    <sheet name="366 b" sheetId="193" r:id="rId87"/>
    <sheet name="367" sheetId="69" r:id="rId88"/>
    <sheet name="367a" sheetId="128" r:id="rId89"/>
    <sheet name="400" sheetId="70" r:id="rId90"/>
    <sheet name="401" sheetId="71" r:id="rId91"/>
    <sheet name="402" sheetId="72" r:id="rId92"/>
    <sheet name="402a" sheetId="85" r:id="rId93"/>
    <sheet name="402b" sheetId="154" r:id="rId94"/>
    <sheet name="402c" sheetId="84" r:id="rId95"/>
    <sheet name="402d" sheetId="155" r:id="rId96"/>
    <sheet name="403404" sheetId="73" r:id="rId97"/>
    <sheet name="404a" sheetId="89" r:id="rId98"/>
    <sheet name="404b" sheetId="88" r:id="rId99"/>
    <sheet name="404c" sheetId="87" r:id="rId100"/>
    <sheet name="404d" sheetId="86" r:id="rId101"/>
    <sheet name="404e" sheetId="94" r:id="rId102"/>
    <sheet name="404f" sheetId="93" r:id="rId103"/>
    <sheet name="404g" sheetId="92" r:id="rId104"/>
    <sheet name="404h" sheetId="91" r:id="rId105"/>
    <sheet name="404i" sheetId="134" r:id="rId106"/>
    <sheet name="404j" sheetId="153" r:id="rId107"/>
    <sheet name="404k" sheetId="161" r:id="rId108"/>
    <sheet name="404l" sheetId="90" r:id="rId109"/>
    <sheet name="405" sheetId="74" r:id="rId110"/>
    <sheet name="405a" sheetId="96" r:id="rId111"/>
    <sheet name="405b" sheetId="95" r:id="rId112"/>
    <sheet name="405c" sheetId="169" r:id="rId113"/>
    <sheet name="405d" sheetId="98" r:id="rId114"/>
    <sheet name="405e" sheetId="97" r:id="rId115"/>
    <sheet name="405f" sheetId="135" r:id="rId116"/>
    <sheet name="405g" sheetId="137" r:id="rId117"/>
    <sheet name="406" sheetId="75" r:id="rId118"/>
    <sheet name="407408" sheetId="76" r:id="rId119"/>
    <sheet name="406a" sheetId="162" r:id="rId120"/>
    <sheet name="408a" sheetId="101" r:id="rId121"/>
    <sheet name="408b" sheetId="102" r:id="rId122"/>
    <sheet name="408c" sheetId="103" r:id="rId123"/>
    <sheet name="408d" sheetId="104" r:id="rId124"/>
    <sheet name="408e" sheetId="156" r:id="rId125"/>
    <sheet name="408f" sheetId="160" r:id="rId126"/>
    <sheet name="409" sheetId="77" r:id="rId127"/>
    <sheet name="410" sheetId="157" r:id="rId128"/>
    <sheet name="411412" sheetId="79" r:id="rId129"/>
    <sheet name="410a" sheetId="78" r:id="rId130"/>
    <sheet name="412a" sheetId="106" r:id="rId131"/>
    <sheet name="412b" sheetId="108" r:id="rId132"/>
    <sheet name="412c" sheetId="107" r:id="rId133"/>
    <sheet name="412d" sheetId="105" r:id="rId134"/>
    <sheet name="412e" sheetId="164" r:id="rId135"/>
    <sheet name="Book" sheetId="80" r:id="rId136"/>
    <sheet name="Verify" sheetId="81" r:id="rId137"/>
    <sheet name="Zindex" sheetId="82" r:id="rId138"/>
  </sheets>
  <definedNames>
    <definedName name="_001COVER">Cover!$A$1</definedName>
    <definedName name="_002INSTR">Instructions!$A$1</definedName>
    <definedName name="_003SCHEDULES">Schedules!$A$1</definedName>
    <definedName name="_101">'101'!$B$1</definedName>
    <definedName name="_102103">'102103'!$B$1</definedName>
    <definedName name="_104105">'104105'!$A$1</definedName>
    <definedName name="_106107">'106107'!$A$1</definedName>
    <definedName name="_108109">'108109'!$A$1</definedName>
    <definedName name="_110113" localSheetId="23">'111113'!#REF!</definedName>
    <definedName name="_110113" localSheetId="24">'111113'!#REF!</definedName>
    <definedName name="_110113" localSheetId="25">'111113'!#REF!</definedName>
    <definedName name="_110113" localSheetId="71">'111113'!#REF!</definedName>
    <definedName name="_110113" localSheetId="74">'111113'!#REF!</definedName>
    <definedName name="_110113" localSheetId="76">'111113'!#REF!</definedName>
    <definedName name="_110113" localSheetId="77">'111113'!#REF!</definedName>
    <definedName name="_110113" localSheetId="80">'111113'!#REF!</definedName>
    <definedName name="_110113" localSheetId="83">'111113'!#REF!</definedName>
    <definedName name="_110113" localSheetId="86">'111113'!#REF!</definedName>
    <definedName name="_110113" localSheetId="105">'111113'!#REF!</definedName>
    <definedName name="_110113" localSheetId="107">'111113'!#REF!</definedName>
    <definedName name="_110113" localSheetId="112">'111113'!#REF!</definedName>
    <definedName name="_110113" localSheetId="115">'111113'!#REF!</definedName>
    <definedName name="_110113" localSheetId="116">'111113'!#REF!</definedName>
    <definedName name="_110113" localSheetId="119">'111113'!#REF!</definedName>
    <definedName name="_110113" localSheetId="124">'111113'!#REF!</definedName>
    <definedName name="_110113" localSheetId="125">'111113'!#REF!</definedName>
    <definedName name="_110113" localSheetId="127">'111113'!#REF!</definedName>
    <definedName name="_110113" localSheetId="134">'111113'!#REF!</definedName>
    <definedName name="_110113">'111113'!#REF!</definedName>
    <definedName name="_114115">'114115'!$A$1</definedName>
    <definedName name="_116119">'116119'!$A$1</definedName>
    <definedName name="_120121">'120121'!$A$1</definedName>
    <definedName name="_122123">'122123'!$A$1</definedName>
    <definedName name="_124125">'124125'!$A$1</definedName>
    <definedName name="_200201">'200201'!$A$1</definedName>
    <definedName name="_202205">'202205'!$A$1</definedName>
    <definedName name="_206" localSheetId="20">'206a'!$A$1</definedName>
    <definedName name="_206" localSheetId="21">'206b'!$A$1</definedName>
    <definedName name="_206">'206'!$A$1</definedName>
    <definedName name="_207">'207'!$A$1</definedName>
    <definedName name="_208">'208'!$A$1</definedName>
    <definedName name="_209">'209'!$A$1</definedName>
    <definedName name="_210">'210'!$A$1</definedName>
    <definedName name="_211">'211'!$A$1</definedName>
    <definedName name="_212">'212'!$A$1</definedName>
    <definedName name="_213">'213'!$A$1</definedName>
    <definedName name="_214">'214'!$A$1</definedName>
    <definedName name="_215">'215'!$A$1</definedName>
    <definedName name="_216">'216'!$A$1</definedName>
    <definedName name="_217">'217'!$A$1</definedName>
    <definedName name="_250251">'250251'!$A$1</definedName>
    <definedName name="_252">'252'!$A$1</definedName>
    <definedName name="_254">'254'!$A$1</definedName>
    <definedName name="_256257">'256257'!$A$1</definedName>
    <definedName name="_258260">'258260'!$A$1</definedName>
    <definedName name="_261">'261'!$A$1</definedName>
    <definedName name="_262263">'262263'!$A$1</definedName>
    <definedName name="_266">'266'!$A$1</definedName>
    <definedName name="_267">'267'!$A$1</definedName>
    <definedName name="_300">'300'!$A$1</definedName>
    <definedName name="_301">'301'!$A$1</definedName>
    <definedName name="_302304">'302304'!$A$1</definedName>
    <definedName name="_305">'305'!$A$1</definedName>
    <definedName name="_306">'306'!$A$1</definedName>
    <definedName name="_307309">'307309'!$A$1</definedName>
    <definedName name="_310">'310'!$A$1</definedName>
    <definedName name="_311312">'311312'!$A$1</definedName>
    <definedName name="_313">'313'!$A$1</definedName>
    <definedName name="_314">'314'!$A$1</definedName>
    <definedName name="_315">'315'!$A$1</definedName>
    <definedName name="_316">'316'!$A$1</definedName>
    <definedName name="_317">'317'!$A$1</definedName>
    <definedName name="_318320">'318320'!$A$1</definedName>
    <definedName name="_321">'321'!$A$1</definedName>
    <definedName name="_352353">'352353'!$A$1</definedName>
    <definedName name="_354">'354'!$A$1</definedName>
    <definedName name="_355356">'355356'!$A$1</definedName>
    <definedName name="_357358">'357358'!$A$1</definedName>
    <definedName name="_359360" localSheetId="70">'359a360a'!$A$1</definedName>
    <definedName name="_359360" localSheetId="71">'359b360b'!$A$1</definedName>
    <definedName name="_359360">'359360'!$A$1</definedName>
    <definedName name="_361362" localSheetId="73">'361a362a'!$A$1</definedName>
    <definedName name="_361362" localSheetId="74">'361b362b'!$A$1</definedName>
    <definedName name="_361362">'361362'!$A$1</definedName>
    <definedName name="_363" localSheetId="76">'363a'!$A$1</definedName>
    <definedName name="_363" localSheetId="77">'363b'!$A$1</definedName>
    <definedName name="_363">'363'!$A$1</definedName>
    <definedName name="_364" localSheetId="79">'364a'!$A$1</definedName>
    <definedName name="_364" localSheetId="80">'364b'!$A$1</definedName>
    <definedName name="_364">'364'!$A$1</definedName>
    <definedName name="_365" localSheetId="82">'365a'!$A$1</definedName>
    <definedName name="_365" localSheetId="83">'365b'!$A$1</definedName>
    <definedName name="_365">'365'!$A$1</definedName>
    <definedName name="_366" localSheetId="86">'366 b'!$A$1</definedName>
    <definedName name="_366" localSheetId="85">'366a'!$A$1</definedName>
    <definedName name="_366" localSheetId="88">'367a'!$A$1</definedName>
    <definedName name="_366">'366'!$A$1</definedName>
    <definedName name="_367">'367'!$A$1</definedName>
    <definedName name="_400">'400'!$A$1</definedName>
    <definedName name="_401">'401'!$A$1</definedName>
    <definedName name="_402">'402'!$A$1</definedName>
    <definedName name="_403404">'403404'!$A$1</definedName>
    <definedName name="_405">'405'!$A$1</definedName>
    <definedName name="_406" localSheetId="119">'406a'!$A$1</definedName>
    <definedName name="_406">'406'!$A$1</definedName>
    <definedName name="_407408">'407408'!$A$1</definedName>
    <definedName name="_409">'409'!$A$1</definedName>
    <definedName name="_410" localSheetId="127">'410'!$A$1</definedName>
    <definedName name="_410">'410a'!$A$1</definedName>
    <definedName name="_411412">'411412'!$A$1</definedName>
    <definedName name="_PM101">'101'!$C$66:$C$74</definedName>
    <definedName name="_PM102103">'102103'!$C$132:$C$140</definedName>
    <definedName name="_PM104105">'104105'!$B$68:$B$78</definedName>
    <definedName name="_PM106107">'106107'!$B$121:$B$129</definedName>
    <definedName name="_PM108109" localSheetId="23">'108109'!#REF!</definedName>
    <definedName name="_PM108109" localSheetId="24">'108109'!#REF!</definedName>
    <definedName name="_PM108109" localSheetId="25">'108109'!#REF!</definedName>
    <definedName name="_PM108109" localSheetId="71">'108109'!#REF!</definedName>
    <definedName name="_PM108109" localSheetId="74">'108109'!#REF!</definedName>
    <definedName name="_PM108109" localSheetId="77">'108109'!#REF!</definedName>
    <definedName name="_PM108109" localSheetId="80">'108109'!#REF!</definedName>
    <definedName name="_PM108109" localSheetId="83">'108109'!#REF!</definedName>
    <definedName name="_PM108109" localSheetId="86">'108109'!#REF!</definedName>
    <definedName name="_PM108109" localSheetId="107">'108109'!#REF!</definedName>
    <definedName name="_PM108109" localSheetId="112">'108109'!#REF!</definedName>
    <definedName name="_PM108109" localSheetId="119">'108109'!#REF!</definedName>
    <definedName name="_PM108109" localSheetId="124">'108109'!#REF!</definedName>
    <definedName name="_PM108109" localSheetId="125">'108109'!#REF!</definedName>
    <definedName name="_PM108109" localSheetId="127">'108109'!#REF!</definedName>
    <definedName name="_PM108109" localSheetId="134">'108109'!#REF!</definedName>
    <definedName name="_PM108109">'108109'!#REF!</definedName>
    <definedName name="_PM110113" localSheetId="23">'111113'!#REF!</definedName>
    <definedName name="_PM110113" localSheetId="24">'111113'!#REF!</definedName>
    <definedName name="_PM110113" localSheetId="25">'111113'!#REF!</definedName>
    <definedName name="_PM110113" localSheetId="71">'111113'!#REF!</definedName>
    <definedName name="_PM110113" localSheetId="74">'111113'!#REF!</definedName>
    <definedName name="_PM110113" localSheetId="76">'111113'!#REF!</definedName>
    <definedName name="_PM110113" localSheetId="77">'111113'!#REF!</definedName>
    <definedName name="_PM110113" localSheetId="80">'111113'!#REF!</definedName>
    <definedName name="_PM110113" localSheetId="83">'111113'!#REF!</definedName>
    <definedName name="_PM110113" localSheetId="86">'111113'!#REF!</definedName>
    <definedName name="_PM110113" localSheetId="105">'111113'!#REF!</definedName>
    <definedName name="_PM110113" localSheetId="107">'111113'!#REF!</definedName>
    <definedName name="_PM110113" localSheetId="112">'111113'!#REF!</definedName>
    <definedName name="_PM110113" localSheetId="115">'111113'!#REF!</definedName>
    <definedName name="_PM110113" localSheetId="116">'111113'!#REF!</definedName>
    <definedName name="_PM110113" localSheetId="119">'111113'!#REF!</definedName>
    <definedName name="_PM110113" localSheetId="124">'111113'!#REF!</definedName>
    <definedName name="_PM110113" localSheetId="125">'111113'!#REF!</definedName>
    <definedName name="_PM110113" localSheetId="127">'111113'!#REF!</definedName>
    <definedName name="_PM110113" localSheetId="134">'111113'!#REF!</definedName>
    <definedName name="_PM110113">'111113'!#REF!</definedName>
    <definedName name="_PM114115">'114115'!$B$126:$B$134</definedName>
    <definedName name="_PM116119">'116119'!$B$123:$B$137</definedName>
    <definedName name="_PM120121">'120121'!$B$130:$B$138</definedName>
    <definedName name="_PM122123">'122123'!$B$130:$B$138</definedName>
    <definedName name="_PM124125">'124125'!$B$139:$B$147</definedName>
    <definedName name="_PM200201">'200201'!$B$70:$B$78</definedName>
    <definedName name="_PM202205">'202205'!$B$137:$B$151</definedName>
    <definedName name="_PM206" localSheetId="20">'206a'!$B$67:$B$75</definedName>
    <definedName name="_PM206" localSheetId="21">'206b'!$B$67:$B$75</definedName>
    <definedName name="_PM206">'206'!$B$68:$B$76</definedName>
    <definedName name="_PM207">'207'!$B$72:$B$80</definedName>
    <definedName name="_PM208" localSheetId="23">'208'!#REF!</definedName>
    <definedName name="_PM208" localSheetId="24">'208'!#REF!</definedName>
    <definedName name="_PM208" localSheetId="25">'208'!#REF!</definedName>
    <definedName name="_PM208" localSheetId="71">'208'!#REF!</definedName>
    <definedName name="_PM208" localSheetId="74">'208'!#REF!</definedName>
    <definedName name="_PM208" localSheetId="76">'208'!#REF!</definedName>
    <definedName name="_PM208" localSheetId="77">'208'!#REF!</definedName>
    <definedName name="_PM208" localSheetId="80">'208'!#REF!</definedName>
    <definedName name="_PM208" localSheetId="83">'208'!#REF!</definedName>
    <definedName name="_PM208" localSheetId="86">'208'!#REF!</definedName>
    <definedName name="_PM208" localSheetId="105">'208'!#REF!</definedName>
    <definedName name="_PM208" localSheetId="107">'208'!#REF!</definedName>
    <definedName name="_PM208" localSheetId="112">'208'!#REF!</definedName>
    <definedName name="_PM208" localSheetId="115">'208'!#REF!</definedName>
    <definedName name="_PM208" localSheetId="116">'208'!#REF!</definedName>
    <definedName name="_PM208" localSheetId="119">'208'!#REF!</definedName>
    <definedName name="_PM208" localSheetId="124">'208'!#REF!</definedName>
    <definedName name="_PM208" localSheetId="125">'208'!#REF!</definedName>
    <definedName name="_PM208" localSheetId="127">'208'!#REF!</definedName>
    <definedName name="_PM208" localSheetId="134">'208'!#REF!</definedName>
    <definedName name="_PM208">'208'!#REF!</definedName>
    <definedName name="_PM209">'209'!$B$61:$B$69</definedName>
    <definedName name="_PM210">'210'!$B$54:$B$62</definedName>
    <definedName name="_PM211">'211'!$B$71:$B$79</definedName>
    <definedName name="_PM212">'212'!$B$76:$B$84</definedName>
    <definedName name="_PM213">'213'!$B$69:$B$77</definedName>
    <definedName name="_PM214">'214'!$B$78:$B$86</definedName>
    <definedName name="_PM215">'215'!$B$70:$B$78</definedName>
    <definedName name="_PM216">'216'!$B$78:$B$86</definedName>
    <definedName name="_PM217" localSheetId="23">'217'!#REF!</definedName>
    <definedName name="_PM217" localSheetId="24">'217'!#REF!</definedName>
    <definedName name="_PM217" localSheetId="25">'217'!#REF!</definedName>
    <definedName name="_PM217" localSheetId="71">'217'!#REF!</definedName>
    <definedName name="_PM217" localSheetId="74">'217'!#REF!</definedName>
    <definedName name="_PM217" localSheetId="76">'217'!#REF!</definedName>
    <definedName name="_PM217" localSheetId="77">'217'!#REF!</definedName>
    <definedName name="_PM217" localSheetId="80">'217'!#REF!</definedName>
    <definedName name="_PM217" localSheetId="83">'217'!#REF!</definedName>
    <definedName name="_PM217" localSheetId="86">'217'!#REF!</definedName>
    <definedName name="_PM217" localSheetId="105">'217'!#REF!</definedName>
    <definedName name="_PM217" localSheetId="107">'217'!#REF!</definedName>
    <definedName name="_PM217" localSheetId="112">'217'!#REF!</definedName>
    <definedName name="_PM217" localSheetId="115">'217'!#REF!</definedName>
    <definedName name="_PM217" localSheetId="116">'217'!#REF!</definedName>
    <definedName name="_PM217" localSheetId="119">'217'!#REF!</definedName>
    <definedName name="_PM217" localSheetId="124">'217'!#REF!</definedName>
    <definedName name="_PM217" localSheetId="125">'217'!#REF!</definedName>
    <definedName name="_PM217" localSheetId="127">'217'!#REF!</definedName>
    <definedName name="_PM217" localSheetId="134">'217'!#REF!</definedName>
    <definedName name="_PM217">'217'!#REF!</definedName>
    <definedName name="_PM250251">'250251'!$B$70:$B$80</definedName>
    <definedName name="_PM252">'252'!$B$70:$B$78</definedName>
    <definedName name="_PM253">'253'!$B$72:$B$80</definedName>
    <definedName name="_PM254">'254'!$B$67:$B$75</definedName>
    <definedName name="_PM255">'255'!$B$78:$B$86</definedName>
    <definedName name="_PM256257">'256257'!$B$134:$B$148</definedName>
    <definedName name="_PM258260">'258260'!$B$132:$B$144</definedName>
    <definedName name="_PM261">'261'!$B$67:$B$76</definedName>
    <definedName name="_PM262263">'262263'!$B$62:$B$72</definedName>
    <definedName name="_PM264265" localSheetId="23">'264265'!#REF!</definedName>
    <definedName name="_PM264265" localSheetId="24">'264265'!#REF!</definedName>
    <definedName name="_PM264265" localSheetId="25">'264265'!#REF!</definedName>
    <definedName name="_PM264265" localSheetId="71">'264265'!#REF!</definedName>
    <definedName name="_PM264265" localSheetId="74">'264265'!#REF!</definedName>
    <definedName name="_PM264265" localSheetId="76">'264265'!#REF!</definedName>
    <definedName name="_PM264265" localSheetId="77">'264265'!#REF!</definedName>
    <definedName name="_PM264265" localSheetId="80">'264265'!#REF!</definedName>
    <definedName name="_PM264265" localSheetId="83">'264265'!#REF!</definedName>
    <definedName name="_PM264265" localSheetId="86">'264265'!#REF!</definedName>
    <definedName name="_PM264265" localSheetId="105">'264265'!#REF!</definedName>
    <definedName name="_PM264265" localSheetId="107">'264265'!#REF!</definedName>
    <definedName name="_PM264265" localSheetId="112">'264265'!#REF!</definedName>
    <definedName name="_PM264265" localSheetId="115">'264265'!#REF!</definedName>
    <definedName name="_PM264265" localSheetId="116">'264265'!#REF!</definedName>
    <definedName name="_PM264265" localSheetId="119">'264265'!#REF!</definedName>
    <definedName name="_PM264265" localSheetId="124">'264265'!#REF!</definedName>
    <definedName name="_PM264265" localSheetId="125">'264265'!#REF!</definedName>
    <definedName name="_PM264265" localSheetId="127">'264265'!#REF!</definedName>
    <definedName name="_PM264265" localSheetId="134">'264265'!#REF!</definedName>
    <definedName name="_PM264265">'264265'!#REF!</definedName>
    <definedName name="_PM266">'266'!$B$45:$B$53</definedName>
    <definedName name="_PM267">'267'!$B$41:$B$49</definedName>
    <definedName name="_PM300">'300'!$C$59:$C$67</definedName>
    <definedName name="_PM301" localSheetId="23">'301'!#REF!</definedName>
    <definedName name="_PM301" localSheetId="24">'301'!#REF!</definedName>
    <definedName name="_PM301" localSheetId="25">'301'!#REF!</definedName>
    <definedName name="_PM301" localSheetId="71">'301'!#REF!</definedName>
    <definedName name="_PM301" localSheetId="74">'301'!#REF!</definedName>
    <definedName name="_PM301" localSheetId="76">'301'!#REF!</definedName>
    <definedName name="_PM301" localSheetId="77">'301'!#REF!</definedName>
    <definedName name="_PM301" localSheetId="80">'301'!#REF!</definedName>
    <definedName name="_PM301" localSheetId="83">'301'!#REF!</definedName>
    <definedName name="_PM301" localSheetId="86">'301'!#REF!</definedName>
    <definedName name="_PM301" localSheetId="105">'301'!#REF!</definedName>
    <definedName name="_PM301" localSheetId="107">'301'!#REF!</definedName>
    <definedName name="_PM301" localSheetId="112">'301'!#REF!</definedName>
    <definedName name="_PM301" localSheetId="115">'301'!#REF!</definedName>
    <definedName name="_PM301" localSheetId="116">'301'!#REF!</definedName>
    <definedName name="_PM301" localSheetId="119">'301'!#REF!</definedName>
    <definedName name="_PM301" localSheetId="124">'301'!#REF!</definedName>
    <definedName name="_PM301" localSheetId="125">'301'!#REF!</definedName>
    <definedName name="_PM301" localSheetId="127">'301'!#REF!</definedName>
    <definedName name="_PM301" localSheetId="134">'301'!#REF!</definedName>
    <definedName name="_PM301">'301'!#REF!</definedName>
    <definedName name="_PM302304">'302304'!$B$131:$B$143</definedName>
    <definedName name="_PM305">'305'!$B$50:$B$58</definedName>
    <definedName name="_PM306">'306'!$B$72:$B$80</definedName>
    <definedName name="_PM307309">'307309'!$B$187:$B$195</definedName>
    <definedName name="_PM310">'310'!$B$67:$B$75</definedName>
    <definedName name="_PM311312">'311312'!$B$78:$B$88</definedName>
    <definedName name="_PM313" localSheetId="23">'313'!#REF!</definedName>
    <definedName name="_PM313" localSheetId="24">'313'!#REF!</definedName>
    <definedName name="_PM313" localSheetId="25">'313'!#REF!</definedName>
    <definedName name="_PM313" localSheetId="71">'313'!#REF!</definedName>
    <definedName name="_PM313" localSheetId="74">'313'!#REF!</definedName>
    <definedName name="_PM313" localSheetId="76">'313'!#REF!</definedName>
    <definedName name="_PM313" localSheetId="77">'313'!#REF!</definedName>
    <definedName name="_PM313" localSheetId="80">'313'!#REF!</definedName>
    <definedName name="_PM313" localSheetId="83">'313'!#REF!</definedName>
    <definedName name="_PM313" localSheetId="86">'313'!#REF!</definedName>
    <definedName name="_PM313" localSheetId="105">'313'!#REF!</definedName>
    <definedName name="_PM313" localSheetId="107">'313'!#REF!</definedName>
    <definedName name="_PM313" localSheetId="112">'313'!#REF!</definedName>
    <definedName name="_PM313" localSheetId="115">'313'!#REF!</definedName>
    <definedName name="_PM313" localSheetId="116">'313'!#REF!</definedName>
    <definedName name="_PM313" localSheetId="119">'313'!#REF!</definedName>
    <definedName name="_PM313" localSheetId="124">'313'!#REF!</definedName>
    <definedName name="_PM313" localSheetId="125">'313'!#REF!</definedName>
    <definedName name="_PM313" localSheetId="127">'313'!#REF!</definedName>
    <definedName name="_PM313" localSheetId="134">'313'!#REF!</definedName>
    <definedName name="_PM313">'313'!#REF!</definedName>
    <definedName name="_PM314" localSheetId="23">'314'!#REF!</definedName>
    <definedName name="_PM314" localSheetId="24">'314'!#REF!</definedName>
    <definedName name="_PM314" localSheetId="25">'314'!#REF!</definedName>
    <definedName name="_PM314" localSheetId="71">'314'!#REF!</definedName>
    <definedName name="_PM314" localSheetId="74">'314'!#REF!</definedName>
    <definedName name="_PM314" localSheetId="76">'314'!#REF!</definedName>
    <definedName name="_PM314" localSheetId="77">'314'!#REF!</definedName>
    <definedName name="_PM314" localSheetId="80">'314'!#REF!</definedName>
    <definedName name="_PM314" localSheetId="83">'314'!#REF!</definedName>
    <definedName name="_PM314" localSheetId="86">'314'!#REF!</definedName>
    <definedName name="_PM314" localSheetId="105">'314'!#REF!</definedName>
    <definedName name="_PM314" localSheetId="107">'314'!#REF!</definedName>
    <definedName name="_PM314" localSheetId="112">'314'!#REF!</definedName>
    <definedName name="_PM314" localSheetId="115">'314'!#REF!</definedName>
    <definedName name="_PM314" localSheetId="116">'314'!#REF!</definedName>
    <definedName name="_PM314" localSheetId="119">'314'!#REF!</definedName>
    <definedName name="_PM314" localSheetId="124">'314'!#REF!</definedName>
    <definedName name="_PM314" localSheetId="125">'314'!#REF!</definedName>
    <definedName name="_PM314" localSheetId="127">'314'!#REF!</definedName>
    <definedName name="_PM314" localSheetId="134">'314'!#REF!</definedName>
    <definedName name="_PM314">'314'!#REF!</definedName>
    <definedName name="_PM315" localSheetId="23">'315'!#REF!</definedName>
    <definedName name="_PM315" localSheetId="24">'315'!#REF!</definedName>
    <definedName name="_PM315" localSheetId="25">'315'!#REF!</definedName>
    <definedName name="_PM315" localSheetId="71">'315'!#REF!</definedName>
    <definedName name="_PM315" localSheetId="74">'315'!#REF!</definedName>
    <definedName name="_PM315" localSheetId="76">'315'!#REF!</definedName>
    <definedName name="_PM315" localSheetId="77">'315'!#REF!</definedName>
    <definedName name="_PM315" localSheetId="80">'315'!#REF!</definedName>
    <definedName name="_PM315" localSheetId="83">'315'!#REF!</definedName>
    <definedName name="_PM315" localSheetId="86">'315'!#REF!</definedName>
    <definedName name="_PM315" localSheetId="105">'315'!#REF!</definedName>
    <definedName name="_PM315" localSheetId="107">'315'!#REF!</definedName>
    <definedName name="_PM315" localSheetId="112">'315'!#REF!</definedName>
    <definedName name="_PM315" localSheetId="115">'315'!#REF!</definedName>
    <definedName name="_PM315" localSheetId="116">'315'!#REF!</definedName>
    <definedName name="_PM315" localSheetId="119">'315'!#REF!</definedName>
    <definedName name="_PM315" localSheetId="124">'315'!#REF!</definedName>
    <definedName name="_PM315" localSheetId="125">'315'!#REF!</definedName>
    <definedName name="_PM315" localSheetId="127">'315'!#REF!</definedName>
    <definedName name="_PM315" localSheetId="134">'315'!#REF!</definedName>
    <definedName name="_PM315">'315'!#REF!</definedName>
    <definedName name="_PM316">'316'!$B$68:$B$76</definedName>
    <definedName name="_PM317">'317'!$B$55:$B$63</definedName>
    <definedName name="_PM318320">'318320'!$B$204:$B$216</definedName>
    <definedName name="_PM321">'321'!$B$69:$B$77</definedName>
    <definedName name="_PM350351">'350351'!$B$70:$B$78</definedName>
    <definedName name="_PM352353" localSheetId="23">'352353'!#REF!</definedName>
    <definedName name="_PM352353" localSheetId="24">'352353'!#REF!</definedName>
    <definedName name="_PM352353" localSheetId="25">'352353'!#REF!</definedName>
    <definedName name="_PM352353" localSheetId="71">'352353'!#REF!</definedName>
    <definedName name="_PM352353" localSheetId="74">'352353'!#REF!</definedName>
    <definedName name="_PM352353" localSheetId="76">'352353'!#REF!</definedName>
    <definedName name="_PM352353" localSheetId="77">'352353'!#REF!</definedName>
    <definedName name="_PM352353" localSheetId="80">'352353'!#REF!</definedName>
    <definedName name="_PM352353" localSheetId="83">'352353'!#REF!</definedName>
    <definedName name="_PM352353" localSheetId="86">'352353'!#REF!</definedName>
    <definedName name="_PM352353" localSheetId="105">'352353'!#REF!</definedName>
    <definedName name="_PM352353" localSheetId="107">'352353'!#REF!</definedName>
    <definedName name="_PM352353" localSheetId="112">'352353'!#REF!</definedName>
    <definedName name="_PM352353" localSheetId="115">'352353'!#REF!</definedName>
    <definedName name="_PM352353" localSheetId="116">'352353'!#REF!</definedName>
    <definedName name="_PM352353" localSheetId="119">'352353'!#REF!</definedName>
    <definedName name="_PM352353" localSheetId="124">'352353'!#REF!</definedName>
    <definedName name="_PM352353" localSheetId="125">'352353'!#REF!</definedName>
    <definedName name="_PM352353" localSheetId="127">'352353'!#REF!</definedName>
    <definedName name="_PM352353" localSheetId="134">'352353'!#REF!</definedName>
    <definedName name="_PM352353">'352353'!#REF!</definedName>
    <definedName name="_PM354">'354'!$B$61:$B$69</definedName>
    <definedName name="_PM355356">'355356'!$B$145:$B$155</definedName>
    <definedName name="_PM357358">'357358'!$B$133:$B$143</definedName>
    <definedName name="_PM359360" localSheetId="70">'359a360a'!$E$58:$E$61</definedName>
    <definedName name="_PM359360" localSheetId="71">'359b360b'!$E$58:$E$61</definedName>
    <definedName name="_PM359360">'359360'!$F$58:$F$61</definedName>
    <definedName name="_PM361362" localSheetId="73">'361a362a'!$F$66:$F$76</definedName>
    <definedName name="_PM361362" localSheetId="74">'361b362b'!$F$66:$F$76</definedName>
    <definedName name="_PM361362">'361362'!$F$66:$F$76</definedName>
    <definedName name="_PM363" localSheetId="76">'363a'!$B$72:$B$80</definedName>
    <definedName name="_PM363" localSheetId="77">'363b'!$B$72:$B$80</definedName>
    <definedName name="_PM363">'363'!$B$71:$B$79</definedName>
    <definedName name="_PM364" localSheetId="79">'364a'!$C$68:$C$76</definedName>
    <definedName name="_PM364" localSheetId="80">'364b'!$C$68:$C$76</definedName>
    <definedName name="_PM364">'364'!$C$68:$C$76</definedName>
    <definedName name="_PM365" localSheetId="82">'365a'!$C$63:$C$71</definedName>
    <definedName name="_PM365" localSheetId="83">'365b'!$C$63:$C$71</definedName>
    <definedName name="_PM365">'365'!$C$63:$C$71</definedName>
    <definedName name="_PM366" localSheetId="86">'366 b'!$C$67:$C$75</definedName>
    <definedName name="_PM366" localSheetId="85">'366a'!$C$67:$C$75</definedName>
    <definedName name="_PM366" localSheetId="88">'367a'!$C$67:$C$75</definedName>
    <definedName name="_PM366">'366'!$C$67:$C$75</definedName>
    <definedName name="_PM367">'367'!$C$70:$C$78</definedName>
    <definedName name="_PM400" localSheetId="23">'400'!#REF!</definedName>
    <definedName name="_PM400" localSheetId="24">'400'!#REF!</definedName>
    <definedName name="_PM400" localSheetId="25">'400'!#REF!</definedName>
    <definedName name="_PM400" localSheetId="71">'400'!#REF!</definedName>
    <definedName name="_PM400" localSheetId="74">'400'!#REF!</definedName>
    <definedName name="_PM400" localSheetId="76">'400'!#REF!</definedName>
    <definedName name="_PM400" localSheetId="77">'400'!#REF!</definedName>
    <definedName name="_PM400" localSheetId="80">'400'!#REF!</definedName>
    <definedName name="_PM400" localSheetId="83">'400'!#REF!</definedName>
    <definedName name="_PM400" localSheetId="86">'400'!#REF!</definedName>
    <definedName name="_PM400" localSheetId="105">'400'!#REF!</definedName>
    <definedName name="_PM400" localSheetId="107">'400'!#REF!</definedName>
    <definedName name="_PM400" localSheetId="112">'400'!#REF!</definedName>
    <definedName name="_PM400" localSheetId="115">'400'!#REF!</definedName>
    <definedName name="_PM400" localSheetId="116">'400'!#REF!</definedName>
    <definedName name="_PM400" localSheetId="119">'400'!#REF!</definedName>
    <definedName name="_PM400" localSheetId="124">'400'!#REF!</definedName>
    <definedName name="_PM400" localSheetId="125">'400'!#REF!</definedName>
    <definedName name="_PM400" localSheetId="127">'400'!#REF!</definedName>
    <definedName name="_PM400" localSheetId="134">'400'!#REF!</definedName>
    <definedName name="_PM400">'400'!#REF!</definedName>
    <definedName name="_PM401">'401'!$B$67:$B$75</definedName>
    <definedName name="_PM402">'402'!$B$60:$B$68</definedName>
    <definedName name="_PM403404">'403404'!$B$70:$B$80</definedName>
    <definedName name="_PM405">'405'!$B$62:$B$70</definedName>
    <definedName name="_PM406" localSheetId="119">'406a'!$B$64:$B$72</definedName>
    <definedName name="_PM406">'406'!$B$64:$B$72</definedName>
    <definedName name="_PM407408">'407408'!$B$104:$B$114</definedName>
    <definedName name="_PM409">'409'!$B$65:$B$73</definedName>
    <definedName name="_PM410" localSheetId="127">'410'!$B$58:$B$66</definedName>
    <definedName name="_PM410">'410a'!$B$58:$B$66</definedName>
    <definedName name="_PM411412">'411412'!$B$110:$B$120</definedName>
    <definedName name="BOOK">Book!$A$1</definedName>
    <definedName name="COVERPM">Cover!$B$53:$B$61</definedName>
    <definedName name="data">#REF!</definedName>
    <definedName name="GENINSTPM">Instructions!$C$63:$C$71</definedName>
    <definedName name="NvsAnswerCol">"'[DR_2031329_2037247_BSREG200  BU 00200 2009-12-31.xls]JRNLLAYOUT'!$A$9:$A$5781"</definedName>
    <definedName name="NvsAnswerCol_1" localSheetId="33">"'[DR_4029746_4029765_BSCOR200  BU 00200 2014-12-31.xls]JRNLLAYOUT'!$A$9:$A$8621"</definedName>
    <definedName name="NvsASD">"V2009-12-31"</definedName>
    <definedName name="NvsASD_1" localSheetId="33">"V2014-12-31"</definedName>
    <definedName name="NvsAutoDrillOk">"VN"</definedName>
    <definedName name="NvsDateToNumber">"Y"</definedName>
    <definedName name="NvsElapsedTime" localSheetId="33">0.000266203700448386</definedName>
    <definedName name="NvsElapsedTime">0.000266203700448386</definedName>
    <definedName name="NvsEndTime">40259.4551736111</definedName>
    <definedName name="NvsEndTime_1" localSheetId="33">42059.7527893518</definedName>
    <definedName name="NvsInstCritOpt" localSheetId="33">"R"</definedName>
    <definedName name="NvsInstLang">"VENG"</definedName>
    <definedName name="NvsInstSpec">"%,LACTUALS,SBAL,FACCOUNT,TACCT_ROLLUP_NY,NACCT_REC_ASSOC_COMP,FCHARTFIELD1,TCONTROL_ACCTS_BS,NASSETS"</definedName>
    <definedName name="NvsInstSpec_1" localSheetId="33">"%,LACTUALS,SBAL,FACCOUNT,TACCT_ROLLUP_SEC,N104_AR_ASSOC_COMP"</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ParentRef">"'[BSREG200  BU 00200 2009-12-31.xls]Sheet1'!$E$57"</definedName>
    <definedName name="NvsParentRef_1" localSheetId="33">"'[BSCOR200  BU 00200 2014-12-31.xls]Sheet1'!$D$58"</definedName>
    <definedName name="NvsQueryName" localSheetId="33">"_NVS_JOURNALS_PROJ_LINES"</definedName>
    <definedName name="NvsReqBU">"V00200"</definedName>
    <definedName name="NvsReqBUOnly">"VY"</definedName>
    <definedName name="NvsRowCount" localSheetId="33">8613</definedName>
    <definedName name="NvsSheetType" localSheetId="33">"T"</definedName>
    <definedName name="NvsStyleNme">"UWGenBS.xls"</definedName>
    <definedName name="NvsTransLed">"VN"</definedName>
    <definedName name="NvsTreeASD">"V2009-12-31"</definedName>
    <definedName name="NvsTreeASD_1" localSheetId="33">"V2014-12-31"</definedName>
    <definedName name="NvsUpdateOption" localSheetId="33">"N"</definedName>
    <definedName name="NvsValTbl.ACCOUNT">"GL_ACCOUNT_TBL"</definedName>
    <definedName name="NvsValTbl.BOOK_CODE">"BOOK_CODE_TBL"</definedName>
    <definedName name="NvsValTbl.CHARTFIELD2">"CHARTFIELD2_TBL"</definedName>
    <definedName name="PMVERIFY">Verify!$B$70:$B$78</definedName>
    <definedName name="PMZINDEX">Zindex!$A$112:$A$122</definedName>
    <definedName name="_xlnm.Print_Area" localSheetId="7">'104105'!$A$1:$Q$62</definedName>
    <definedName name="_xlnm.Print_Area" localSheetId="8">'106107'!$A$1:$F$115</definedName>
    <definedName name="_xlnm.Print_Area" localSheetId="9">'108109'!$A$1:$G$124</definedName>
    <definedName name="_xlnm.Print_Area" localSheetId="11">'111113'!$A$1:$L$156</definedName>
    <definedName name="_xlnm.Print_Area" localSheetId="12">'114115'!$A$1:$F$120</definedName>
    <definedName name="_xlnm.Print_Area" localSheetId="13">'116119'!$A$1:$O$119</definedName>
    <definedName name="_xlnm.Print_Area" localSheetId="14">'120121'!$A$1:$G$124</definedName>
    <definedName name="_xlnm.Print_Area" localSheetId="15">'122123'!$A$1:$E$124</definedName>
    <definedName name="_xlnm.Print_Area" localSheetId="17">'200201'!$A$1:$K$62</definedName>
    <definedName name="_xlnm.Print_Area" localSheetId="18">'202205'!$A$1:$K$129</definedName>
    <definedName name="_xlnm.Print_Area" localSheetId="19">'206'!$A$1:$E$60</definedName>
    <definedName name="_xlnm.Print_Area" localSheetId="20">'206a'!$A$1:$E$59</definedName>
    <definedName name="_xlnm.Print_Area" localSheetId="21">'206b'!$A$1:$E$59</definedName>
    <definedName name="_xlnm.Print_Area" localSheetId="22">'206c'!$A$1:$E$59</definedName>
    <definedName name="_xlnm.Print_Area" localSheetId="23">'206d'!$A$1:$E$59</definedName>
    <definedName name="_xlnm.Print_Area" localSheetId="24">'206e'!$A$1:$E$59</definedName>
    <definedName name="_xlnm.Print_Area" localSheetId="25">'206f'!$A$1:$E$60</definedName>
    <definedName name="_xlnm.Print_Area" localSheetId="26">'207'!$A$1:$E$64</definedName>
    <definedName name="_xlnm.Print_Area" localSheetId="27">'208'!$A$1:$G$66</definedName>
    <definedName name="_xlnm.Print_Area" localSheetId="28">'209'!$A$1:$F$53</definedName>
    <definedName name="_xlnm.Print_Area" localSheetId="30">'211'!$A$1:$F$64</definedName>
    <definedName name="_xlnm.Print_Area" localSheetId="32">'213'!$A$1:$G$61</definedName>
    <definedName name="_xlnm.Print_Area" localSheetId="33">'214'!$A$1:$G$71</definedName>
    <definedName name="_xlnm.Print_Area" localSheetId="34">'215'!$A$1:$F$62</definedName>
    <definedName name="_xlnm.Print_Area" localSheetId="35">'216'!$A$1:$G$71</definedName>
    <definedName name="_xlnm.Print_Area" localSheetId="36">'217'!$A$1:$F$70</definedName>
    <definedName name="_xlnm.Print_Area" localSheetId="37">'250251'!$A$1:$M$63</definedName>
    <definedName name="_xlnm.Print_Area" localSheetId="38">'252'!$A$1:$E$63</definedName>
    <definedName name="_xlnm.Print_Area" localSheetId="39">'253'!$A$1:$E$65</definedName>
    <definedName name="_xlnm.Print_Area" localSheetId="40">'254'!$A$1:$E$60</definedName>
    <definedName name="_xlnm.Print_Area" localSheetId="41">'255'!$A$1:$G$72</definedName>
    <definedName name="_xlnm.Print_Area" localSheetId="42">'256257'!$A$1:$L$126</definedName>
    <definedName name="_xlnm.Print_Area" localSheetId="43">'258260'!$A$1:$N$67,'258260'!$A$68:$G$123</definedName>
    <definedName name="_xlnm.Print_Area" localSheetId="44">'261'!$A$1:$G$61</definedName>
    <definedName name="_xlnm.Print_Area" localSheetId="45">'262263'!$A$1:$N$55</definedName>
    <definedName name="_xlnm.Print_Area" localSheetId="46">'264265'!$A$1:$M$60</definedName>
    <definedName name="_xlnm.Print_Area" localSheetId="48">'267'!$A$1:$G$35</definedName>
    <definedName name="_xlnm.Print_Area" localSheetId="49">'300'!$A$1:$I$52</definedName>
    <definedName name="_xlnm.Print_Area" localSheetId="50">'301'!$A$1:$G$69</definedName>
    <definedName name="_xlnm.Print_Area" localSheetId="53">'306'!$A$1:$E$65</definedName>
    <definedName name="_xlnm.Print_Area" localSheetId="54">'307309'!$A$1:$E$180</definedName>
    <definedName name="_xlnm.Print_Area" localSheetId="55">'310'!$A$1:$E$64</definedName>
    <definedName name="_xlnm.Print_Area" localSheetId="56">'311312'!$A$1:$N$69</definedName>
    <definedName name="_xlnm.Print_Area" localSheetId="57">'313'!$A$1:$E$61</definedName>
    <definedName name="_xlnm.Print_Area" localSheetId="58">'314'!$A$1:$E$181</definedName>
    <definedName name="_xlnm.Print_Area" localSheetId="59">'315'!$A$1:$G$60</definedName>
    <definedName name="_xlnm.Print_Area" localSheetId="60">'316'!$A$1:$E$60</definedName>
    <definedName name="_xlnm.Print_Area" localSheetId="62">'318320'!$A$1:$E$196</definedName>
    <definedName name="_xlnm.Print_Area" localSheetId="64">'350351'!$A$1:$N$64</definedName>
    <definedName name="_xlnm.Print_Area" localSheetId="65">'352353'!$A$1:$L$66</definedName>
    <definedName name="_xlnm.Print_Area" localSheetId="66">'354'!$A$1:$F$55</definedName>
    <definedName name="_xlnm.Print_Area" localSheetId="67">'355356'!$A$1:$E$139</definedName>
    <definedName name="_xlnm.Print_Area" localSheetId="68">'357358'!$A$1:$C$123</definedName>
    <definedName name="_xlnm.Print_Area" localSheetId="69">'359360'!$A$1:$I$58</definedName>
    <definedName name="_xlnm.Print_Area" localSheetId="70">'359a360a'!$A$1:$H$58</definedName>
    <definedName name="_xlnm.Print_Area" localSheetId="71">'359b360b'!$A$1:$H$58</definedName>
    <definedName name="_xlnm.Print_Area" localSheetId="72">'361362'!$A$1:$L$61</definedName>
    <definedName name="_xlnm.Print_Area" localSheetId="73">'361a362a'!$A$1:$L$61</definedName>
    <definedName name="_xlnm.Print_Area" localSheetId="74">'361b362b'!$A$1:$L$61</definedName>
    <definedName name="_xlnm.Print_Area" localSheetId="75">'363'!$A$1:$C$66</definedName>
    <definedName name="_xlnm.Print_Area" localSheetId="76">'363a'!$A$1:$C$67</definedName>
    <definedName name="_xlnm.Print_Area" localSheetId="77">'363b'!$A$1:$C$67</definedName>
    <definedName name="_xlnm.Print_Area" localSheetId="89">'400'!$A$1:$P$50</definedName>
    <definedName name="_xlnm.Print_Area" localSheetId="90">'401'!$A$1:$N$58</definedName>
    <definedName name="_xlnm.Print_Area" localSheetId="91">'402'!$A$1:$N$50</definedName>
    <definedName name="_xlnm.Print_Area" localSheetId="92">'402a'!$A$1:$N$66</definedName>
    <definedName name="_xlnm.Print_Area" localSheetId="93">'402b'!$A$1:$N$69</definedName>
    <definedName name="_xlnm.Print_Area" localSheetId="94">'402c'!$A$1:$N$69</definedName>
    <definedName name="_xlnm.Print_Area" localSheetId="95">'402d'!$A$1:$N$57</definedName>
    <definedName name="_xlnm.Print_Area" localSheetId="96">'403404'!$A$1:$R$66</definedName>
    <definedName name="_xlnm.Print_Area" localSheetId="97">'404a'!$A$1:$I$36</definedName>
    <definedName name="_xlnm.Print_Area" localSheetId="98">'404b'!$A$1:$L$35</definedName>
    <definedName name="_xlnm.Print_Area" localSheetId="99">'404c'!$A$1:$J$35</definedName>
    <definedName name="_xlnm.Print_Area" localSheetId="100">'404d'!$A$1:$L$37</definedName>
    <definedName name="_xlnm.Print_Area" localSheetId="107">'404k'!$A$1:$I$43</definedName>
    <definedName name="_xlnm.Print_Area" localSheetId="108">'404l'!$A$1:$G$54</definedName>
    <definedName name="_xlnm.Print_Area" localSheetId="109">'405'!$A$1:$I$56</definedName>
    <definedName name="_xlnm.Print_Area" localSheetId="110">'405a'!$A$1:$H$94</definedName>
    <definedName name="_xlnm.Print_Area" localSheetId="111">'405b'!$A$1:$H$102</definedName>
    <definedName name="_xlnm.Print_Area" localSheetId="112">'405c'!$A$1:$H$86</definedName>
    <definedName name="_xlnm.Print_Area" localSheetId="113">'405d'!$A$1:$F$68</definedName>
    <definedName name="_xlnm.Print_Area" localSheetId="114">'405e'!$A$1:$F$57</definedName>
    <definedName name="_xlnm.Print_Area" localSheetId="115">'405f'!$A$1:$F$60</definedName>
    <definedName name="_xlnm.Print_Area" localSheetId="116">'405g'!$A$1:$F$57</definedName>
    <definedName name="_xlnm.Print_Area" localSheetId="117">'406'!$A$1:$J$59</definedName>
    <definedName name="_xlnm.Print_Area" localSheetId="119">'406a'!$A$1:$J$59</definedName>
    <definedName name="_xlnm.Print_Area" localSheetId="118">'407408'!$A$1:$L$99</definedName>
    <definedName name="_xlnm.Print_Area" localSheetId="120">'408a'!$A$1:$G$42</definedName>
    <definedName name="_xlnm.Print_Area" localSheetId="121">'408b'!$A$1:$G$46</definedName>
    <definedName name="_xlnm.Print_Area" localSheetId="122">'408c'!$A$1:$G$56</definedName>
    <definedName name="_xlnm.Print_Area" localSheetId="123">'408d'!$A$1:$G$53</definedName>
    <definedName name="_xlnm.Print_Area" localSheetId="124">'408e'!$A$1:$G$65</definedName>
    <definedName name="_xlnm.Print_Area" localSheetId="125">'408f'!$A$1:$G$76</definedName>
    <definedName name="_xlnm.Print_Area" localSheetId="130">'412a'!$A$1:$I$46</definedName>
    <definedName name="_xlnm.Print_Area" localSheetId="131">'412b'!$A$1:$I$44</definedName>
    <definedName name="_xlnm.Print_Area" localSheetId="132">'412c'!$A$1:$I$40</definedName>
    <definedName name="_xlnm.Print_Area" localSheetId="133">'412d'!$A$1:$I$42</definedName>
    <definedName name="_xlnm.Print_Area" localSheetId="134">'412e'!$A$1:$I$48</definedName>
    <definedName name="_xlnm.Print_Area" localSheetId="1">'Data sheet'!$A$1:$H$70</definedName>
    <definedName name="_xlnm.Print_Area" localSheetId="3">Instructions!$A$1:$E$61</definedName>
    <definedName name="_xlnm.Print_Area" localSheetId="4">Schedules!$A$1:$I$120</definedName>
    <definedName name="_xlnm.Print_Area" localSheetId="136">Verify!$A$1:$C$64</definedName>
    <definedName name="_xlnm.Print_Area" localSheetId="137">Zindex!$A$1:$D$107</definedName>
    <definedName name="TABLEPM">Schedules!$B$129:$B$137</definedName>
    <definedName name="VERIFY">Verify!$A$1</definedName>
    <definedName name="ZINDEX">Zindex!$A$1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8" i="8" l="1"/>
  <c r="N29" i="8"/>
  <c r="N30" i="8"/>
  <c r="F54" i="135"/>
  <c r="F32" i="135"/>
  <c r="E15" i="135"/>
  <c r="F69" i="98" l="1"/>
  <c r="F17" i="135"/>
  <c r="E17" i="135"/>
  <c r="F16" i="135"/>
  <c r="E16" i="135"/>
  <c r="F15" i="135"/>
  <c r="F42" i="135" l="1"/>
  <c r="D46" i="22" l="1"/>
  <c r="E57" i="37" l="1"/>
  <c r="H22" i="37"/>
  <c r="H23" i="37"/>
  <c r="H24" i="37"/>
  <c r="H36" i="37"/>
  <c r="H38" i="37"/>
  <c r="H40" i="37"/>
  <c r="I35" i="105" l="1"/>
  <c r="I32" i="105"/>
  <c r="I28" i="105"/>
  <c r="I24" i="105"/>
  <c r="I20" i="105"/>
  <c r="I16" i="105"/>
  <c r="I12" i="105"/>
  <c r="I32" i="107"/>
  <c r="I28" i="107"/>
  <c r="I24" i="107"/>
  <c r="I20" i="107"/>
  <c r="I16" i="107"/>
  <c r="I12" i="107"/>
  <c r="I32" i="108"/>
  <c r="I28" i="108"/>
  <c r="I24" i="108"/>
  <c r="I20" i="108"/>
  <c r="I16" i="108"/>
  <c r="I12" i="108"/>
  <c r="I42" i="106"/>
  <c r="I38" i="106"/>
  <c r="I33" i="106"/>
  <c r="I29" i="106"/>
  <c r="I25" i="106"/>
  <c r="I17" i="106"/>
  <c r="I13" i="106"/>
  <c r="D51" i="77"/>
  <c r="D50" i="77"/>
  <c r="D49" i="77"/>
  <c r="D48" i="77"/>
  <c r="D47" i="77"/>
  <c r="D46" i="77"/>
  <c r="D45" i="77"/>
  <c r="D44" i="77"/>
  <c r="D43" i="77"/>
  <c r="D36" i="77"/>
  <c r="D33" i="77"/>
  <c r="D31" i="77"/>
  <c r="D30" i="77"/>
  <c r="D29" i="77"/>
  <c r="D28" i="77"/>
  <c r="D27" i="77"/>
  <c r="D26" i="77"/>
  <c r="D25" i="77"/>
  <c r="D24" i="77"/>
  <c r="D23" i="77"/>
  <c r="D22" i="77"/>
  <c r="D21" i="77"/>
  <c r="D20" i="77"/>
  <c r="D19" i="77"/>
  <c r="E55" i="18"/>
  <c r="F21" i="20"/>
  <c r="E29" i="20"/>
  <c r="E34" i="19" l="1"/>
  <c r="D55" i="18" l="1"/>
  <c r="D83" i="18"/>
  <c r="E16" i="17" l="1"/>
  <c r="B73" i="135" l="1"/>
  <c r="B72" i="135"/>
  <c r="F73" i="135"/>
  <c r="F72" i="135"/>
  <c r="I26" i="164" l="1"/>
  <c r="H26" i="164"/>
  <c r="F1" i="176" l="1"/>
  <c r="C1" i="173"/>
  <c r="E1" i="178" s="1"/>
  <c r="C1" i="174"/>
  <c r="G1" i="170"/>
  <c r="F56" i="27" l="1"/>
  <c r="F55" i="27"/>
  <c r="F54" i="27"/>
  <c r="F53" i="27"/>
  <c r="F52" i="27"/>
  <c r="F51" i="27"/>
  <c r="F50" i="27"/>
  <c r="F49" i="27"/>
  <c r="F48" i="27"/>
  <c r="F47" i="27"/>
  <c r="F46" i="27"/>
  <c r="F45" i="27"/>
  <c r="F44" i="27"/>
  <c r="F43" i="27"/>
  <c r="F42" i="27"/>
  <c r="F41" i="27"/>
  <c r="F39" i="27"/>
  <c r="F38" i="27"/>
  <c r="F36" i="27"/>
  <c r="G61" i="29"/>
  <c r="G35" i="29"/>
  <c r="G36" i="29"/>
  <c r="G37" i="29"/>
  <c r="G38" i="29"/>
  <c r="G39" i="29"/>
  <c r="G40" i="29"/>
  <c r="G41" i="29"/>
  <c r="G42" i="29"/>
  <c r="G43" i="29"/>
  <c r="G44" i="29"/>
  <c r="G45" i="29"/>
  <c r="G46" i="29"/>
  <c r="G47" i="29"/>
  <c r="G48" i="29"/>
  <c r="G49" i="29"/>
  <c r="G50" i="29"/>
  <c r="G51" i="29"/>
  <c r="G52" i="29"/>
  <c r="G53" i="29"/>
  <c r="G54" i="29"/>
  <c r="G55" i="29"/>
  <c r="G56" i="29"/>
  <c r="G57" i="29"/>
  <c r="G58" i="29"/>
  <c r="G59" i="29"/>
  <c r="G60" i="29"/>
  <c r="G23" i="14" l="1"/>
  <c r="D156" i="48" l="1"/>
  <c r="D143" i="48"/>
  <c r="H25" i="13"/>
  <c r="H26" i="13"/>
  <c r="H27" i="13"/>
  <c r="H28" i="13"/>
  <c r="H29" i="13"/>
  <c r="H81" i="13" l="1"/>
  <c r="H86" i="13"/>
  <c r="H96" i="13" l="1"/>
  <c r="F41" i="12" l="1"/>
  <c r="E41" i="12"/>
  <c r="C40" i="22" l="1"/>
  <c r="C41" i="22"/>
  <c r="C42" i="22"/>
  <c r="H83" i="18" l="1"/>
  <c r="G83" i="18"/>
  <c r="F83" i="18"/>
  <c r="E83" i="18"/>
  <c r="D48" i="17" l="1"/>
  <c r="L24" i="17" s="1"/>
  <c r="D46" i="17"/>
  <c r="E64" i="21" l="1"/>
  <c r="E63" i="21"/>
  <c r="E52" i="21" l="1"/>
  <c r="F51" i="21" l="1"/>
  <c r="F49" i="21"/>
  <c r="F50" i="21"/>
  <c r="F52" i="21" l="1"/>
  <c r="E57" i="190" l="1"/>
  <c r="K1" i="173" l="1"/>
  <c r="D38" i="60" l="1"/>
  <c r="D37" i="60"/>
  <c r="D36" i="60"/>
  <c r="D35" i="60"/>
  <c r="D34" i="60"/>
  <c r="D33" i="60"/>
  <c r="D32" i="60"/>
  <c r="J20" i="58" l="1"/>
  <c r="E66" i="56" l="1"/>
  <c r="G95" i="14" l="1"/>
  <c r="B75" i="135" l="1"/>
  <c r="B74" i="135"/>
  <c r="B69" i="135"/>
  <c r="F75" i="135" l="1"/>
  <c r="F74" i="135"/>
  <c r="F60" i="97"/>
  <c r="F71" i="135" s="1"/>
  <c r="F69" i="135"/>
  <c r="E22" i="46" l="1"/>
  <c r="E23" i="46"/>
  <c r="E24" i="46"/>
  <c r="E25" i="46"/>
  <c r="E26" i="46"/>
  <c r="E27" i="46"/>
  <c r="E28" i="46"/>
  <c r="E29" i="46"/>
  <c r="E30" i="46"/>
  <c r="E31" i="46"/>
  <c r="E32" i="46"/>
  <c r="E33" i="46"/>
  <c r="I33" i="46"/>
  <c r="E34" i="46"/>
  <c r="I34" i="46"/>
  <c r="E35" i="46"/>
  <c r="I35" i="46"/>
  <c r="H35" i="105" l="1"/>
  <c r="H32" i="105"/>
  <c r="H28" i="105"/>
  <c r="H24" i="105"/>
  <c r="H20" i="105"/>
  <c r="H16" i="105"/>
  <c r="H12" i="105"/>
  <c r="H32" i="107"/>
  <c r="H28" i="107"/>
  <c r="H24" i="107"/>
  <c r="H20" i="107"/>
  <c r="H16" i="107"/>
  <c r="H12" i="107"/>
  <c r="H32" i="108"/>
  <c r="H28" i="108"/>
  <c r="H24" i="108"/>
  <c r="H20" i="108"/>
  <c r="H16" i="108"/>
  <c r="H12" i="108"/>
  <c r="H42" i="106"/>
  <c r="H38" i="106"/>
  <c r="H33" i="106"/>
  <c r="H29" i="106"/>
  <c r="H25" i="106"/>
  <c r="H17" i="106"/>
  <c r="H13" i="106"/>
  <c r="I38" i="107" l="1"/>
  <c r="H38" i="107"/>
  <c r="H42" i="108"/>
  <c r="I42" i="108"/>
  <c r="I44" i="106"/>
  <c r="H44" i="106"/>
  <c r="F40" i="77" l="1"/>
  <c r="E40" i="77"/>
  <c r="C40" i="77"/>
  <c r="D45" i="78" l="1"/>
  <c r="E157" i="48" l="1"/>
  <c r="E154" i="48"/>
  <c r="D157" i="48"/>
  <c r="D154" i="48"/>
  <c r="E116" i="48"/>
  <c r="E104" i="48"/>
  <c r="E93" i="48"/>
  <c r="E78" i="48"/>
  <c r="D116" i="48"/>
  <c r="D104" i="48"/>
  <c r="D93" i="48"/>
  <c r="D78" i="48"/>
  <c r="E48" i="48"/>
  <c r="E42" i="48"/>
  <c r="E28" i="48"/>
  <c r="E18" i="48"/>
  <c r="D48" i="48"/>
  <c r="D42" i="48"/>
  <c r="D28" i="48"/>
  <c r="D18" i="48"/>
  <c r="E29" i="48" l="1"/>
  <c r="D105" i="48"/>
  <c r="D29" i="48"/>
  <c r="D158" i="48"/>
  <c r="E105" i="48"/>
  <c r="E49" i="48"/>
  <c r="D49" i="48"/>
  <c r="E158" i="48"/>
  <c r="C31" i="40"/>
  <c r="E62" i="44" l="1"/>
  <c r="E12" i="46" l="1"/>
  <c r="I12" i="46"/>
  <c r="B63" i="135" l="1"/>
  <c r="F63" i="135" l="1"/>
  <c r="E120" i="15" l="1"/>
  <c r="F52" i="12" l="1"/>
  <c r="E52" i="12"/>
  <c r="J43" i="37" l="1"/>
  <c r="E158" i="52" l="1"/>
  <c r="E38" i="52" s="1"/>
  <c r="E105" i="52"/>
  <c r="E29" i="52" s="1"/>
  <c r="H22" i="26" l="1"/>
  <c r="L24" i="58" l="1"/>
  <c r="C41" i="37" l="1"/>
  <c r="D41" i="37"/>
  <c r="E41" i="37"/>
  <c r="F41" i="37"/>
  <c r="G41" i="37"/>
  <c r="E62" i="36" l="1"/>
  <c r="E57" i="192" l="1"/>
  <c r="E57" i="191"/>
  <c r="I104" i="18" l="1"/>
  <c r="N104" i="18" l="1"/>
  <c r="E54" i="17" l="1"/>
  <c r="E51" i="17"/>
  <c r="P30" i="70" l="1"/>
  <c r="P29" i="70"/>
  <c r="P28" i="70"/>
  <c r="P27" i="70"/>
  <c r="P26" i="70"/>
  <c r="P25" i="70"/>
  <c r="P24" i="70"/>
  <c r="P23" i="70"/>
  <c r="P22" i="70"/>
  <c r="P21" i="70"/>
  <c r="P20" i="70"/>
  <c r="P19" i="70"/>
  <c r="G25" i="42" l="1"/>
  <c r="G24" i="42"/>
  <c r="G23" i="42"/>
  <c r="G13" i="42"/>
  <c r="G14" i="42"/>
  <c r="G15" i="42"/>
  <c r="G16" i="42"/>
  <c r="G18" i="42"/>
  <c r="G19" i="42"/>
  <c r="G20" i="42"/>
  <c r="G21" i="42"/>
  <c r="G27" i="42"/>
  <c r="G28" i="42"/>
  <c r="G29" i="42"/>
  <c r="G30" i="42"/>
  <c r="F80" i="160" l="1"/>
  <c r="D80" i="160"/>
  <c r="E31" i="160" l="1"/>
  <c r="E27" i="160"/>
  <c r="E26" i="160"/>
  <c r="E25" i="160"/>
  <c r="E24" i="160"/>
  <c r="E21" i="160"/>
  <c r="E17" i="160"/>
  <c r="E16" i="160"/>
  <c r="E15" i="160"/>
  <c r="E14" i="160"/>
  <c r="E13" i="160"/>
  <c r="E12" i="160"/>
  <c r="E11" i="160"/>
  <c r="E10" i="160"/>
  <c r="E80" i="160" l="1"/>
  <c r="E25" i="156" l="1"/>
  <c r="E60" i="156"/>
  <c r="E59" i="156"/>
  <c r="E58" i="156"/>
  <c r="E57" i="156"/>
  <c r="E56" i="156"/>
  <c r="E52" i="156"/>
  <c r="E51" i="156"/>
  <c r="E50" i="156"/>
  <c r="E49" i="156"/>
  <c r="E48" i="156"/>
  <c r="E47" i="156"/>
  <c r="E46" i="156"/>
  <c r="E45" i="156"/>
  <c r="E40" i="156"/>
  <c r="E39" i="156"/>
  <c r="E38" i="156"/>
  <c r="E37" i="156"/>
  <c r="E36" i="156"/>
  <c r="E35" i="156"/>
  <c r="E34" i="156"/>
  <c r="E29" i="156"/>
  <c r="E26" i="156"/>
  <c r="E24" i="156"/>
  <c r="E23" i="156"/>
  <c r="E22" i="156"/>
  <c r="E10" i="156"/>
  <c r="E11" i="156"/>
  <c r="E12" i="156"/>
  <c r="E13" i="156"/>
  <c r="E14" i="156"/>
  <c r="E15" i="156"/>
  <c r="E10" i="104"/>
  <c r="E11" i="104"/>
  <c r="E52" i="103"/>
  <c r="E51" i="103"/>
  <c r="E50" i="103"/>
  <c r="E49" i="103"/>
  <c r="E47" i="103"/>
  <c r="E46" i="103"/>
  <c r="E45" i="103"/>
  <c r="E44" i="103"/>
  <c r="E43" i="103"/>
  <c r="E42" i="103"/>
  <c r="E40" i="103"/>
  <c r="E39" i="103"/>
  <c r="E38" i="103"/>
  <c r="E37" i="103"/>
  <c r="E36" i="103"/>
  <c r="E34" i="103"/>
  <c r="E33" i="103"/>
  <c r="E32" i="103"/>
  <c r="E31" i="103"/>
  <c r="E30" i="103"/>
  <c r="E28" i="103"/>
  <c r="E27" i="103"/>
  <c r="E26" i="103"/>
  <c r="E24" i="103"/>
  <c r="E23" i="103"/>
  <c r="E22" i="103"/>
  <c r="E21" i="103"/>
  <c r="E20" i="103"/>
  <c r="E19" i="103"/>
  <c r="E18" i="103"/>
  <c r="E16" i="103"/>
  <c r="E32" i="102"/>
  <c r="E28" i="102"/>
  <c r="E20" i="102"/>
  <c r="E18" i="102"/>
  <c r="E37" i="101"/>
  <c r="E36" i="101"/>
  <c r="E19" i="101"/>
  <c r="E22" i="101"/>
  <c r="E21" i="101"/>
  <c r="E32" i="101" l="1"/>
  <c r="E33" i="101"/>
  <c r="E34" i="101"/>
  <c r="E35" i="101"/>
  <c r="E11" i="101"/>
  <c r="E12" i="101"/>
  <c r="E13" i="101"/>
  <c r="E14" i="101"/>
  <c r="E15" i="101"/>
  <c r="E16" i="101"/>
  <c r="E17" i="101"/>
  <c r="E18" i="101"/>
  <c r="E23" i="101"/>
  <c r="E24" i="101"/>
  <c r="E25" i="101"/>
  <c r="G25" i="101" s="1"/>
  <c r="E26" i="101"/>
  <c r="E27" i="101"/>
  <c r="E28" i="101"/>
  <c r="H14" i="164" l="1"/>
  <c r="I20" i="164"/>
  <c r="H20" i="164"/>
  <c r="I14" i="164"/>
  <c r="I8" i="164"/>
  <c r="I50" i="164" l="1"/>
  <c r="H50" i="164"/>
  <c r="G15" i="160"/>
  <c r="G14" i="160"/>
  <c r="G11" i="160"/>
  <c r="G12" i="160"/>
  <c r="G13" i="160"/>
  <c r="G16" i="160"/>
  <c r="G17" i="160"/>
  <c r="N59" i="155" l="1"/>
  <c r="N67" i="85" l="1"/>
  <c r="G31" i="160" l="1"/>
  <c r="G33" i="160" s="1"/>
  <c r="G27" i="160"/>
  <c r="G26" i="160"/>
  <c r="G25" i="160"/>
  <c r="G24" i="160"/>
  <c r="G21" i="160"/>
  <c r="G22" i="160" s="1"/>
  <c r="G10" i="160"/>
  <c r="C80" i="160"/>
  <c r="F33" i="160"/>
  <c r="E33" i="160"/>
  <c r="D33" i="160"/>
  <c r="C33" i="160"/>
  <c r="F29" i="160"/>
  <c r="E29" i="160"/>
  <c r="D29" i="160"/>
  <c r="C29" i="160"/>
  <c r="F22" i="160"/>
  <c r="E22" i="160"/>
  <c r="D22" i="160"/>
  <c r="C22" i="160"/>
  <c r="F19" i="160"/>
  <c r="D19" i="160"/>
  <c r="C19" i="160"/>
  <c r="F78" i="160" l="1"/>
  <c r="G29" i="160"/>
  <c r="D78" i="160"/>
  <c r="C78" i="160"/>
  <c r="G19" i="160"/>
  <c r="E19" i="160"/>
  <c r="E78" i="160" s="1"/>
  <c r="C377" i="80"/>
  <c r="C373" i="80"/>
  <c r="C371" i="80"/>
  <c r="C370" i="80"/>
  <c r="C369" i="80"/>
  <c r="C434" i="80" s="1"/>
  <c r="C368" i="80"/>
  <c r="C364" i="80"/>
  <c r="C355" i="80"/>
  <c r="C330" i="80"/>
  <c r="C323" i="80"/>
  <c r="C322" i="80"/>
  <c r="C321" i="80"/>
  <c r="C258" i="80"/>
  <c r="C248" i="80"/>
  <c r="C203" i="80"/>
  <c r="C193" i="80"/>
  <c r="C186" i="80"/>
  <c r="C185" i="80"/>
  <c r="C426" i="80" s="1"/>
  <c r="C184" i="80"/>
  <c r="C183" i="80"/>
  <c r="C182" i="80"/>
  <c r="C181" i="80"/>
  <c r="C175" i="80"/>
  <c r="C174" i="80"/>
  <c r="C173" i="80"/>
  <c r="C172" i="80"/>
  <c r="C171" i="80"/>
  <c r="C168" i="80"/>
  <c r="C167" i="80"/>
  <c r="C166" i="80"/>
  <c r="C161" i="80"/>
  <c r="C160" i="80"/>
  <c r="C159" i="80"/>
  <c r="C158" i="80"/>
  <c r="C157" i="80"/>
  <c r="C156" i="80"/>
  <c r="C155" i="80"/>
  <c r="C154" i="80"/>
  <c r="C153" i="80"/>
  <c r="C148" i="80"/>
  <c r="C127" i="80"/>
  <c r="C115" i="80"/>
  <c r="C114" i="80"/>
  <c r="C113" i="80"/>
  <c r="C103" i="80"/>
  <c r="C102" i="80"/>
  <c r="C101" i="80"/>
  <c r="C100" i="80"/>
  <c r="C91" i="80"/>
  <c r="C346" i="80" s="1"/>
  <c r="C274" i="80" s="1"/>
  <c r="C90" i="80"/>
  <c r="C349" i="80" s="1"/>
  <c r="C276" i="80" s="1"/>
  <c r="C89" i="80"/>
  <c r="C341" i="80" s="1"/>
  <c r="C343" i="80" s="1"/>
  <c r="C272" i="80" s="1"/>
  <c r="C88" i="80"/>
  <c r="C87" i="80"/>
  <c r="C85" i="80"/>
  <c r="C83" i="80"/>
  <c r="C69" i="80"/>
  <c r="C68" i="80"/>
  <c r="C67" i="80"/>
  <c r="C66" i="80"/>
  <c r="C62" i="80"/>
  <c r="C61" i="80"/>
  <c r="C60" i="80"/>
  <c r="C59" i="80"/>
  <c r="C58" i="80"/>
  <c r="C57" i="80"/>
  <c r="C56" i="80"/>
  <c r="C55" i="80"/>
  <c r="C48" i="80"/>
  <c r="C47" i="80"/>
  <c r="C46" i="80"/>
  <c r="C45" i="80"/>
  <c r="C416" i="80" s="1"/>
  <c r="C44" i="80"/>
  <c r="C37" i="80"/>
  <c r="C36" i="80"/>
  <c r="C35" i="80"/>
  <c r="C31" i="80"/>
  <c r="C30" i="80"/>
  <c r="C29" i="80"/>
  <c r="C28" i="80"/>
  <c r="C27" i="80"/>
  <c r="C26" i="80"/>
  <c r="C25" i="80"/>
  <c r="C21" i="80"/>
  <c r="C20" i="80"/>
  <c r="C19" i="80"/>
  <c r="C14" i="80"/>
  <c r="A7" i="80"/>
  <c r="I8" i="105"/>
  <c r="I8" i="107"/>
  <c r="I8" i="108"/>
  <c r="K95" i="79"/>
  <c r="I95" i="79"/>
  <c r="K91" i="79"/>
  <c r="I91" i="79"/>
  <c r="K87" i="79"/>
  <c r="I87" i="79"/>
  <c r="K79" i="79"/>
  <c r="I79" i="79"/>
  <c r="K75" i="79"/>
  <c r="I75" i="79"/>
  <c r="L50" i="79"/>
  <c r="K50" i="79"/>
  <c r="J50" i="79"/>
  <c r="I50" i="79"/>
  <c r="K45" i="78"/>
  <c r="J45" i="78"/>
  <c r="I45" i="78"/>
  <c r="H45" i="78"/>
  <c r="F45" i="78"/>
  <c r="E45" i="78"/>
  <c r="K49" i="157"/>
  <c r="J49" i="157"/>
  <c r="I49" i="157"/>
  <c r="H49" i="157"/>
  <c r="F49" i="157"/>
  <c r="E49" i="157"/>
  <c r="D49" i="157"/>
  <c r="D49" i="78" s="1"/>
  <c r="F56" i="77"/>
  <c r="E56" i="77"/>
  <c r="D56" i="77"/>
  <c r="C56" i="77"/>
  <c r="A18" i="77"/>
  <c r="A19" i="77" s="1"/>
  <c r="A20" i="77" s="1"/>
  <c r="A21" i="77" s="1"/>
  <c r="A22" i="77" s="1"/>
  <c r="A23" i="77" s="1"/>
  <c r="A24" i="77" s="1"/>
  <c r="A25" i="77" s="1"/>
  <c r="A26" i="77" s="1"/>
  <c r="A27" i="77" s="1"/>
  <c r="A28" i="77" s="1"/>
  <c r="A29" i="77" s="1"/>
  <c r="A30" i="77" s="1"/>
  <c r="A31" i="77" s="1"/>
  <c r="F62" i="156"/>
  <c r="E62" i="156"/>
  <c r="D62" i="156"/>
  <c r="C62" i="156"/>
  <c r="G60" i="156"/>
  <c r="G59" i="156"/>
  <c r="G58" i="156"/>
  <c r="G57" i="156"/>
  <c r="G56" i="156"/>
  <c r="D54" i="156"/>
  <c r="C54" i="156"/>
  <c r="G52" i="156"/>
  <c r="G51" i="156"/>
  <c r="F50" i="156"/>
  <c r="G49" i="156"/>
  <c r="G47" i="156"/>
  <c r="G46" i="156"/>
  <c r="G45" i="156"/>
  <c r="F42" i="156"/>
  <c r="E42" i="156"/>
  <c r="D42" i="156"/>
  <c r="C42" i="156"/>
  <c r="G40" i="156"/>
  <c r="G39" i="156"/>
  <c r="G38" i="156"/>
  <c r="G37" i="156"/>
  <c r="G36" i="156"/>
  <c r="G35" i="156"/>
  <c r="G34" i="156"/>
  <c r="F32" i="156"/>
  <c r="E32" i="156"/>
  <c r="D32" i="156"/>
  <c r="C32" i="156"/>
  <c r="G29" i="156"/>
  <c r="G32" i="156" s="1"/>
  <c r="F27" i="156"/>
  <c r="E27" i="156"/>
  <c r="D27" i="156"/>
  <c r="C27" i="156"/>
  <c r="G26" i="156"/>
  <c r="G25" i="156"/>
  <c r="G24" i="156"/>
  <c r="G23" i="156"/>
  <c r="G22" i="156"/>
  <c r="G20" i="156"/>
  <c r="F20" i="156"/>
  <c r="E20" i="156"/>
  <c r="D20" i="156"/>
  <c r="C20" i="156"/>
  <c r="F17" i="156"/>
  <c r="D17" i="156"/>
  <c r="C17" i="156"/>
  <c r="G15" i="156"/>
  <c r="G14" i="156"/>
  <c r="G13" i="156"/>
  <c r="G12" i="156"/>
  <c r="G11" i="156"/>
  <c r="G10" i="156"/>
  <c r="E9" i="156"/>
  <c r="E17" i="156" s="1"/>
  <c r="F50" i="104"/>
  <c r="D50" i="104"/>
  <c r="C50" i="104"/>
  <c r="E49" i="104"/>
  <c r="G49" i="104" s="1"/>
  <c r="E48" i="104"/>
  <c r="G48" i="104" s="1"/>
  <c r="E47" i="104"/>
  <c r="G47" i="104" s="1"/>
  <c r="E46" i="104"/>
  <c r="G46" i="104" s="1"/>
  <c r="D45" i="104"/>
  <c r="C45" i="104"/>
  <c r="E44" i="104"/>
  <c r="G44" i="104" s="1"/>
  <c r="E43" i="104"/>
  <c r="G43" i="104" s="1"/>
  <c r="E42" i="104"/>
  <c r="G42" i="104" s="1"/>
  <c r="E41" i="104"/>
  <c r="G41" i="104" s="1"/>
  <c r="E40" i="104"/>
  <c r="G40" i="104" s="1"/>
  <c r="F39" i="104"/>
  <c r="F45" i="104" s="1"/>
  <c r="E39" i="104"/>
  <c r="E38" i="104"/>
  <c r="G38" i="104" s="1"/>
  <c r="E37" i="104"/>
  <c r="G37" i="104" s="1"/>
  <c r="F36" i="104"/>
  <c r="D36" i="104"/>
  <c r="C36" i="104"/>
  <c r="E35" i="104"/>
  <c r="G35" i="104" s="1"/>
  <c r="E34" i="104"/>
  <c r="G34" i="104" s="1"/>
  <c r="E33" i="104"/>
  <c r="G33" i="104" s="1"/>
  <c r="E32" i="104"/>
  <c r="G32" i="104" s="1"/>
  <c r="E31" i="104"/>
  <c r="G31" i="104" s="1"/>
  <c r="F30" i="104"/>
  <c r="D30" i="104"/>
  <c r="C30" i="104"/>
  <c r="E29" i="104"/>
  <c r="G29" i="104" s="1"/>
  <c r="E28" i="104"/>
  <c r="G28" i="104" s="1"/>
  <c r="E27" i="104"/>
  <c r="G27" i="104" s="1"/>
  <c r="E26" i="104"/>
  <c r="G26" i="104" s="1"/>
  <c r="E25" i="104"/>
  <c r="F24" i="104"/>
  <c r="D24" i="104"/>
  <c r="C24" i="104"/>
  <c r="E23" i="104"/>
  <c r="G23" i="104" s="1"/>
  <c r="E22" i="104"/>
  <c r="G22" i="104" s="1"/>
  <c r="E21" i="104"/>
  <c r="G21" i="104" s="1"/>
  <c r="E20" i="104"/>
  <c r="G20" i="104" s="1"/>
  <c r="F19" i="104"/>
  <c r="D19" i="104"/>
  <c r="C19" i="104"/>
  <c r="E18" i="104"/>
  <c r="G18" i="104" s="1"/>
  <c r="E17" i="104"/>
  <c r="G17" i="104" s="1"/>
  <c r="E16" i="104"/>
  <c r="G16" i="104" s="1"/>
  <c r="E15" i="104"/>
  <c r="G15" i="104" s="1"/>
  <c r="E14" i="104"/>
  <c r="G14" i="104" s="1"/>
  <c r="E13" i="104"/>
  <c r="G13" i="104" s="1"/>
  <c r="F12" i="104"/>
  <c r="D12" i="104"/>
  <c r="C12" i="104"/>
  <c r="G11" i="104"/>
  <c r="G10" i="104"/>
  <c r="E9" i="104"/>
  <c r="F53" i="103"/>
  <c r="E53" i="103"/>
  <c r="D53" i="103"/>
  <c r="C53" i="103"/>
  <c r="G52" i="103"/>
  <c r="G51" i="103"/>
  <c r="G50" i="103"/>
  <c r="G49" i="103"/>
  <c r="F48" i="103"/>
  <c r="D48" i="103"/>
  <c r="C48" i="103"/>
  <c r="G47" i="103"/>
  <c r="G46" i="103"/>
  <c r="G45" i="103"/>
  <c r="G44" i="103"/>
  <c r="G43" i="103"/>
  <c r="G42" i="103"/>
  <c r="F41" i="103"/>
  <c r="D41" i="103"/>
  <c r="C41" i="103"/>
  <c r="G40" i="103"/>
  <c r="G39" i="103"/>
  <c r="G38" i="103"/>
  <c r="G37" i="103"/>
  <c r="G36" i="103"/>
  <c r="E41" i="103"/>
  <c r="F35" i="103"/>
  <c r="E35" i="103"/>
  <c r="D35" i="103"/>
  <c r="C35" i="103"/>
  <c r="G34" i="103"/>
  <c r="G33" i="103"/>
  <c r="G32" i="103"/>
  <c r="G31" i="103"/>
  <c r="G30" i="103"/>
  <c r="F29" i="103"/>
  <c r="E29" i="103"/>
  <c r="D29" i="103"/>
  <c r="C29" i="103"/>
  <c r="G28" i="103"/>
  <c r="G27" i="103"/>
  <c r="G26" i="103"/>
  <c r="F25" i="103"/>
  <c r="E25" i="103"/>
  <c r="D25" i="103"/>
  <c r="C25" i="103"/>
  <c r="G24" i="103"/>
  <c r="G23" i="103"/>
  <c r="G22" i="103"/>
  <c r="G21" i="103"/>
  <c r="G20" i="103"/>
  <c r="G19" i="103"/>
  <c r="G18" i="103"/>
  <c r="F17" i="103"/>
  <c r="D17" i="103"/>
  <c r="C17" i="103"/>
  <c r="G16" i="103"/>
  <c r="E15" i="103"/>
  <c r="G15" i="103" s="1"/>
  <c r="E14" i="103"/>
  <c r="G14" i="103" s="1"/>
  <c r="E13" i="103"/>
  <c r="G13" i="103" s="1"/>
  <c r="E12" i="103"/>
  <c r="G12" i="103" s="1"/>
  <c r="E11" i="103"/>
  <c r="F42" i="102"/>
  <c r="D42" i="102"/>
  <c r="C42" i="102"/>
  <c r="E41" i="102"/>
  <c r="G41" i="102" s="1"/>
  <c r="E40" i="102"/>
  <c r="G40" i="102" s="1"/>
  <c r="E39" i="102"/>
  <c r="G39" i="102" s="1"/>
  <c r="E38" i="102"/>
  <c r="G38" i="102" s="1"/>
  <c r="E37" i="102"/>
  <c r="G37" i="102" s="1"/>
  <c r="F36" i="102"/>
  <c r="D36" i="102"/>
  <c r="C36" i="102"/>
  <c r="E35" i="102"/>
  <c r="G35" i="102" s="1"/>
  <c r="E34" i="102"/>
  <c r="G34" i="102" s="1"/>
  <c r="F33" i="102"/>
  <c r="D33" i="102"/>
  <c r="C33" i="102"/>
  <c r="G32" i="102"/>
  <c r="E31" i="102"/>
  <c r="G31" i="102" s="1"/>
  <c r="E30" i="102"/>
  <c r="G30" i="102" s="1"/>
  <c r="F29" i="102"/>
  <c r="D29" i="102"/>
  <c r="C29" i="102"/>
  <c r="G28" i="102"/>
  <c r="E27" i="102"/>
  <c r="G27" i="102" s="1"/>
  <c r="E26" i="102"/>
  <c r="G26" i="102" s="1"/>
  <c r="E25" i="102"/>
  <c r="G25" i="102" s="1"/>
  <c r="E24" i="102"/>
  <c r="G24" i="102" s="1"/>
  <c r="E23" i="102"/>
  <c r="G23" i="102" s="1"/>
  <c r="E22" i="102"/>
  <c r="G22" i="102" s="1"/>
  <c r="E21" i="102"/>
  <c r="G21" i="102" s="1"/>
  <c r="G20" i="102"/>
  <c r="F19" i="102"/>
  <c r="D19" i="102"/>
  <c r="C19" i="102"/>
  <c r="G18" i="102"/>
  <c r="E17" i="102"/>
  <c r="G17" i="102" s="1"/>
  <c r="E16" i="102"/>
  <c r="G16" i="102" s="1"/>
  <c r="E15" i="102"/>
  <c r="G15" i="102" s="1"/>
  <c r="E14" i="102"/>
  <c r="G14" i="102" s="1"/>
  <c r="E13" i="102"/>
  <c r="G13" i="102" s="1"/>
  <c r="E12" i="102"/>
  <c r="G12" i="102" s="1"/>
  <c r="E11" i="102"/>
  <c r="G11" i="102" s="1"/>
  <c r="E10" i="102"/>
  <c r="F38" i="101"/>
  <c r="D38" i="101"/>
  <c r="C38" i="101"/>
  <c r="G37" i="101"/>
  <c r="G36" i="101"/>
  <c r="G35" i="101"/>
  <c r="G34" i="101"/>
  <c r="G33" i="101"/>
  <c r="G32" i="101"/>
  <c r="E31" i="101"/>
  <c r="E30" i="101"/>
  <c r="G30" i="101" s="1"/>
  <c r="F29" i="101"/>
  <c r="D29" i="101"/>
  <c r="C29" i="101"/>
  <c r="G28" i="101"/>
  <c r="G27" i="101"/>
  <c r="G26" i="101"/>
  <c r="G24" i="101"/>
  <c r="G23" i="101"/>
  <c r="G22" i="101"/>
  <c r="G21" i="101"/>
  <c r="F20" i="101"/>
  <c r="D20" i="101"/>
  <c r="C20" i="101"/>
  <c r="G19" i="101"/>
  <c r="G18" i="101"/>
  <c r="G17" i="101"/>
  <c r="G16" i="101"/>
  <c r="G15" i="101"/>
  <c r="G14" i="101"/>
  <c r="G12" i="101"/>
  <c r="G11" i="101"/>
  <c r="E10" i="101"/>
  <c r="G10" i="101" s="1"/>
  <c r="E9" i="101"/>
  <c r="B60" i="97"/>
  <c r="B69" i="98"/>
  <c r="C50" i="74"/>
  <c r="C54" i="74" s="1"/>
  <c r="N71" i="84"/>
  <c r="N71" i="154"/>
  <c r="O31" i="70"/>
  <c r="N31" i="70"/>
  <c r="M31" i="70"/>
  <c r="L31" i="70"/>
  <c r="K31" i="70"/>
  <c r="J31" i="70"/>
  <c r="I31" i="70"/>
  <c r="H31" i="70"/>
  <c r="G31" i="70"/>
  <c r="F31" i="70"/>
  <c r="E31" i="70"/>
  <c r="D31" i="70"/>
  <c r="C31" i="70"/>
  <c r="P31" i="70"/>
  <c r="D62" i="69"/>
  <c r="K32" i="64"/>
  <c r="K24" i="64"/>
  <c r="K20" i="64"/>
  <c r="K15" i="64"/>
  <c r="E71" i="61"/>
  <c r="E137" i="61" s="1"/>
  <c r="A27" i="61"/>
  <c r="A28" i="61" s="1"/>
  <c r="A29" i="61" s="1"/>
  <c r="A30" i="61" s="1"/>
  <c r="A31" i="61" s="1"/>
  <c r="A32" i="61" s="1"/>
  <c r="A33" i="61" s="1"/>
  <c r="A34" i="61" s="1"/>
  <c r="A35" i="61" s="1"/>
  <c r="A36" i="61" s="1"/>
  <c r="A37" i="61" s="1"/>
  <c r="A38" i="61" s="1"/>
  <c r="A39" i="61" s="1"/>
  <c r="A40" i="61" s="1"/>
  <c r="A41" i="61" s="1"/>
  <c r="A42" i="61" s="1"/>
  <c r="A43" i="61" s="1"/>
  <c r="A44" i="61" s="1"/>
  <c r="A45" i="61" s="1"/>
  <c r="A46" i="61" s="1"/>
  <c r="A47" i="61" s="1"/>
  <c r="A48" i="61" s="1"/>
  <c r="A49" i="61" s="1"/>
  <c r="A50" i="61" s="1"/>
  <c r="A51" i="61" s="1"/>
  <c r="A52" i="61" s="1"/>
  <c r="A53" i="61" s="1"/>
  <c r="A54" i="61" s="1"/>
  <c r="A55" i="61" s="1"/>
  <c r="A56" i="61" s="1"/>
  <c r="A57" i="61" s="1"/>
  <c r="A58" i="61" s="1"/>
  <c r="F51" i="60"/>
  <c r="F50" i="60"/>
  <c r="E49" i="60"/>
  <c r="D49" i="60"/>
  <c r="F47" i="60"/>
  <c r="F46" i="60"/>
  <c r="E44" i="60"/>
  <c r="D44" i="60"/>
  <c r="F43" i="60"/>
  <c r="F42" i="60"/>
  <c r="D30" i="60"/>
  <c r="D23" i="60"/>
  <c r="K128" i="59"/>
  <c r="J128" i="59"/>
  <c r="H128" i="59"/>
  <c r="G128" i="59"/>
  <c r="K63" i="59"/>
  <c r="J63" i="59"/>
  <c r="H63" i="59"/>
  <c r="G63" i="59"/>
  <c r="I62" i="58"/>
  <c r="F62" i="58"/>
  <c r="D62" i="58"/>
  <c r="C62" i="58"/>
  <c r="J24" i="58"/>
  <c r="M24" i="58" s="1"/>
  <c r="O24" i="58" s="1"/>
  <c r="E24" i="58"/>
  <c r="E18" i="58"/>
  <c r="D59" i="57"/>
  <c r="C59" i="57"/>
  <c r="D35" i="57"/>
  <c r="C35" i="57"/>
  <c r="E202" i="56"/>
  <c r="C202" i="56"/>
  <c r="B202" i="56"/>
  <c r="E201" i="56"/>
  <c r="C201" i="56"/>
  <c r="B201" i="56"/>
  <c r="E200" i="56"/>
  <c r="C200" i="56"/>
  <c r="B200" i="56"/>
  <c r="E199" i="56"/>
  <c r="C199" i="56"/>
  <c r="B199" i="56"/>
  <c r="H193" i="56"/>
  <c r="E193" i="56"/>
  <c r="E181" i="56"/>
  <c r="F181" i="56" s="1"/>
  <c r="H176" i="56"/>
  <c r="E175" i="56"/>
  <c r="E126" i="56"/>
  <c r="E89" i="56"/>
  <c r="E81" i="56"/>
  <c r="E33" i="56"/>
  <c r="F47" i="55"/>
  <c r="A34" i="55"/>
  <c r="A35" i="55" s="1"/>
  <c r="A36" i="55" s="1"/>
  <c r="A37" i="55" s="1"/>
  <c r="A38" i="55" s="1"/>
  <c r="A39" i="55" s="1"/>
  <c r="A40" i="55" s="1"/>
  <c r="A41" i="55" s="1"/>
  <c r="A42" i="55" s="1"/>
  <c r="A43" i="55" s="1"/>
  <c r="A44" i="55" s="1"/>
  <c r="A45" i="55" s="1"/>
  <c r="A46" i="55" s="1"/>
  <c r="E31" i="55"/>
  <c r="A18" i="55"/>
  <c r="A19" i="55" s="1"/>
  <c r="A20" i="55" s="1"/>
  <c r="A21" i="55" s="1"/>
  <c r="A22" i="55" s="1"/>
  <c r="A23" i="55" s="1"/>
  <c r="A24" i="55" s="1"/>
  <c r="A25" i="55" s="1"/>
  <c r="A26" i="55" s="1"/>
  <c r="A27" i="55" s="1"/>
  <c r="A28" i="55" s="1"/>
  <c r="A29" i="55" s="1"/>
  <c r="A30" i="55" s="1"/>
  <c r="A31" i="55" s="1"/>
  <c r="E58" i="54"/>
  <c r="F58" i="54" s="1"/>
  <c r="E41" i="54"/>
  <c r="F54" i="53"/>
  <c r="E54" i="53"/>
  <c r="D54" i="53"/>
  <c r="G52" i="53"/>
  <c r="G51" i="53"/>
  <c r="G50" i="53"/>
  <c r="F43" i="53"/>
  <c r="E43" i="53"/>
  <c r="D43" i="53"/>
  <c r="G42" i="53"/>
  <c r="G41" i="53"/>
  <c r="G40" i="53"/>
  <c r="G39" i="53"/>
  <c r="G38" i="53"/>
  <c r="G37" i="53"/>
  <c r="G36" i="53"/>
  <c r="G35" i="53"/>
  <c r="G34" i="53"/>
  <c r="G33" i="53"/>
  <c r="G32" i="53"/>
  <c r="G31" i="53"/>
  <c r="G30" i="53"/>
  <c r="G29" i="53"/>
  <c r="G28" i="53"/>
  <c r="G27" i="53"/>
  <c r="F23" i="53"/>
  <c r="E23" i="53"/>
  <c r="D23" i="53"/>
  <c r="G22" i="53"/>
  <c r="G21" i="53"/>
  <c r="G20" i="53"/>
  <c r="G19" i="53"/>
  <c r="G18" i="53"/>
  <c r="G17" i="53"/>
  <c r="G16" i="53"/>
  <c r="G15" i="53"/>
  <c r="A21" i="52"/>
  <c r="A22" i="52" s="1"/>
  <c r="A23" i="52" s="1"/>
  <c r="A24" i="52" s="1"/>
  <c r="A25" i="52" s="1"/>
  <c r="A26" i="52" s="1"/>
  <c r="A27" i="52" s="1"/>
  <c r="A28" i="52" s="1"/>
  <c r="A29" i="52" s="1"/>
  <c r="A30" i="52" s="1"/>
  <c r="A31" i="52" s="1"/>
  <c r="A32" i="52" s="1"/>
  <c r="A33" i="52" s="1"/>
  <c r="A34" i="52" s="1"/>
  <c r="E59" i="51"/>
  <c r="E38" i="50"/>
  <c r="D38" i="50"/>
  <c r="C38" i="50"/>
  <c r="F37" i="50"/>
  <c r="F36" i="50"/>
  <c r="F35" i="50"/>
  <c r="F34" i="50"/>
  <c r="F33" i="50"/>
  <c r="F32" i="50"/>
  <c r="F31" i="50"/>
  <c r="E61" i="49"/>
  <c r="D61" i="49"/>
  <c r="A42" i="49"/>
  <c r="A43" i="49" s="1"/>
  <c r="A44" i="49" s="1"/>
  <c r="A45" i="49" s="1"/>
  <c r="A46" i="49" s="1"/>
  <c r="A47" i="49" s="1"/>
  <c r="A48" i="49" s="1"/>
  <c r="A49" i="49" s="1"/>
  <c r="A50" i="49" s="1"/>
  <c r="A51" i="49" s="1"/>
  <c r="A52" i="49" s="1"/>
  <c r="A53" i="49" s="1"/>
  <c r="A54" i="49" s="1"/>
  <c r="A55" i="49" s="1"/>
  <c r="A56" i="49" s="1"/>
  <c r="A57" i="49" s="1"/>
  <c r="A58" i="49" s="1"/>
  <c r="A59" i="49" s="1"/>
  <c r="A60" i="49" s="1"/>
  <c r="D175" i="48"/>
  <c r="C438" i="80" s="1"/>
  <c r="C404" i="80" s="1"/>
  <c r="E60" i="48"/>
  <c r="E79" i="48" s="1"/>
  <c r="D60" i="48"/>
  <c r="E63" i="47"/>
  <c r="D39" i="43" s="1"/>
  <c r="E35" i="47"/>
  <c r="D36" i="43" s="1"/>
  <c r="H44" i="46"/>
  <c r="G44" i="46"/>
  <c r="D44" i="46"/>
  <c r="C44" i="46"/>
  <c r="I43" i="46"/>
  <c r="E43" i="46"/>
  <c r="I42" i="46"/>
  <c r="E42" i="46"/>
  <c r="I41" i="46"/>
  <c r="E41" i="46"/>
  <c r="I40" i="46"/>
  <c r="E40" i="46"/>
  <c r="I39" i="46"/>
  <c r="E39" i="46"/>
  <c r="I38" i="46"/>
  <c r="E38" i="46"/>
  <c r="I37" i="46"/>
  <c r="E37" i="46"/>
  <c r="I36" i="46"/>
  <c r="E36" i="46"/>
  <c r="H125" i="45"/>
  <c r="G125" i="45"/>
  <c r="F125" i="45"/>
  <c r="E125" i="45"/>
  <c r="D125" i="45"/>
  <c r="C125" i="45"/>
  <c r="Q64" i="45"/>
  <c r="E50" i="44" s="1"/>
  <c r="E54" i="44" s="1"/>
  <c r="P64" i="45"/>
  <c r="O64" i="45"/>
  <c r="D27" i="43" s="1"/>
  <c r="N64" i="45"/>
  <c r="H26" i="43" s="1"/>
  <c r="M64" i="45"/>
  <c r="C216" i="80" s="1"/>
  <c r="L64" i="45"/>
  <c r="D26" i="43" s="1"/>
  <c r="K64" i="45"/>
  <c r="E23" i="44" s="1"/>
  <c r="J64" i="45"/>
  <c r="F24" i="43" s="1"/>
  <c r="I64" i="45"/>
  <c r="H64" i="45"/>
  <c r="E22" i="44" s="1"/>
  <c r="G64" i="45"/>
  <c r="F64" i="45"/>
  <c r="E64" i="45"/>
  <c r="H22" i="43" s="1"/>
  <c r="C222" i="80" s="1"/>
  <c r="D64" i="45"/>
  <c r="F22" i="43" s="1"/>
  <c r="C214" i="80" s="1"/>
  <c r="C64" i="45"/>
  <c r="E138" i="44"/>
  <c r="D138" i="44"/>
  <c r="C138" i="44"/>
  <c r="G137" i="44"/>
  <c r="F137" i="44"/>
  <c r="G136" i="44"/>
  <c r="F136" i="44"/>
  <c r="G135" i="44"/>
  <c r="F135" i="44"/>
  <c r="G134" i="44"/>
  <c r="F134" i="44"/>
  <c r="G133" i="44"/>
  <c r="F133" i="44"/>
  <c r="G132" i="44"/>
  <c r="F132" i="44"/>
  <c r="G131" i="44"/>
  <c r="F131" i="44"/>
  <c r="G130" i="44"/>
  <c r="F130" i="44"/>
  <c r="G129" i="44"/>
  <c r="F129" i="44"/>
  <c r="G128" i="44"/>
  <c r="F128" i="44"/>
  <c r="G127" i="44"/>
  <c r="F127" i="44"/>
  <c r="G126" i="44"/>
  <c r="F126" i="44"/>
  <c r="G125" i="44"/>
  <c r="F125" i="44"/>
  <c r="A125" i="44"/>
  <c r="A126" i="44" s="1"/>
  <c r="A127" i="44" s="1"/>
  <c r="A128" i="44" s="1"/>
  <c r="A129" i="44" s="1"/>
  <c r="A130" i="44" s="1"/>
  <c r="A131" i="44" s="1"/>
  <c r="A132" i="44" s="1"/>
  <c r="A133" i="44" s="1"/>
  <c r="A134" i="44" s="1"/>
  <c r="A135" i="44" s="1"/>
  <c r="A136" i="44" s="1"/>
  <c r="A137" i="44" s="1"/>
  <c r="A138" i="44" s="1"/>
  <c r="G124" i="44"/>
  <c r="F124" i="44"/>
  <c r="G123" i="44"/>
  <c r="F123" i="44"/>
  <c r="G122" i="44"/>
  <c r="F122" i="44"/>
  <c r="G121" i="44"/>
  <c r="F121" i="44"/>
  <c r="G120" i="44"/>
  <c r="F120" i="44"/>
  <c r="G119" i="44"/>
  <c r="F119" i="44"/>
  <c r="G118" i="44"/>
  <c r="F118" i="44"/>
  <c r="G117" i="44"/>
  <c r="F117" i="44"/>
  <c r="G116" i="44"/>
  <c r="F116" i="44"/>
  <c r="G115" i="44"/>
  <c r="F115" i="44"/>
  <c r="G114" i="44"/>
  <c r="F114" i="44"/>
  <c r="G113" i="44"/>
  <c r="F113" i="44"/>
  <c r="G112" i="44"/>
  <c r="F112" i="44"/>
  <c r="G111" i="44"/>
  <c r="F111" i="44"/>
  <c r="G110" i="44"/>
  <c r="F110" i="44"/>
  <c r="G109" i="44"/>
  <c r="F109" i="44"/>
  <c r="G108" i="44"/>
  <c r="F108" i="44"/>
  <c r="G107" i="44"/>
  <c r="F107" i="44"/>
  <c r="G106" i="44"/>
  <c r="F106" i="44"/>
  <c r="G105" i="44"/>
  <c r="F105" i="44"/>
  <c r="G104" i="44"/>
  <c r="F104" i="44"/>
  <c r="G103" i="44"/>
  <c r="F103" i="44"/>
  <c r="G102" i="44"/>
  <c r="F102" i="44"/>
  <c r="G101" i="44"/>
  <c r="F101" i="44"/>
  <c r="G100" i="44"/>
  <c r="F100" i="44"/>
  <c r="G99" i="44"/>
  <c r="F99" i="44"/>
  <c r="G98" i="44"/>
  <c r="F98" i="44"/>
  <c r="G97" i="44"/>
  <c r="F97" i="44"/>
  <c r="G96" i="44"/>
  <c r="F96" i="44"/>
  <c r="G95" i="44"/>
  <c r="F95" i="44"/>
  <c r="G94" i="44"/>
  <c r="F94" i="44"/>
  <c r="G93" i="44"/>
  <c r="F93" i="44"/>
  <c r="G92" i="44"/>
  <c r="F92" i="44"/>
  <c r="G91" i="44"/>
  <c r="F91" i="44"/>
  <c r="G90" i="44"/>
  <c r="F90" i="44"/>
  <c r="G89" i="44"/>
  <c r="F89" i="44"/>
  <c r="G88" i="44"/>
  <c r="F88" i="44"/>
  <c r="G87" i="44"/>
  <c r="F87" i="44"/>
  <c r="G86" i="44"/>
  <c r="F86" i="44"/>
  <c r="G85" i="44"/>
  <c r="F85" i="44"/>
  <c r="A85" i="44"/>
  <c r="A86" i="44" s="1"/>
  <c r="A87" i="44" s="1"/>
  <c r="A88" i="44" s="1"/>
  <c r="A89" i="44" s="1"/>
  <c r="A90" i="44" s="1"/>
  <c r="A91" i="44" s="1"/>
  <c r="A92" i="44" s="1"/>
  <c r="A93" i="44" s="1"/>
  <c r="A94" i="44" s="1"/>
  <c r="A95" i="44" s="1"/>
  <c r="A96" i="44" s="1"/>
  <c r="A97" i="44" s="1"/>
  <c r="A98" i="44" s="1"/>
  <c r="A99" i="44" s="1"/>
  <c r="A100" i="44" s="1"/>
  <c r="A101" i="44" s="1"/>
  <c r="A102" i="44" s="1"/>
  <c r="A103" i="44" s="1"/>
  <c r="A104" i="44" s="1"/>
  <c r="A105" i="44" s="1"/>
  <c r="A106" i="44" s="1"/>
  <c r="A107" i="44" s="1"/>
  <c r="G84" i="44"/>
  <c r="F84" i="44"/>
  <c r="E66" i="44"/>
  <c r="G65" i="44"/>
  <c r="F65" i="44"/>
  <c r="G64" i="44"/>
  <c r="F64" i="44"/>
  <c r="G63" i="44"/>
  <c r="F63" i="44"/>
  <c r="G61" i="44"/>
  <c r="F61" i="44"/>
  <c r="G59" i="44"/>
  <c r="F59" i="44"/>
  <c r="G58" i="44"/>
  <c r="F58" i="44"/>
  <c r="G57" i="44"/>
  <c r="F57" i="44"/>
  <c r="G55" i="44"/>
  <c r="F55" i="44"/>
  <c r="C54" i="44"/>
  <c r="G53" i="44"/>
  <c r="F53" i="44"/>
  <c r="G52" i="44"/>
  <c r="F52" i="44"/>
  <c r="G51" i="44"/>
  <c r="F51" i="44"/>
  <c r="G49" i="44"/>
  <c r="F49" i="44"/>
  <c r="C48" i="44"/>
  <c r="G47" i="44"/>
  <c r="F47" i="44"/>
  <c r="G46" i="44"/>
  <c r="F46" i="44"/>
  <c r="G45" i="44"/>
  <c r="F45" i="44"/>
  <c r="G43" i="44"/>
  <c r="F43" i="44"/>
  <c r="E42" i="44"/>
  <c r="D42" i="44"/>
  <c r="C42" i="44"/>
  <c r="G41" i="44"/>
  <c r="F41" i="44"/>
  <c r="G40" i="44"/>
  <c r="F40" i="44"/>
  <c r="G39" i="44"/>
  <c r="F39" i="44"/>
  <c r="G38" i="44"/>
  <c r="F38" i="44"/>
  <c r="G37" i="44"/>
  <c r="F37" i="44"/>
  <c r="G36" i="44"/>
  <c r="F36" i="44"/>
  <c r="G35" i="44"/>
  <c r="F35" i="44"/>
  <c r="E34" i="44"/>
  <c r="D34" i="44"/>
  <c r="C34" i="44"/>
  <c r="G33" i="44"/>
  <c r="F33" i="44"/>
  <c r="G32" i="44"/>
  <c r="F32" i="44"/>
  <c r="G31" i="44"/>
  <c r="F31" i="44"/>
  <c r="G30" i="44"/>
  <c r="F30" i="44"/>
  <c r="G29" i="44"/>
  <c r="F29" i="44"/>
  <c r="G28" i="44"/>
  <c r="F28" i="44"/>
  <c r="G27" i="44"/>
  <c r="F27" i="44"/>
  <c r="G25" i="44"/>
  <c r="F25" i="44"/>
  <c r="G24" i="44"/>
  <c r="F24" i="44"/>
  <c r="G20" i="44"/>
  <c r="F20" i="44"/>
  <c r="A20" i="44"/>
  <c r="A21" i="44" s="1"/>
  <c r="A22" i="44" s="1"/>
  <c r="A23" i="44" s="1"/>
  <c r="A24" i="44" s="1"/>
  <c r="A25" i="44" s="1"/>
  <c r="A26" i="44" s="1"/>
  <c r="A27" i="44" s="1"/>
  <c r="A28" i="44" s="1"/>
  <c r="A29" i="44" s="1"/>
  <c r="A30" i="44" s="1"/>
  <c r="A31" i="44" s="1"/>
  <c r="A32" i="44" s="1"/>
  <c r="A33" i="44" s="1"/>
  <c r="A34" i="44" s="1"/>
  <c r="A35" i="44" s="1"/>
  <c r="A36" i="44" s="1"/>
  <c r="A37" i="44" s="1"/>
  <c r="A38" i="44" s="1"/>
  <c r="A39" i="44" s="1"/>
  <c r="A40" i="44" s="1"/>
  <c r="A41" i="44" s="1"/>
  <c r="A42" i="44" s="1"/>
  <c r="A43" i="44" s="1"/>
  <c r="A44" i="44" s="1"/>
  <c r="A45" i="44" s="1"/>
  <c r="A46" i="44" s="1"/>
  <c r="A47" i="44" s="1"/>
  <c r="A48" i="44" s="1"/>
  <c r="A49" i="44" s="1"/>
  <c r="A50" i="44" s="1"/>
  <c r="A51" i="44" s="1"/>
  <c r="A52" i="44" s="1"/>
  <c r="A53" i="44" s="1"/>
  <c r="A54" i="44" s="1"/>
  <c r="G19" i="44"/>
  <c r="F19" i="44"/>
  <c r="E40" i="43"/>
  <c r="I32" i="43"/>
  <c r="G32" i="43"/>
  <c r="E32" i="43"/>
  <c r="F31" i="42"/>
  <c r="E31" i="42"/>
  <c r="D31" i="42"/>
  <c r="C31" i="42"/>
  <c r="G27" i="41"/>
  <c r="G22" i="41"/>
  <c r="F19" i="41"/>
  <c r="E19" i="41"/>
  <c r="D19" i="41"/>
  <c r="C19" i="41"/>
  <c r="G17" i="41"/>
  <c r="K51" i="40"/>
  <c r="I51" i="40"/>
  <c r="G51" i="40"/>
  <c r="F51" i="40"/>
  <c r="E51" i="40"/>
  <c r="D51" i="40"/>
  <c r="C51" i="40"/>
  <c r="L46" i="40"/>
  <c r="K45" i="40"/>
  <c r="K47" i="40" s="1"/>
  <c r="I45" i="40"/>
  <c r="G45" i="40"/>
  <c r="G47" i="40" s="1"/>
  <c r="F45" i="40"/>
  <c r="F47" i="40" s="1"/>
  <c r="E45" i="40"/>
  <c r="E47" i="40" s="1"/>
  <c r="D45" i="40"/>
  <c r="D47" i="40" s="1"/>
  <c r="C45" i="40"/>
  <c r="C47" i="40" s="1"/>
  <c r="L44" i="40"/>
  <c r="L43" i="40"/>
  <c r="L42" i="40"/>
  <c r="L41" i="40"/>
  <c r="L40" i="40"/>
  <c r="L39" i="40"/>
  <c r="L38" i="40"/>
  <c r="L37" i="40"/>
  <c r="M36" i="40"/>
  <c r="M37" i="40" s="1"/>
  <c r="M38" i="40" s="1"/>
  <c r="M39" i="40" s="1"/>
  <c r="M40" i="40" s="1"/>
  <c r="M41" i="40" s="1"/>
  <c r="M42" i="40" s="1"/>
  <c r="M43" i="40" s="1"/>
  <c r="M44" i="40" s="1"/>
  <c r="M45" i="40" s="1"/>
  <c r="M46" i="40" s="1"/>
  <c r="M47" i="40" s="1"/>
  <c r="A36" i="40"/>
  <c r="A37" i="40" s="1"/>
  <c r="A38" i="40" s="1"/>
  <c r="A39" i="40" s="1"/>
  <c r="A40" i="40" s="1"/>
  <c r="A41" i="40" s="1"/>
  <c r="A42" i="40" s="1"/>
  <c r="A43" i="40" s="1"/>
  <c r="A44" i="40" s="1"/>
  <c r="A45" i="40" s="1"/>
  <c r="A46" i="40" s="1"/>
  <c r="A47" i="40" s="1"/>
  <c r="L32" i="40"/>
  <c r="K31" i="40"/>
  <c r="K33" i="40" s="1"/>
  <c r="I31" i="40"/>
  <c r="I33" i="40" s="1"/>
  <c r="G31" i="40"/>
  <c r="G33" i="40" s="1"/>
  <c r="F31" i="40"/>
  <c r="F33" i="40" s="1"/>
  <c r="E31" i="40"/>
  <c r="E33" i="40" s="1"/>
  <c r="D31" i="40"/>
  <c r="D33" i="40" s="1"/>
  <c r="C33" i="40"/>
  <c r="L30" i="40"/>
  <c r="L29" i="40"/>
  <c r="L28" i="40"/>
  <c r="L27" i="40"/>
  <c r="M26" i="40"/>
  <c r="M27" i="40" s="1"/>
  <c r="M28" i="40" s="1"/>
  <c r="M29" i="40" s="1"/>
  <c r="M30" i="40" s="1"/>
  <c r="M31" i="40" s="1"/>
  <c r="M32" i="40" s="1"/>
  <c r="M33" i="40" s="1"/>
  <c r="L26" i="40"/>
  <c r="A26" i="40"/>
  <c r="A27" i="40" s="1"/>
  <c r="A28" i="40" s="1"/>
  <c r="A29" i="40" s="1"/>
  <c r="A30" i="40" s="1"/>
  <c r="A31" i="40" s="1"/>
  <c r="A32" i="40" s="1"/>
  <c r="A33" i="40" s="1"/>
  <c r="I22" i="40"/>
  <c r="L21" i="40"/>
  <c r="K20" i="40"/>
  <c r="G20" i="40"/>
  <c r="G22" i="40" s="1"/>
  <c r="F20" i="40"/>
  <c r="F22" i="40" s="1"/>
  <c r="E20" i="40"/>
  <c r="E22" i="40" s="1"/>
  <c r="D20" i="40"/>
  <c r="D22" i="40" s="1"/>
  <c r="C20" i="40"/>
  <c r="C22" i="40" s="1"/>
  <c r="L19" i="40"/>
  <c r="L18" i="40"/>
  <c r="L17" i="40"/>
  <c r="L16" i="40"/>
  <c r="L15" i="40"/>
  <c r="M14" i="40"/>
  <c r="M15" i="40" s="1"/>
  <c r="M16" i="40" s="1"/>
  <c r="M17" i="40" s="1"/>
  <c r="M18" i="40" s="1"/>
  <c r="M19" i="40" s="1"/>
  <c r="M20" i="40" s="1"/>
  <c r="M21" i="40" s="1"/>
  <c r="M22" i="40" s="1"/>
  <c r="A14" i="40"/>
  <c r="A15" i="40" s="1"/>
  <c r="A16" i="40" s="1"/>
  <c r="A17" i="40" s="1"/>
  <c r="A18" i="40" s="1"/>
  <c r="A19" i="40" s="1"/>
  <c r="A20" i="40" s="1"/>
  <c r="A21" i="40" s="1"/>
  <c r="A22" i="40" s="1"/>
  <c r="H52" i="39"/>
  <c r="G52" i="39"/>
  <c r="E52" i="39"/>
  <c r="C52" i="39"/>
  <c r="I51" i="39"/>
  <c r="I50" i="39"/>
  <c r="I49" i="39"/>
  <c r="I48" i="39"/>
  <c r="I47" i="39"/>
  <c r="I46" i="39"/>
  <c r="I45" i="39"/>
  <c r="I44" i="39"/>
  <c r="I43" i="39"/>
  <c r="I42" i="39"/>
  <c r="I41" i="39"/>
  <c r="I40" i="39"/>
  <c r="I39" i="39"/>
  <c r="I38" i="39"/>
  <c r="I37" i="39"/>
  <c r="I36" i="39"/>
  <c r="I35" i="39"/>
  <c r="I34" i="39"/>
  <c r="H32" i="39"/>
  <c r="G32" i="39"/>
  <c r="E32" i="39"/>
  <c r="C32" i="39"/>
  <c r="I31" i="39"/>
  <c r="I30" i="39"/>
  <c r="I29" i="39"/>
  <c r="I28" i="39"/>
  <c r="I27" i="39"/>
  <c r="I26" i="39"/>
  <c r="I25" i="39"/>
  <c r="I24" i="39"/>
  <c r="I23" i="39"/>
  <c r="I22" i="39"/>
  <c r="I21" i="39"/>
  <c r="I20" i="39"/>
  <c r="I19" i="39"/>
  <c r="I18" i="39"/>
  <c r="I17" i="39"/>
  <c r="I16" i="39"/>
  <c r="I15" i="39"/>
  <c r="O15" i="39" s="1"/>
  <c r="F59" i="38"/>
  <c r="E59" i="38"/>
  <c r="C59" i="38"/>
  <c r="G106" i="37"/>
  <c r="F106" i="37"/>
  <c r="E106" i="37"/>
  <c r="D106" i="37"/>
  <c r="C106" i="37"/>
  <c r="G97" i="37"/>
  <c r="F97" i="37"/>
  <c r="E97" i="37"/>
  <c r="D97" i="37"/>
  <c r="C97" i="37"/>
  <c r="G82" i="37"/>
  <c r="F82" i="37"/>
  <c r="E82" i="37"/>
  <c r="D82" i="37"/>
  <c r="C82" i="37"/>
  <c r="K65" i="37"/>
  <c r="J59" i="37"/>
  <c r="J57" i="37"/>
  <c r="J56" i="37"/>
  <c r="J55" i="37"/>
  <c r="M50" i="37"/>
  <c r="L50" i="37"/>
  <c r="G50" i="37"/>
  <c r="F50" i="37"/>
  <c r="E50" i="37"/>
  <c r="D50" i="37"/>
  <c r="C50" i="37"/>
  <c r="J45" i="37"/>
  <c r="H45" i="37"/>
  <c r="H50" i="37" s="1"/>
  <c r="J44" i="37"/>
  <c r="I44" i="37"/>
  <c r="I43" i="37"/>
  <c r="M41" i="37"/>
  <c r="L41" i="37"/>
  <c r="I41" i="37"/>
  <c r="J40" i="37"/>
  <c r="J38" i="37"/>
  <c r="J36" i="37"/>
  <c r="M26" i="37"/>
  <c r="L26" i="37"/>
  <c r="I26" i="37"/>
  <c r="G26" i="37"/>
  <c r="F26" i="37"/>
  <c r="E26" i="37"/>
  <c r="D26" i="37"/>
  <c r="C26" i="37"/>
  <c r="H25" i="37"/>
  <c r="J24" i="37"/>
  <c r="J23" i="37"/>
  <c r="J22" i="37"/>
  <c r="K121" i="36"/>
  <c r="J121" i="36"/>
  <c r="J62" i="36" s="1"/>
  <c r="E121" i="36"/>
  <c r="D121" i="36"/>
  <c r="K84" i="36"/>
  <c r="K61" i="36" s="1"/>
  <c r="J84" i="36"/>
  <c r="J61" i="36" s="1"/>
  <c r="E84" i="36"/>
  <c r="E61" i="36" s="1"/>
  <c r="D84" i="36"/>
  <c r="D61" i="36" s="1"/>
  <c r="K58" i="36"/>
  <c r="J58" i="36"/>
  <c r="E58" i="36"/>
  <c r="D58" i="36"/>
  <c r="K50" i="36"/>
  <c r="J50" i="36"/>
  <c r="E50" i="36"/>
  <c r="D50" i="36"/>
  <c r="G70" i="35"/>
  <c r="E70" i="35"/>
  <c r="D70" i="35"/>
  <c r="C70" i="35"/>
  <c r="F69" i="35"/>
  <c r="F68" i="35"/>
  <c r="F67" i="35"/>
  <c r="F66" i="35"/>
  <c r="F65" i="35"/>
  <c r="F64" i="35"/>
  <c r="F63" i="35"/>
  <c r="F62" i="35"/>
  <c r="F61" i="35"/>
  <c r="F60" i="35"/>
  <c r="F59" i="35"/>
  <c r="F58" i="35"/>
  <c r="F57" i="35"/>
  <c r="F56" i="35"/>
  <c r="G55" i="35"/>
  <c r="E55" i="35"/>
  <c r="D55" i="35"/>
  <c r="C55" i="35"/>
  <c r="F54" i="35"/>
  <c r="F53" i="35"/>
  <c r="F52" i="35"/>
  <c r="G35" i="35"/>
  <c r="F35" i="35"/>
  <c r="E35" i="35"/>
  <c r="E58" i="34"/>
  <c r="E58" i="33"/>
  <c r="E49" i="33"/>
  <c r="E40" i="33"/>
  <c r="E31" i="33"/>
  <c r="E61" i="32"/>
  <c r="D61" i="32"/>
  <c r="E51" i="32"/>
  <c r="F51" i="32" s="1"/>
  <c r="D51" i="32"/>
  <c r="E42" i="32"/>
  <c r="D42" i="32"/>
  <c r="E35" i="32"/>
  <c r="D35" i="32"/>
  <c r="E28" i="32"/>
  <c r="D28" i="32"/>
  <c r="E21" i="32"/>
  <c r="D21" i="32"/>
  <c r="L60" i="31"/>
  <c r="K60" i="31"/>
  <c r="J60" i="31"/>
  <c r="I60" i="31"/>
  <c r="H60" i="31"/>
  <c r="G60" i="31"/>
  <c r="C60" i="31"/>
  <c r="L39" i="31"/>
  <c r="K39" i="31"/>
  <c r="J39" i="31"/>
  <c r="I39" i="31"/>
  <c r="H39" i="31"/>
  <c r="G39" i="31"/>
  <c r="C39" i="31"/>
  <c r="N22" i="31"/>
  <c r="F47" i="30"/>
  <c r="E47" i="30"/>
  <c r="F38" i="30"/>
  <c r="E38" i="30"/>
  <c r="A13" i="30"/>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F69" i="29"/>
  <c r="D69" i="29"/>
  <c r="C69" i="29"/>
  <c r="A69" i="29"/>
  <c r="G26" i="29"/>
  <c r="F26" i="29"/>
  <c r="D26" i="29"/>
  <c r="C26" i="29"/>
  <c r="F60" i="28"/>
  <c r="G60" i="28" s="1"/>
  <c r="E27" i="28"/>
  <c r="E36" i="28" s="1"/>
  <c r="G36" i="28" s="1"/>
  <c r="C27" i="28"/>
  <c r="C36" i="28" s="1"/>
  <c r="G69" i="27"/>
  <c r="E69" i="27"/>
  <c r="D69" i="27"/>
  <c r="C69" i="27"/>
  <c r="G32" i="27"/>
  <c r="E32" i="27"/>
  <c r="D32" i="27"/>
  <c r="C32" i="27"/>
  <c r="F31" i="27"/>
  <c r="F30" i="27"/>
  <c r="F29" i="27"/>
  <c r="F28" i="27"/>
  <c r="F27" i="27"/>
  <c r="F26" i="27"/>
  <c r="F25" i="27"/>
  <c r="F24" i="27"/>
  <c r="F23" i="27"/>
  <c r="F22" i="27"/>
  <c r="F21" i="27"/>
  <c r="F20" i="27"/>
  <c r="F19" i="27"/>
  <c r="F46" i="26"/>
  <c r="E46" i="26"/>
  <c r="D46" i="26"/>
  <c r="C46" i="26"/>
  <c r="G45" i="26"/>
  <c r="G44" i="26"/>
  <c r="G43" i="26"/>
  <c r="A43" i="26"/>
  <c r="A44" i="26" s="1"/>
  <c r="A45" i="26" s="1"/>
  <c r="A46" i="26" s="1"/>
  <c r="A47" i="26" s="1"/>
  <c r="A48" i="26" s="1"/>
  <c r="A49" i="26" s="1"/>
  <c r="A50" i="26" s="1"/>
  <c r="A51" i="26" s="1"/>
  <c r="A52" i="26" s="1"/>
  <c r="A53" i="26" s="1"/>
  <c r="A54" i="26" s="1"/>
  <c r="A55" i="26" s="1"/>
  <c r="A56" i="26" s="1"/>
  <c r="A57" i="26" s="1"/>
  <c r="A58" i="26" s="1"/>
  <c r="G42" i="26"/>
  <c r="G41" i="26"/>
  <c r="G40" i="26"/>
  <c r="H24" i="26"/>
  <c r="G23" i="26"/>
  <c r="G25" i="26" s="1"/>
  <c r="F23" i="26"/>
  <c r="F25" i="26" s="1"/>
  <c r="H17" i="26"/>
  <c r="C66" i="25"/>
  <c r="C38" i="25"/>
  <c r="C31" i="25"/>
  <c r="C24" i="25"/>
  <c r="F62" i="24"/>
  <c r="G62" i="24" s="1"/>
  <c r="E62" i="24"/>
  <c r="D62" i="24"/>
  <c r="I45" i="23"/>
  <c r="H45" i="23"/>
  <c r="G45" i="23"/>
  <c r="E45" i="23"/>
  <c r="I37" i="23"/>
  <c r="H37" i="23"/>
  <c r="G37" i="23"/>
  <c r="E37" i="23"/>
  <c r="E51" i="22"/>
  <c r="D51" i="22"/>
  <c r="C50" i="22"/>
  <c r="C49" i="22"/>
  <c r="C48" i="22"/>
  <c r="C47" i="22"/>
  <c r="C46" i="22"/>
  <c r="C39" i="22"/>
  <c r="C38" i="22"/>
  <c r="E36" i="22"/>
  <c r="D36" i="22"/>
  <c r="C35" i="22"/>
  <c r="C34" i="22"/>
  <c r="C33" i="22"/>
  <c r="E30" i="22"/>
  <c r="D30" i="22"/>
  <c r="C29" i="22"/>
  <c r="C28" i="22"/>
  <c r="C27" i="22"/>
  <c r="C26" i="22"/>
  <c r="C25" i="22"/>
  <c r="C24" i="22"/>
  <c r="C21" i="22"/>
  <c r="E62" i="20"/>
  <c r="E57" i="129"/>
  <c r="E57" i="110"/>
  <c r="E57" i="111"/>
  <c r="E58" i="19"/>
  <c r="M126" i="18"/>
  <c r="M125" i="18"/>
  <c r="M124" i="18"/>
  <c r="M123" i="18"/>
  <c r="M122" i="18"/>
  <c r="M121" i="18"/>
  <c r="D127" i="18"/>
  <c r="M120" i="18"/>
  <c r="M119" i="18"/>
  <c r="M118" i="18"/>
  <c r="M117" i="18"/>
  <c r="M116" i="18"/>
  <c r="M115" i="18"/>
  <c r="M114" i="18"/>
  <c r="M113" i="18"/>
  <c r="M112" i="18"/>
  <c r="M111" i="18"/>
  <c r="M110" i="18"/>
  <c r="M109" i="18"/>
  <c r="M108" i="18"/>
  <c r="M107" i="18"/>
  <c r="M106" i="18"/>
  <c r="M105" i="18"/>
  <c r="M104" i="18"/>
  <c r="M103" i="18"/>
  <c r="M102" i="18"/>
  <c r="M101" i="18"/>
  <c r="M100" i="18"/>
  <c r="M99" i="18"/>
  <c r="M98" i="18"/>
  <c r="M97" i="18"/>
  <c r="M96" i="18"/>
  <c r="M95" i="18"/>
  <c r="M94" i="18"/>
  <c r="M93" i="18"/>
  <c r="M92" i="18"/>
  <c r="M91" i="18"/>
  <c r="M90" i="18"/>
  <c r="M89" i="18"/>
  <c r="M88" i="18"/>
  <c r="M87" i="18"/>
  <c r="I85" i="18"/>
  <c r="I82" i="18"/>
  <c r="I81" i="18"/>
  <c r="I80" i="18"/>
  <c r="I79" i="18"/>
  <c r="I78" i="18"/>
  <c r="I77" i="18"/>
  <c r="I76" i="18"/>
  <c r="I75" i="18"/>
  <c r="I74" i="18"/>
  <c r="I73" i="18"/>
  <c r="I72" i="18"/>
  <c r="M71" i="18"/>
  <c r="M70" i="18"/>
  <c r="M69" i="18"/>
  <c r="M68" i="18"/>
  <c r="M67" i="18"/>
  <c r="M66" i="18"/>
  <c r="M65" i="18"/>
  <c r="M64" i="18"/>
  <c r="M63" i="18"/>
  <c r="M62" i="18"/>
  <c r="H61" i="18"/>
  <c r="G61" i="18"/>
  <c r="F61" i="18"/>
  <c r="E61" i="18"/>
  <c r="D61" i="18"/>
  <c r="I60" i="18"/>
  <c r="I59" i="18"/>
  <c r="I58" i="18"/>
  <c r="I57" i="18"/>
  <c r="I56" i="18"/>
  <c r="I55" i="18"/>
  <c r="I54" i="18"/>
  <c r="I53" i="18"/>
  <c r="I52" i="18"/>
  <c r="M51" i="18"/>
  <c r="H50" i="18"/>
  <c r="G50" i="18"/>
  <c r="F50" i="18"/>
  <c r="E50" i="18"/>
  <c r="D50" i="18"/>
  <c r="I49" i="18"/>
  <c r="I48" i="18"/>
  <c r="I47" i="18"/>
  <c r="M46" i="18"/>
  <c r="H45" i="18"/>
  <c r="G45" i="18"/>
  <c r="F45" i="18"/>
  <c r="E45" i="18"/>
  <c r="D45" i="18"/>
  <c r="I44" i="18"/>
  <c r="I43" i="18"/>
  <c r="I42" i="18"/>
  <c r="I41" i="18"/>
  <c r="I40" i="18"/>
  <c r="I39" i="18"/>
  <c r="I38" i="18"/>
  <c r="I37" i="18"/>
  <c r="I36" i="18"/>
  <c r="M35" i="18"/>
  <c r="H34" i="18"/>
  <c r="G34" i="18"/>
  <c r="F34" i="18"/>
  <c r="E34" i="18"/>
  <c r="D34" i="18"/>
  <c r="I33" i="18"/>
  <c r="I32" i="18"/>
  <c r="I31" i="18"/>
  <c r="I30" i="18"/>
  <c r="I29" i="18"/>
  <c r="I28" i="18"/>
  <c r="I27" i="18"/>
  <c r="I26" i="18"/>
  <c r="M25" i="18"/>
  <c r="H24" i="18"/>
  <c r="G24" i="18"/>
  <c r="F24" i="18"/>
  <c r="E24" i="18"/>
  <c r="D24" i="18"/>
  <c r="I23" i="18"/>
  <c r="I22" i="18"/>
  <c r="I21" i="18"/>
  <c r="D40" i="17"/>
  <c r="J39" i="17"/>
  <c r="I39" i="17"/>
  <c r="H39" i="17"/>
  <c r="G39" i="17"/>
  <c r="F39" i="17"/>
  <c r="D38" i="17"/>
  <c r="D37" i="17"/>
  <c r="J35" i="17"/>
  <c r="I35" i="17"/>
  <c r="H35" i="17"/>
  <c r="G35" i="17"/>
  <c r="F35" i="17"/>
  <c r="E35" i="17"/>
  <c r="D34" i="17"/>
  <c r="D33" i="17"/>
  <c r="J31" i="17"/>
  <c r="I31" i="17"/>
  <c r="H31" i="17"/>
  <c r="G31" i="17"/>
  <c r="F31" i="17"/>
  <c r="E31" i="17"/>
  <c r="D30" i="17"/>
  <c r="D29" i="17"/>
  <c r="E23" i="17"/>
  <c r="L23" i="17" s="1"/>
  <c r="D22" i="17"/>
  <c r="D21" i="17"/>
  <c r="D20" i="17"/>
  <c r="D19" i="17"/>
  <c r="D18" i="17"/>
  <c r="D17" i="17"/>
  <c r="J16" i="17"/>
  <c r="J23" i="17" s="1"/>
  <c r="I16" i="17"/>
  <c r="I23" i="17" s="1"/>
  <c r="H16" i="17"/>
  <c r="H23" i="17" s="1"/>
  <c r="G16" i="17"/>
  <c r="G23" i="17" s="1"/>
  <c r="F16" i="17"/>
  <c r="F23" i="17" s="1"/>
  <c r="D15" i="17"/>
  <c r="D14" i="17"/>
  <c r="D13" i="17"/>
  <c r="D11" i="17"/>
  <c r="E125" i="15"/>
  <c r="E102" i="15"/>
  <c r="E115" i="15" s="1"/>
  <c r="E48" i="15"/>
  <c r="C165" i="80" s="1"/>
  <c r="G109" i="14"/>
  <c r="G80" i="14"/>
  <c r="C138" i="80" s="1"/>
  <c r="G58" i="14"/>
  <c r="C132" i="80" s="1"/>
  <c r="G51" i="14"/>
  <c r="C131" i="80" s="1"/>
  <c r="G44" i="14"/>
  <c r="C130" i="80" s="1"/>
  <c r="G31" i="14"/>
  <c r="G111" i="13"/>
  <c r="G113" i="13" s="1"/>
  <c r="C120" i="80" s="1"/>
  <c r="H106" i="13"/>
  <c r="G106" i="13"/>
  <c r="G95" i="13"/>
  <c r="C108" i="80" s="1"/>
  <c r="G86" i="13"/>
  <c r="C106" i="80" s="1"/>
  <c r="G81" i="13"/>
  <c r="N44" i="13"/>
  <c r="N46" i="13" s="1"/>
  <c r="M44" i="13"/>
  <c r="M46" i="13" s="1"/>
  <c r="L44" i="13"/>
  <c r="L46" i="13" s="1"/>
  <c r="K44" i="13"/>
  <c r="K46" i="13" s="1"/>
  <c r="J44" i="13"/>
  <c r="J46" i="13" s="1"/>
  <c r="I44" i="13"/>
  <c r="I46" i="13" s="1"/>
  <c r="H43" i="13"/>
  <c r="G43" i="13"/>
  <c r="H42" i="13"/>
  <c r="G42" i="13"/>
  <c r="H41" i="13"/>
  <c r="G41" i="13"/>
  <c r="H40" i="13"/>
  <c r="G40" i="13"/>
  <c r="F51" i="52" s="1"/>
  <c r="H39" i="13"/>
  <c r="G39" i="13"/>
  <c r="H38" i="13"/>
  <c r="G38" i="13"/>
  <c r="F50" i="52" s="1"/>
  <c r="H37" i="13"/>
  <c r="G37" i="13"/>
  <c r="H36" i="13"/>
  <c r="G36" i="13"/>
  <c r="H35" i="13"/>
  <c r="G35" i="13"/>
  <c r="H34" i="13"/>
  <c r="G34" i="13"/>
  <c r="H33" i="13"/>
  <c r="G33" i="13"/>
  <c r="G32" i="13"/>
  <c r="H31" i="13"/>
  <c r="G31" i="13"/>
  <c r="G29" i="13"/>
  <c r="G28" i="13"/>
  <c r="G27" i="13"/>
  <c r="G26" i="13"/>
  <c r="G25" i="13"/>
  <c r="H23" i="13"/>
  <c r="G23" i="13"/>
  <c r="H117" i="12"/>
  <c r="F116" i="12"/>
  <c r="E116" i="12"/>
  <c r="H115" i="12"/>
  <c r="H114" i="12"/>
  <c r="H113" i="12"/>
  <c r="H112" i="12"/>
  <c r="H111" i="12"/>
  <c r="H110" i="12"/>
  <c r="H109" i="12"/>
  <c r="F108" i="12"/>
  <c r="E108" i="12"/>
  <c r="H107" i="12"/>
  <c r="H106" i="12"/>
  <c r="H105" i="12"/>
  <c r="H104" i="12"/>
  <c r="H103" i="12"/>
  <c r="H102" i="12"/>
  <c r="H101" i="12"/>
  <c r="H100" i="12"/>
  <c r="H99" i="12"/>
  <c r="H98" i="12"/>
  <c r="H97" i="12"/>
  <c r="H96" i="12"/>
  <c r="H95" i="12"/>
  <c r="H94" i="12"/>
  <c r="F93" i="12"/>
  <c r="E93" i="12"/>
  <c r="H92" i="12"/>
  <c r="H91" i="12"/>
  <c r="H90" i="12"/>
  <c r="H89" i="12"/>
  <c r="H88" i="12"/>
  <c r="H87" i="12"/>
  <c r="F86" i="12"/>
  <c r="E86" i="12"/>
  <c r="H85" i="12"/>
  <c r="H84" i="12"/>
  <c r="H83" i="12"/>
  <c r="H82" i="12"/>
  <c r="H81" i="12"/>
  <c r="H80" i="12"/>
  <c r="H79" i="12"/>
  <c r="F78" i="12"/>
  <c r="E78" i="12"/>
  <c r="H77" i="12"/>
  <c r="H76" i="12"/>
  <c r="H75" i="12"/>
  <c r="H74" i="12"/>
  <c r="H73" i="12"/>
  <c r="H72" i="12"/>
  <c r="H71" i="12"/>
  <c r="H70" i="12"/>
  <c r="H69" i="12"/>
  <c r="H68" i="12"/>
  <c r="H67" i="12"/>
  <c r="H53" i="12"/>
  <c r="H52" i="12"/>
  <c r="H51" i="12"/>
  <c r="H50" i="12"/>
  <c r="H49" i="12"/>
  <c r="H48" i="12"/>
  <c r="H47" i="12"/>
  <c r="H46" i="12"/>
  <c r="H45" i="12"/>
  <c r="H44" i="12"/>
  <c r="H43" i="12"/>
  <c r="H42" i="12"/>
  <c r="H40" i="12"/>
  <c r="H39" i="12"/>
  <c r="H38" i="12"/>
  <c r="H37" i="12"/>
  <c r="H36" i="12"/>
  <c r="H35" i="12"/>
  <c r="H34" i="12"/>
  <c r="H33" i="12"/>
  <c r="H32" i="12"/>
  <c r="H31" i="12"/>
  <c r="H30" i="12"/>
  <c r="H29" i="12"/>
  <c r="H28" i="12"/>
  <c r="H27" i="12"/>
  <c r="H26" i="12"/>
  <c r="H25" i="12"/>
  <c r="H24" i="12"/>
  <c r="H23" i="12"/>
  <c r="H22" i="12"/>
  <c r="F21" i="12"/>
  <c r="E21" i="12"/>
  <c r="H20" i="12"/>
  <c r="H19" i="12"/>
  <c r="H18" i="12"/>
  <c r="H17" i="12"/>
  <c r="H16" i="12"/>
  <c r="H15" i="12"/>
  <c r="H14" i="12"/>
  <c r="H13" i="12"/>
  <c r="H12" i="12"/>
  <c r="F11" i="12"/>
  <c r="E11" i="12"/>
  <c r="H10" i="12"/>
  <c r="H9" i="12"/>
  <c r="L136" i="11"/>
  <c r="J132" i="11"/>
  <c r="J139" i="11" s="1"/>
  <c r="I132" i="11"/>
  <c r="I139" i="11" s="1"/>
  <c r="H132" i="11"/>
  <c r="H139" i="11" s="1"/>
  <c r="G132" i="11"/>
  <c r="G139" i="11" s="1"/>
  <c r="F132" i="11"/>
  <c r="F139" i="11" s="1"/>
  <c r="E132" i="11"/>
  <c r="E139" i="11" s="1"/>
  <c r="D132" i="11"/>
  <c r="D139" i="11" s="1"/>
  <c r="C132" i="11"/>
  <c r="C139" i="11" s="1"/>
  <c r="L127" i="11"/>
  <c r="L121" i="11"/>
  <c r="L115" i="11"/>
  <c r="J86" i="11"/>
  <c r="I86" i="11"/>
  <c r="H86" i="11"/>
  <c r="G86" i="11"/>
  <c r="F86" i="11"/>
  <c r="E86" i="11"/>
  <c r="D86" i="11"/>
  <c r="C86" i="11"/>
  <c r="L82" i="11"/>
  <c r="L79" i="11"/>
  <c r="L75" i="11"/>
  <c r="L71" i="11"/>
  <c r="L67" i="11"/>
  <c r="L63" i="11"/>
  <c r="J51" i="11"/>
  <c r="I51" i="11"/>
  <c r="H51" i="11"/>
  <c r="G51" i="11"/>
  <c r="F51" i="11"/>
  <c r="E51" i="11"/>
  <c r="D51" i="11"/>
  <c r="C51" i="11"/>
  <c r="L49" i="11"/>
  <c r="L47" i="11"/>
  <c r="L42" i="11"/>
  <c r="L39" i="11"/>
  <c r="L36" i="11"/>
  <c r="L34" i="11"/>
  <c r="L30" i="11"/>
  <c r="J28" i="11"/>
  <c r="I28" i="11"/>
  <c r="H28" i="11"/>
  <c r="G28" i="11"/>
  <c r="F28" i="11"/>
  <c r="E28" i="11"/>
  <c r="D28" i="11"/>
  <c r="C28" i="11"/>
  <c r="L23" i="11"/>
  <c r="L19" i="11"/>
  <c r="L15" i="11"/>
  <c r="L11" i="11"/>
  <c r="N27" i="8"/>
  <c r="N26" i="8"/>
  <c r="N25" i="8"/>
  <c r="N24" i="8"/>
  <c r="N23" i="8"/>
  <c r="N22" i="8"/>
  <c r="N21" i="8"/>
  <c r="N20" i="8"/>
  <c r="B19" i="3"/>
  <c r="B17" i="3"/>
  <c r="B13" i="3"/>
  <c r="A47" i="2"/>
  <c r="B25" i="3" s="1"/>
  <c r="A46" i="2"/>
  <c r="A45" i="2"/>
  <c r="E58" i="190" l="1"/>
  <c r="F58" i="190" s="1"/>
  <c r="D84" i="18"/>
  <c r="D86" i="18" s="1"/>
  <c r="E84" i="18"/>
  <c r="E86" i="18" s="1"/>
  <c r="C71" i="50"/>
  <c r="D71" i="50"/>
  <c r="G24" i="22"/>
  <c r="B71" i="135"/>
  <c r="B76" i="135" s="1"/>
  <c r="I49" i="78"/>
  <c r="F49" i="78"/>
  <c r="H49" i="78"/>
  <c r="E49" i="78"/>
  <c r="J49" i="78"/>
  <c r="K49" i="78"/>
  <c r="E43" i="22"/>
  <c r="E55" i="22" s="1"/>
  <c r="H84" i="18"/>
  <c r="H86" i="18" s="1"/>
  <c r="G84" i="18"/>
  <c r="G86" i="18" s="1"/>
  <c r="D43" i="22"/>
  <c r="D55" i="22" s="1"/>
  <c r="M33" i="18"/>
  <c r="M22" i="18"/>
  <c r="M26" i="18"/>
  <c r="M38" i="18"/>
  <c r="M54" i="18"/>
  <c r="M74" i="18"/>
  <c r="M82" i="18"/>
  <c r="M37" i="18"/>
  <c r="M23" i="18"/>
  <c r="M27" i="18"/>
  <c r="M39" i="18"/>
  <c r="M55" i="18"/>
  <c r="M75" i="18"/>
  <c r="M85" i="18"/>
  <c r="M53" i="18"/>
  <c r="M28" i="18"/>
  <c r="F84" i="18"/>
  <c r="F86" i="18" s="1"/>
  <c r="M40" i="18"/>
  <c r="M56" i="18"/>
  <c r="M76" i="18"/>
  <c r="M73" i="18"/>
  <c r="M29" i="18"/>
  <c r="M41" i="18"/>
  <c r="M57" i="18"/>
  <c r="M77" i="18"/>
  <c r="M21" i="18"/>
  <c r="M30" i="18"/>
  <c r="M42" i="18"/>
  <c r="M58" i="18"/>
  <c r="M78" i="18"/>
  <c r="N127" i="18"/>
  <c r="M49" i="18"/>
  <c r="M81" i="18"/>
  <c r="M31" i="18"/>
  <c r="M43" i="18"/>
  <c r="M59" i="18"/>
  <c r="M79" i="18"/>
  <c r="M32" i="18"/>
  <c r="M36" i="18"/>
  <c r="M44" i="18"/>
  <c r="M48" i="18"/>
  <c r="M52" i="18"/>
  <c r="M60" i="18"/>
  <c r="M72" i="18"/>
  <c r="M80" i="18"/>
  <c r="E72" i="50"/>
  <c r="E73" i="50" s="1"/>
  <c r="E49" i="50"/>
  <c r="D79" i="48"/>
  <c r="C245" i="80" s="1"/>
  <c r="H162" i="48"/>
  <c r="I162" i="48" s="1"/>
  <c r="F61" i="49"/>
  <c r="F76" i="135"/>
  <c r="C225" i="80"/>
  <c r="E56" i="44"/>
  <c r="E60" i="44" s="1"/>
  <c r="H28" i="43"/>
  <c r="C226" i="80" s="1"/>
  <c r="C56" i="44"/>
  <c r="C60" i="44" s="1"/>
  <c r="F28" i="43"/>
  <c r="C218" i="80" s="1"/>
  <c r="D62" i="44"/>
  <c r="D66" i="44" s="1"/>
  <c r="D30" i="43"/>
  <c r="C208" i="80" s="1"/>
  <c r="D56" i="44"/>
  <c r="D28" i="43"/>
  <c r="C209" i="80" s="1"/>
  <c r="D23" i="44"/>
  <c r="D24" i="43"/>
  <c r="D22" i="44"/>
  <c r="D23" i="43"/>
  <c r="D21" i="44"/>
  <c r="D22" i="43"/>
  <c r="C205" i="80" s="1"/>
  <c r="C234" i="80" s="1"/>
  <c r="D50" i="44"/>
  <c r="D54" i="44" s="1"/>
  <c r="G54" i="44" s="1"/>
  <c r="D44" i="44"/>
  <c r="D48" i="44" s="1"/>
  <c r="G48" i="44" s="1"/>
  <c r="D40" i="77"/>
  <c r="A32" i="77"/>
  <c r="A33" i="77" s="1"/>
  <c r="G53" i="39"/>
  <c r="H41" i="17"/>
  <c r="H24" i="17" s="1"/>
  <c r="H25" i="17" s="1"/>
  <c r="E48" i="30"/>
  <c r="G48" i="30" s="1"/>
  <c r="C60" i="57"/>
  <c r="L132" i="11"/>
  <c r="L139" i="11" s="1"/>
  <c r="G34" i="44"/>
  <c r="D121" i="37"/>
  <c r="I41" i="17"/>
  <c r="I24" i="17" s="1"/>
  <c r="I25" i="17" s="1"/>
  <c r="F41" i="17"/>
  <c r="F24" i="17" s="1"/>
  <c r="F25" i="17" s="1"/>
  <c r="F42" i="44"/>
  <c r="H86" i="12"/>
  <c r="L51" i="40"/>
  <c r="J41" i="17"/>
  <c r="J24" i="17" s="1"/>
  <c r="J25" i="17" s="1"/>
  <c r="E47" i="53"/>
  <c r="E58" i="53" s="1"/>
  <c r="G41" i="17"/>
  <c r="G24" i="17" s="1"/>
  <c r="G25" i="17" s="1"/>
  <c r="H53" i="39"/>
  <c r="E62" i="58"/>
  <c r="O62" i="58" s="1"/>
  <c r="D39" i="17"/>
  <c r="K25" i="64"/>
  <c r="K26" i="64" s="1"/>
  <c r="K27" i="64" s="1"/>
  <c r="D44" i="101"/>
  <c r="K63" i="36"/>
  <c r="M64" i="36" s="1"/>
  <c r="H175" i="56"/>
  <c r="H177" i="56" s="1"/>
  <c r="I177" i="56" s="1"/>
  <c r="C420" i="80"/>
  <c r="C121" i="37"/>
  <c r="G78" i="160"/>
  <c r="E33" i="102"/>
  <c r="F55" i="35"/>
  <c r="F121" i="37"/>
  <c r="D60" i="57"/>
  <c r="G36" i="102"/>
  <c r="G33" i="102"/>
  <c r="G36" i="104"/>
  <c r="G50" i="104"/>
  <c r="L51" i="11"/>
  <c r="D31" i="17"/>
  <c r="D35" i="17"/>
  <c r="F138" i="44"/>
  <c r="G54" i="53"/>
  <c r="I193" i="56"/>
  <c r="G39" i="104"/>
  <c r="G45" i="104" s="1"/>
  <c r="C116" i="80"/>
  <c r="C424" i="80" s="1"/>
  <c r="E36" i="104"/>
  <c r="E63" i="36"/>
  <c r="M65" i="36" s="1"/>
  <c r="L65" i="37"/>
  <c r="G121" i="37"/>
  <c r="L20" i="40"/>
  <c r="L22" i="40" s="1"/>
  <c r="F34" i="44"/>
  <c r="F60" i="103"/>
  <c r="C67" i="156"/>
  <c r="L28" i="11"/>
  <c r="C30" i="22"/>
  <c r="M65" i="37"/>
  <c r="I52" i="39"/>
  <c r="G19" i="41"/>
  <c r="J163" i="48"/>
  <c r="K163" i="48" s="1"/>
  <c r="E52" i="60"/>
  <c r="G42" i="102"/>
  <c r="E24" i="104"/>
  <c r="E50" i="104"/>
  <c r="C326" i="80"/>
  <c r="C335" i="80" s="1"/>
  <c r="A6" i="2"/>
  <c r="A61" i="2" s="1"/>
  <c r="C95" i="80"/>
  <c r="H26" i="37"/>
  <c r="H23" i="43"/>
  <c r="G42" i="44"/>
  <c r="F54" i="44"/>
  <c r="G23" i="53"/>
  <c r="M18" i="58"/>
  <c r="C60" i="103"/>
  <c r="E30" i="104"/>
  <c r="F47" i="53"/>
  <c r="F58" i="53" s="1"/>
  <c r="L86" i="11"/>
  <c r="J26" i="37"/>
  <c r="E53" i="39"/>
  <c r="E41" i="43"/>
  <c r="K41" i="43" s="1"/>
  <c r="E19" i="104"/>
  <c r="G25" i="104"/>
  <c r="G30" i="104" s="1"/>
  <c r="A61" i="61"/>
  <c r="A62" i="61" s="1"/>
  <c r="A63" i="61" s="1"/>
  <c r="A64" i="61" s="1"/>
  <c r="A65" i="61" s="1"/>
  <c r="A66" i="61" s="1"/>
  <c r="A67" i="61" s="1"/>
  <c r="A68" i="61" s="1"/>
  <c r="A69" i="61" s="1"/>
  <c r="A70" i="61" s="1"/>
  <c r="A71" i="61" s="1"/>
  <c r="A59" i="61"/>
  <c r="A60" i="61" s="1"/>
  <c r="F50" i="40"/>
  <c r="F52" i="40" s="1"/>
  <c r="G80" i="160"/>
  <c r="H80" i="160" s="1"/>
  <c r="D65" i="37"/>
  <c r="K22" i="40"/>
  <c r="K50" i="40"/>
  <c r="K52" i="40" s="1"/>
  <c r="L45" i="40"/>
  <c r="L47" i="40" s="1"/>
  <c r="I44" i="46"/>
  <c r="J44" i="46"/>
  <c r="G24" i="104"/>
  <c r="C22" i="44"/>
  <c r="F22" i="44" s="1"/>
  <c r="F23" i="43"/>
  <c r="C215" i="80" s="1"/>
  <c r="F35" i="47"/>
  <c r="J62" i="58"/>
  <c r="D48" i="102"/>
  <c r="D49" i="102"/>
  <c r="G138" i="44"/>
  <c r="F38" i="50"/>
  <c r="I40" i="105"/>
  <c r="F32" i="27"/>
  <c r="C50" i="40"/>
  <c r="C52" i="40" s="1"/>
  <c r="E20" i="101"/>
  <c r="G9" i="101"/>
  <c r="E42" i="102"/>
  <c r="G19" i="104"/>
  <c r="D63" i="36"/>
  <c r="G43" i="53"/>
  <c r="E29" i="102"/>
  <c r="G9" i="104"/>
  <c r="G12" i="104" s="1"/>
  <c r="E12" i="104"/>
  <c r="G50" i="156"/>
  <c r="F54" i="156"/>
  <c r="F74" i="160" s="1"/>
  <c r="E121" i="37"/>
  <c r="E19" i="102"/>
  <c r="G10" i="102"/>
  <c r="G19" i="102" s="1"/>
  <c r="D60" i="103"/>
  <c r="G42" i="156"/>
  <c r="C49" i="102"/>
  <c r="C48" i="102"/>
  <c r="E36" i="102"/>
  <c r="H40" i="105"/>
  <c r="D16" i="17"/>
  <c r="I50" i="18"/>
  <c r="L31" i="40"/>
  <c r="L33" i="40" s="1"/>
  <c r="G50" i="40"/>
  <c r="G52" i="40" s="1"/>
  <c r="G31" i="42"/>
  <c r="H31" i="42" s="1"/>
  <c r="D67" i="156"/>
  <c r="J63" i="36"/>
  <c r="M63" i="36" s="1"/>
  <c r="F65" i="37"/>
  <c r="I50" i="40"/>
  <c r="I52" i="40" s="1"/>
  <c r="E38" i="101"/>
  <c r="F48" i="102"/>
  <c r="G29" i="102"/>
  <c r="F49" i="102"/>
  <c r="C55" i="104"/>
  <c r="E41" i="17"/>
  <c r="E53" i="17"/>
  <c r="F48" i="30"/>
  <c r="H48" i="30" s="1"/>
  <c r="E63" i="33"/>
  <c r="F63" i="33" s="1"/>
  <c r="B71" i="98"/>
  <c r="B66" i="135"/>
  <c r="B57" i="135"/>
  <c r="C45" i="101"/>
  <c r="C74" i="160"/>
  <c r="G31" i="101"/>
  <c r="G38" i="101" s="1"/>
  <c r="C58" i="103"/>
  <c r="D55" i="104"/>
  <c r="F70" i="35"/>
  <c r="H70" i="35" s="1"/>
  <c r="F71" i="98"/>
  <c r="F66" i="135"/>
  <c r="D74" i="160"/>
  <c r="D45" i="101"/>
  <c r="E17" i="103"/>
  <c r="D58" i="103"/>
  <c r="F55" i="104"/>
  <c r="G62" i="156"/>
  <c r="L62" i="58"/>
  <c r="F45" i="101"/>
  <c r="F58" i="103"/>
  <c r="A35" i="52"/>
  <c r="A36" i="52" s="1"/>
  <c r="A37" i="52" s="1"/>
  <c r="F30" i="43"/>
  <c r="C217" i="80" s="1"/>
  <c r="E44" i="46"/>
  <c r="C62" i="44"/>
  <c r="F63" i="47"/>
  <c r="C233" i="80"/>
  <c r="F44" i="60"/>
  <c r="F49" i="60"/>
  <c r="D39" i="60"/>
  <c r="D52" i="60" s="1"/>
  <c r="E44" i="44"/>
  <c r="E48" i="44" s="1"/>
  <c r="F48" i="44" s="1"/>
  <c r="H27" i="43"/>
  <c r="C224" i="80" s="1"/>
  <c r="H24" i="43"/>
  <c r="C23" i="44"/>
  <c r="F23" i="44" s="1"/>
  <c r="C21" i="44"/>
  <c r="E21" i="44"/>
  <c r="E26" i="44" s="1"/>
  <c r="F59" i="51"/>
  <c r="C189" i="80"/>
  <c r="C177" i="80"/>
  <c r="C432" i="80"/>
  <c r="E89" i="15"/>
  <c r="H93" i="12"/>
  <c r="C22" i="80"/>
  <c r="C70" i="80"/>
  <c r="C38" i="80"/>
  <c r="H21" i="12"/>
  <c r="C16" i="80"/>
  <c r="C73" i="80"/>
  <c r="C52" i="80"/>
  <c r="C414" i="80" s="1"/>
  <c r="J162" i="48"/>
  <c r="C65" i="37"/>
  <c r="E65" i="37"/>
  <c r="G65" i="37"/>
  <c r="I50" i="37"/>
  <c r="I65" i="37" s="1"/>
  <c r="Q65" i="37" s="1"/>
  <c r="J50" i="37"/>
  <c r="C247" i="80"/>
  <c r="C246" i="80"/>
  <c r="H163" i="48"/>
  <c r="C243" i="80"/>
  <c r="F54" i="12"/>
  <c r="G46" i="26"/>
  <c r="H46" i="26" s="1"/>
  <c r="M20" i="58"/>
  <c r="F193" i="56"/>
  <c r="D47" i="53"/>
  <c r="D58" i="53" s="1"/>
  <c r="J41" i="37"/>
  <c r="H41" i="37"/>
  <c r="G59" i="38"/>
  <c r="H59" i="38" s="1"/>
  <c r="G69" i="29"/>
  <c r="F69" i="27"/>
  <c r="C51" i="22"/>
  <c r="C36" i="22"/>
  <c r="I83" i="18"/>
  <c r="I61" i="18"/>
  <c r="M47" i="18"/>
  <c r="I45" i="18"/>
  <c r="I34" i="18"/>
  <c r="I24" i="18"/>
  <c r="E50" i="17"/>
  <c r="G96" i="13"/>
  <c r="C104" i="80"/>
  <c r="C92" i="80"/>
  <c r="C93" i="80" s="1"/>
  <c r="H44" i="13"/>
  <c r="H46" i="13" s="1"/>
  <c r="G44" i="13"/>
  <c r="G46" i="13" s="1"/>
  <c r="H41" i="12"/>
  <c r="H116" i="12"/>
  <c r="C63" i="80"/>
  <c r="C410" i="80" s="1"/>
  <c r="H108" i="12"/>
  <c r="E118" i="12"/>
  <c r="F118" i="12"/>
  <c r="C49" i="80"/>
  <c r="C418" i="80" s="1"/>
  <c r="H78" i="12"/>
  <c r="C32" i="80"/>
  <c r="C408" i="80" s="1"/>
  <c r="E54" i="12"/>
  <c r="H11" i="12"/>
  <c r="E25" i="17"/>
  <c r="D50" i="40"/>
  <c r="D52" i="40" s="1"/>
  <c r="E50" i="40"/>
  <c r="E52" i="40" s="1"/>
  <c r="I32" i="39"/>
  <c r="C53" i="39"/>
  <c r="O53" i="39" s="1"/>
  <c r="G27" i="156"/>
  <c r="G53" i="103"/>
  <c r="G41" i="103"/>
  <c r="G35" i="103"/>
  <c r="G29" i="103"/>
  <c r="G25" i="103"/>
  <c r="E54" i="156"/>
  <c r="E67" i="156" s="1"/>
  <c r="E45" i="104"/>
  <c r="G48" i="103"/>
  <c r="E48" i="103"/>
  <c r="G11" i="103"/>
  <c r="G17" i="103" s="1"/>
  <c r="F44" i="101"/>
  <c r="E29" i="101"/>
  <c r="G29" i="101"/>
  <c r="G13" i="101"/>
  <c r="C44" i="101"/>
  <c r="F57" i="135"/>
  <c r="G48" i="156"/>
  <c r="G9" i="156"/>
  <c r="G17" i="156" s="1"/>
  <c r="G57" i="135" l="1"/>
  <c r="K44" i="46"/>
  <c r="L25" i="17"/>
  <c r="H46" i="164"/>
  <c r="I46" i="164"/>
  <c r="A1" i="151"/>
  <c r="A1" i="63"/>
  <c r="O20" i="58"/>
  <c r="K162" i="48"/>
  <c r="N52" i="40"/>
  <c r="M61" i="18"/>
  <c r="C361" i="80"/>
  <c r="D23" i="17"/>
  <c r="C358" i="80"/>
  <c r="C43" i="22"/>
  <c r="C55" i="22" s="1"/>
  <c r="E50" i="50"/>
  <c r="E51" i="50" s="1"/>
  <c r="E74" i="50"/>
  <c r="L41" i="17"/>
  <c r="B77" i="135"/>
  <c r="H67" i="13"/>
  <c r="H107" i="13" s="1"/>
  <c r="H114" i="13" s="1"/>
  <c r="G67" i="13"/>
  <c r="G107" i="13" s="1"/>
  <c r="G114" i="13" s="1"/>
  <c r="F77" i="135"/>
  <c r="F60" i="44"/>
  <c r="F56" i="44"/>
  <c r="D26" i="44"/>
  <c r="C207" i="80"/>
  <c r="A34" i="77"/>
  <c r="A63" i="2"/>
  <c r="A67" i="2"/>
  <c r="A69" i="2"/>
  <c r="A1" i="162" s="1"/>
  <c r="G47" i="53"/>
  <c r="G58" i="53" s="1"/>
  <c r="H58" i="53" s="1"/>
  <c r="G48" i="102"/>
  <c r="F67" i="156"/>
  <c r="F68" i="156" s="1"/>
  <c r="C97" i="80"/>
  <c r="C110" i="80" s="1"/>
  <c r="C118" i="80" s="1"/>
  <c r="C122" i="80" s="1"/>
  <c r="C428" i="80" s="1"/>
  <c r="C395" i="80" s="1"/>
  <c r="H65" i="37"/>
  <c r="G20" i="101"/>
  <c r="G45" i="101" s="1"/>
  <c r="G22" i="44"/>
  <c r="I53" i="39"/>
  <c r="P53" i="39" s="1"/>
  <c r="H69" i="27"/>
  <c r="D41" i="17"/>
  <c r="D24" i="17" s="1"/>
  <c r="E49" i="102"/>
  <c r="J65" i="37"/>
  <c r="E162" i="48"/>
  <c r="M50" i="18"/>
  <c r="C249" i="80"/>
  <c r="E44" i="101"/>
  <c r="C219" i="80"/>
  <c r="C262" i="80" s="1"/>
  <c r="C312" i="80" s="1"/>
  <c r="D40" i="43"/>
  <c r="C210" i="80" s="1"/>
  <c r="A65" i="2"/>
  <c r="A53" i="2"/>
  <c r="A59" i="2"/>
  <c r="A55" i="2"/>
  <c r="A1" i="97" s="1"/>
  <c r="C266" i="80"/>
  <c r="A57" i="2"/>
  <c r="L50" i="40"/>
  <c r="L52" i="40" s="1"/>
  <c r="O52" i="40" s="1"/>
  <c r="C223" i="80"/>
  <c r="C227" i="80" s="1"/>
  <c r="E58" i="103"/>
  <c r="F32" i="43"/>
  <c r="J32" i="43" s="1"/>
  <c r="D68" i="156"/>
  <c r="D79" i="160"/>
  <c r="D81" i="160" s="1"/>
  <c r="D82" i="160" s="1"/>
  <c r="E48" i="102"/>
  <c r="E55" i="104"/>
  <c r="G58" i="103"/>
  <c r="E74" i="160"/>
  <c r="E45" i="101"/>
  <c r="A1" i="169"/>
  <c r="A1" i="81"/>
  <c r="A1" i="108"/>
  <c r="A1" i="29"/>
  <c r="A1" i="95"/>
  <c r="A1" i="50"/>
  <c r="A67" i="45"/>
  <c r="A1" i="45"/>
  <c r="A1" i="18"/>
  <c r="A1" i="14"/>
  <c r="A1" i="17"/>
  <c r="I60" i="13"/>
  <c r="A63" i="14"/>
  <c r="A60" i="13"/>
  <c r="I1" i="13"/>
  <c r="G54" i="156"/>
  <c r="G67" i="156" s="1"/>
  <c r="G55" i="104"/>
  <c r="C232" i="80"/>
  <c r="J164" i="48"/>
  <c r="C79" i="160"/>
  <c r="C81" i="160" s="1"/>
  <c r="C82" i="160" s="1"/>
  <c r="C68" i="156"/>
  <c r="C206" i="80"/>
  <c r="C239" i="80" s="1"/>
  <c r="G62" i="44"/>
  <c r="F62" i="44"/>
  <c r="C66" i="44"/>
  <c r="G56" i="44"/>
  <c r="D60" i="44"/>
  <c r="G60" i="44" s="1"/>
  <c r="F39" i="60"/>
  <c r="F52" i="60" s="1"/>
  <c r="H32" i="43"/>
  <c r="C26" i="44"/>
  <c r="G23" i="44"/>
  <c r="D32" i="43"/>
  <c r="F21" i="44"/>
  <c r="G21" i="44"/>
  <c r="H54" i="12"/>
  <c r="C383" i="80"/>
  <c r="C75" i="80"/>
  <c r="I118" i="12"/>
  <c r="E121" i="12"/>
  <c r="F121" i="12"/>
  <c r="I163" i="48"/>
  <c r="A38" i="52"/>
  <c r="A39" i="52" s="1"/>
  <c r="A40" i="52" s="1"/>
  <c r="C244" i="80"/>
  <c r="D162" i="48"/>
  <c r="F163" i="48" s="1"/>
  <c r="H164" i="48"/>
  <c r="M62" i="58"/>
  <c r="H69" i="29"/>
  <c r="M83" i="18"/>
  <c r="I84" i="18"/>
  <c r="C363" i="80"/>
  <c r="C362" i="80"/>
  <c r="C360" i="80"/>
  <c r="M45" i="18"/>
  <c r="C359" i="80"/>
  <c r="M34" i="18"/>
  <c r="M24" i="18"/>
  <c r="C40" i="80"/>
  <c r="G118" i="12"/>
  <c r="H118" i="12"/>
  <c r="C412" i="80"/>
  <c r="H51" i="164"/>
  <c r="H53" i="164" s="1"/>
  <c r="H44" i="105"/>
  <c r="I44" i="105"/>
  <c r="I51" i="164"/>
  <c r="I53" i="164" s="1"/>
  <c r="H78" i="160"/>
  <c r="E60" i="103"/>
  <c r="G60" i="103"/>
  <c r="G49" i="102"/>
  <c r="D1" i="63" l="1"/>
  <c r="A1" i="70"/>
  <c r="A1" i="71"/>
  <c r="A59" i="12"/>
  <c r="A1" i="60"/>
  <c r="A1" i="24"/>
  <c r="A1" i="193"/>
  <c r="A1" i="160"/>
  <c r="R65" i="37"/>
  <c r="P65" i="37"/>
  <c r="D25" i="17"/>
  <c r="M84" i="18"/>
  <c r="G51" i="22"/>
  <c r="G32" i="14"/>
  <c r="G37" i="14" s="1"/>
  <c r="C133" i="80" s="1"/>
  <c r="G26" i="44"/>
  <c r="H1" i="37"/>
  <c r="A1" i="153"/>
  <c r="A60" i="9"/>
  <c r="A1" i="76"/>
  <c r="A1" i="37"/>
  <c r="A1" i="93"/>
  <c r="A50" i="76"/>
  <c r="A1" i="8"/>
  <c r="A1" i="28"/>
  <c r="A1" i="61"/>
  <c r="A1" i="31"/>
  <c r="A1" i="134"/>
  <c r="A1" i="46"/>
  <c r="F1" i="31"/>
  <c r="A1" i="106"/>
  <c r="A1" i="35"/>
  <c r="A1" i="107"/>
  <c r="A1" i="164"/>
  <c r="A1" i="96"/>
  <c r="A68" i="37"/>
  <c r="A35" i="77"/>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1" i="154"/>
  <c r="A1" i="105"/>
  <c r="A1" i="44"/>
  <c r="A1" i="12"/>
  <c r="A1" i="15"/>
  <c r="I1" i="45"/>
  <c r="A75" i="61"/>
  <c r="C250" i="80"/>
  <c r="C334" i="80" s="1"/>
  <c r="C422" i="80"/>
  <c r="C393" i="80" s="1"/>
  <c r="A1" i="72"/>
  <c r="A1" i="155"/>
  <c r="A1" i="84"/>
  <c r="A1" i="85"/>
  <c r="G1" i="58"/>
  <c r="C302" i="80"/>
  <c r="A1" i="190"/>
  <c r="A1" i="129"/>
  <c r="C310" i="80"/>
  <c r="A1" i="110"/>
  <c r="A1" i="103"/>
  <c r="H67" i="156"/>
  <c r="F79" i="160"/>
  <c r="F81" i="160" s="1"/>
  <c r="F82" i="160" s="1"/>
  <c r="G44" i="101"/>
  <c r="A1" i="52"/>
  <c r="B1" i="6"/>
  <c r="A1" i="111"/>
  <c r="A1" i="119"/>
  <c r="A1" i="39"/>
  <c r="F66" i="36"/>
  <c r="A1" i="48"/>
  <c r="C308" i="80"/>
  <c r="A1" i="40"/>
  <c r="A1" i="192"/>
  <c r="A1" i="26"/>
  <c r="A1" i="51"/>
  <c r="A1" i="25"/>
  <c r="A63" i="48"/>
  <c r="A1" i="34"/>
  <c r="A1" i="191"/>
  <c r="A1" i="58"/>
  <c r="F1" i="40"/>
  <c r="A1" i="57"/>
  <c r="G1" i="50"/>
  <c r="F1" i="36"/>
  <c r="F1" i="17"/>
  <c r="A1" i="54"/>
  <c r="A1" i="67"/>
  <c r="A1" i="98"/>
  <c r="I1" i="39"/>
  <c r="A1" i="30"/>
  <c r="A1" i="137"/>
  <c r="A1" i="20"/>
  <c r="A1" i="104"/>
  <c r="A1" i="135"/>
  <c r="A1" i="33"/>
  <c r="A1" i="19"/>
  <c r="A124" i="48"/>
  <c r="H48" i="102"/>
  <c r="H58" i="103"/>
  <c r="I86" i="18"/>
  <c r="C237" i="80"/>
  <c r="E18" i="15"/>
  <c r="E37" i="15" s="1"/>
  <c r="E118" i="15" s="1"/>
  <c r="E122" i="15" s="1"/>
  <c r="C238" i="80"/>
  <c r="D41" i="43"/>
  <c r="C211" i="80"/>
  <c r="C260" i="80" s="1"/>
  <c r="C294" i="80" s="1"/>
  <c r="A63" i="62"/>
  <c r="D1" i="117"/>
  <c r="A1" i="47"/>
  <c r="A1" i="102"/>
  <c r="A1" i="5"/>
  <c r="A60" i="5"/>
  <c r="A1" i="83"/>
  <c r="A1" i="101"/>
  <c r="A1" i="90"/>
  <c r="A1" i="59"/>
  <c r="A1" i="10"/>
  <c r="A1" i="118"/>
  <c r="A129" i="56"/>
  <c r="H1" i="8"/>
  <c r="A1" i="65"/>
  <c r="A1" i="36"/>
  <c r="I1" i="73"/>
  <c r="A1" i="21"/>
  <c r="D1" i="133"/>
  <c r="A1" i="62"/>
  <c r="A1" i="22"/>
  <c r="A1" i="117"/>
  <c r="A1" i="133"/>
  <c r="A62" i="15"/>
  <c r="A62" i="10"/>
  <c r="F64" i="18"/>
  <c r="A64" i="18"/>
  <c r="A1" i="32"/>
  <c r="B1" i="7"/>
  <c r="A69" i="56"/>
  <c r="A1" i="73"/>
  <c r="A66" i="16"/>
  <c r="A1" i="128"/>
  <c r="A1" i="16"/>
  <c r="A1" i="68"/>
  <c r="F1" i="18"/>
  <c r="A1" i="127"/>
  <c r="A1" i="38"/>
  <c r="A1" i="161"/>
  <c r="A1" i="69"/>
  <c r="A1" i="64"/>
  <c r="A1" i="66"/>
  <c r="D1" i="64"/>
  <c r="A1" i="53"/>
  <c r="G1" i="59"/>
  <c r="A66" i="36"/>
  <c r="A1" i="56"/>
  <c r="B65" i="7"/>
  <c r="A1" i="156"/>
  <c r="A1" i="86"/>
  <c r="A1" i="55"/>
  <c r="A1" i="92"/>
  <c r="A1" i="49"/>
  <c r="A1" i="23"/>
  <c r="A1" i="78"/>
  <c r="A1" i="94"/>
  <c r="A53" i="79"/>
  <c r="A1" i="87"/>
  <c r="A1" i="157"/>
  <c r="A1" i="27"/>
  <c r="A1" i="75"/>
  <c r="A1" i="43"/>
  <c r="A1" i="42"/>
  <c r="A1" i="11"/>
  <c r="A1" i="41"/>
  <c r="A1" i="88"/>
  <c r="A1" i="9"/>
  <c r="A106" i="11"/>
  <c r="A54" i="11"/>
  <c r="A1" i="77"/>
  <c r="A1" i="89"/>
  <c r="A1" i="13"/>
  <c r="A1" i="74"/>
  <c r="A1" i="91"/>
  <c r="A1" i="79"/>
  <c r="Q31" i="70"/>
  <c r="G68" i="156"/>
  <c r="G79" i="160"/>
  <c r="G81" i="160" s="1"/>
  <c r="G74" i="160"/>
  <c r="I74" i="160" s="1"/>
  <c r="E68" i="156"/>
  <c r="H45" i="101"/>
  <c r="E79" i="160"/>
  <c r="E81" i="160" s="1"/>
  <c r="H55" i="104"/>
  <c r="E20" i="52"/>
  <c r="E42" i="52" s="1"/>
  <c r="E44" i="52" s="1"/>
  <c r="G66" i="44"/>
  <c r="F66" i="44"/>
  <c r="C329" i="80"/>
  <c r="C331" i="80" s="1"/>
  <c r="C336" i="80" s="1"/>
  <c r="F26" i="44"/>
  <c r="C397" i="80"/>
  <c r="A41" i="52"/>
  <c r="A42" i="52" s="1"/>
  <c r="A43" i="52" s="1"/>
  <c r="A44" i="52" s="1"/>
  <c r="A45" i="52" s="1"/>
  <c r="A46" i="52" s="1"/>
  <c r="A47" i="52" s="1"/>
  <c r="A48" i="52" s="1"/>
  <c r="C366" i="80"/>
  <c r="C375" i="80" s="1"/>
  <c r="C379" i="80" s="1"/>
  <c r="C129" i="80"/>
  <c r="C391" i="80"/>
  <c r="C389" i="80"/>
  <c r="C388" i="80"/>
  <c r="C385" i="80"/>
  <c r="C390" i="80"/>
  <c r="N86" i="18" l="1"/>
  <c r="J41" i="43"/>
  <c r="F93" i="14"/>
  <c r="F109" i="14" s="1"/>
  <c r="H109" i="14" s="1"/>
  <c r="H32" i="14"/>
  <c r="G60" i="14"/>
  <c r="C134" i="80"/>
  <c r="C136" i="80" s="1"/>
  <c r="C140" i="80" s="1"/>
  <c r="C150" i="80"/>
  <c r="C162" i="80" s="1"/>
  <c r="C430" i="80" s="1"/>
  <c r="C400" i="80" s="1"/>
  <c r="C338" i="80"/>
  <c r="C270" i="80" s="1"/>
  <c r="C288" i="80" s="1"/>
  <c r="M86" i="18"/>
  <c r="C292" i="80"/>
  <c r="C290" i="80"/>
  <c r="C280" i="80"/>
  <c r="C316" i="80" s="1"/>
  <c r="C284" i="80"/>
  <c r="H68" i="156"/>
  <c r="H81" i="160"/>
  <c r="E82" i="160"/>
  <c r="G82" i="160"/>
  <c r="H79" i="160"/>
  <c r="C268" i="80"/>
  <c r="C304" i="80" s="1"/>
  <c r="E48" i="52"/>
  <c r="A49" i="52"/>
  <c r="A50" i="52" s="1"/>
  <c r="A51" i="52" s="1"/>
  <c r="A52" i="52" s="1"/>
  <c r="C436" i="80"/>
  <c r="C402" i="80" s="1"/>
  <c r="F122" i="15"/>
  <c r="E127" i="15"/>
  <c r="F48" i="52" l="1"/>
  <c r="E52" i="52"/>
  <c r="H60" i="14"/>
  <c r="C191" i="80"/>
  <c r="C195" i="80" s="1"/>
  <c r="C306" i="80"/>
  <c r="C286" i="80"/>
  <c r="C278" i="80"/>
  <c r="C314" i="80" s="1"/>
  <c r="A53" i="52"/>
  <c r="A54" i="52" s="1"/>
  <c r="C296" i="80" l="1"/>
  <c r="C298" i="80" s="1"/>
  <c r="F52"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Goldfarb, Elena</author>
  </authors>
  <commentList>
    <comment ref="C42" authorId="0" shapeId="0" xr:uid="{00000000-0006-0000-0B00-000001000000}">
      <text>
        <r>
          <rPr>
            <b/>
            <sz val="9"/>
            <color indexed="81"/>
            <rFont val="Tahoma"/>
            <family val="2"/>
          </rPr>
          <t>Goldfarb, Elena:</t>
        </r>
        <r>
          <rPr>
            <sz val="9"/>
            <color indexed="81"/>
            <rFont val="Tahoma"/>
            <family val="2"/>
          </rPr>
          <t xml:space="preserve">
rounding adjustment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Goldfarb, Elena</author>
  </authors>
  <commentList>
    <comment ref="E34" authorId="0" shapeId="0" xr:uid="{0C3A81DF-74EF-4F85-A9FF-888DCA1624CD}">
      <text>
        <r>
          <rPr>
            <b/>
            <sz val="9"/>
            <color indexed="81"/>
            <rFont val="Tahoma"/>
            <family val="2"/>
          </rPr>
          <t>Goldfarb, Elena:</t>
        </r>
        <r>
          <rPr>
            <sz val="9"/>
            <color indexed="81"/>
            <rFont val="Tahoma"/>
            <family val="2"/>
          </rPr>
          <t xml:space="preserve">
rounding adkjustment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Goldfarb, Elena</author>
  </authors>
  <commentList>
    <comment ref="E57" authorId="0" shapeId="0" xr:uid="{4965851E-C97C-4F6D-8D17-B36BD6E19C60}">
      <text>
        <r>
          <rPr>
            <b/>
            <sz val="9"/>
            <color indexed="81"/>
            <rFont val="Tahoma"/>
            <family val="2"/>
          </rPr>
          <t>Goldfarb, Elena:</t>
        </r>
        <r>
          <rPr>
            <sz val="9"/>
            <color indexed="81"/>
            <rFont val="Tahoma"/>
            <family val="2"/>
          </rPr>
          <t xml:space="preserve">
includes rounding adjustment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Goldfarb, Elena</author>
  </authors>
  <commentList>
    <comment ref="D143" authorId="0" shapeId="0" xr:uid="{68E78BBD-54AA-40C9-931C-099D90EF4697}">
      <text>
        <r>
          <rPr>
            <b/>
            <sz val="9"/>
            <color indexed="81"/>
            <rFont val="Tahoma"/>
            <family val="2"/>
          </rPr>
          <t>Goldfarb, Elena:</t>
        </r>
        <r>
          <rPr>
            <sz val="9"/>
            <color indexed="81"/>
            <rFont val="Tahoma"/>
            <family val="2"/>
          </rPr>
          <t xml:space="preserve">
Rounding adjustment
</t>
        </r>
      </text>
    </comment>
    <comment ref="D156" authorId="0" shapeId="0" xr:uid="{2F095866-8DAF-4E05-B4B8-FF474C447A56}">
      <text>
        <r>
          <rPr>
            <b/>
            <sz val="9"/>
            <color indexed="81"/>
            <rFont val="Tahoma"/>
            <family val="2"/>
          </rPr>
          <t>Goldfarb, Elena:</t>
        </r>
        <r>
          <rPr>
            <sz val="9"/>
            <color indexed="81"/>
            <rFont val="Tahoma"/>
            <family val="2"/>
          </rPr>
          <t xml:space="preserve">
includes rounding adjustment</t>
        </r>
      </text>
    </comment>
  </commentList>
</comments>
</file>

<file path=xl/sharedStrings.xml><?xml version="1.0" encoding="utf-8"?>
<sst xmlns="http://schemas.openxmlformats.org/spreadsheetml/2006/main" count="13892" uniqueCount="5620">
  <si>
    <t>possession, (c) the authority by which the receivership or trusteeship was created, and (d)</t>
  </si>
  <si>
    <t>date when possession by receiver or trustee ceased.</t>
  </si>
  <si>
    <t>commencing with the highest.  Show in column (a) the titles</t>
  </si>
  <si>
    <t>security holders.  This instruction is inapplicable to convertible</t>
  </si>
  <si>
    <t>1.  Report below the original cost of water plant in service according to the prescribed accounts.</t>
  </si>
  <si>
    <t xml:space="preserve">     each State and subdivision can readily be ascertained.</t>
  </si>
  <si>
    <t>BALANCE BEGINNING OF YEAR</t>
  </si>
  <si>
    <t xml:space="preserve">  if being amortized) relating to formal cases before a regulatory</t>
  </si>
  <si>
    <t>FRANCHISE REQUIREMENTS</t>
  </si>
  <si>
    <t>REGULATORY COMMISSION EXPENSES</t>
  </si>
  <si>
    <t>column (g).  Include in column (i) the average period over which the tax credits are amortized.</t>
  </si>
  <si>
    <t>Allocations to</t>
  </si>
  <si>
    <t>Adjustment Explanation</t>
  </si>
  <si>
    <t>Current Year's Income</t>
  </si>
  <si>
    <t>Average Period</t>
  </si>
  <si>
    <t>of Allocation</t>
  </si>
  <si>
    <t>be included on this page (Paper Copy Only).</t>
  </si>
  <si>
    <t>annual revenues of each class of service.</t>
  </si>
  <si>
    <t>Page 108</t>
  </si>
  <si>
    <t>porting schedules should consist of balances and items immediately prior to transfer (for accounting</t>
  </si>
  <si>
    <t xml:space="preserve">purposes).  If the books are not closed as of that date, the data in the report should nevertheless be </t>
  </si>
  <si>
    <t xml:space="preserve">complete and the amounts reported should be supported by information set forth in, or as part of the </t>
  </si>
  <si>
    <t>books of account.</t>
  </si>
  <si>
    <t>5.     Every inquiry must be definitely answered.  If "none" or "not applicable" states the fact, such an</t>
  </si>
  <si>
    <t>Report on Line 21 the net asset gain or loss deferred during the reporting year for later recognition.  Do not</t>
  </si>
  <si>
    <t>include in this amount amortization of previously deferred gains or losses as these amounts are to be reported</t>
  </si>
  <si>
    <t>on Line 24.</t>
  </si>
  <si>
    <t>ity with respect to water purchases.  State for each</t>
  </si>
  <si>
    <t xml:space="preserve">  6.  If any notes appearing in the report to stockholders are</t>
  </si>
  <si>
    <t>different from that reported in prior reports.</t>
  </si>
  <si>
    <t>totals.</t>
  </si>
  <si>
    <t>Village of West Haverstraw</t>
  </si>
  <si>
    <t>3/4"</t>
  </si>
  <si>
    <t>(Ramapo)</t>
  </si>
  <si>
    <t>Total Village of Hillburn</t>
  </si>
  <si>
    <t>Total Village of Montebello</t>
  </si>
  <si>
    <t>Total Village of New Hempstead</t>
  </si>
  <si>
    <t>Total Village of Sloatsburg</t>
  </si>
  <si>
    <t>Village of Airmont</t>
  </si>
  <si>
    <t>Total Village of Airmont</t>
  </si>
  <si>
    <t>Page 408c</t>
  </si>
  <si>
    <t>Village of New Square</t>
  </si>
  <si>
    <t>Total Village of  New Square</t>
  </si>
  <si>
    <t xml:space="preserve"> In Service</t>
  </si>
  <si>
    <t>difference between 1)  the rate allowance for OPEB expense, plus any pension related or other funds or credits the company is directed</t>
  </si>
  <si>
    <t>to each basic statement, providing a subheading for each</t>
  </si>
  <si>
    <t xml:space="preserve">  expenses between utility/nonutility operations.  The book </t>
  </si>
  <si>
    <t>Preferred Stock Issued</t>
  </si>
  <si>
    <t>DEFERRED DEBITS</t>
  </si>
  <si>
    <t>Unamortized Debt Expense (181)</t>
  </si>
  <si>
    <t xml:space="preserve">  (R &amp; D) project initiated, continued, or concluded</t>
  </si>
  <si>
    <t xml:space="preserve">  outside the company costing $5,000 or more, briefly</t>
  </si>
  <si>
    <t>amounts were capitalized during the year, listing Account</t>
  </si>
  <si>
    <t>such amounts identified by "Est."</t>
  </si>
  <si>
    <t>Report the information specified below for all charges made during the year included in any account (including plant accounts) for outside</t>
  </si>
  <si>
    <t>13.</t>
  </si>
  <si>
    <t>year affected the gross revenues or costs to which the con-</t>
  </si>
  <si>
    <t xml:space="preserve">As stated above, the name of the file is WATERAR.XLS.  It is advised that you call up the file and then immediately save it using the assigned file names as shown below. </t>
  </si>
  <si>
    <t>Town of Haverstraw (Thiells -Rosman Road)</t>
  </si>
  <si>
    <t>130'-6" Dia. x 40'-0" High</t>
  </si>
  <si>
    <t>Town of Haverstraw (Thiells)</t>
  </si>
  <si>
    <t>42' Dia. x 48' High</t>
  </si>
  <si>
    <t>Demolished 1999</t>
  </si>
  <si>
    <t>25' Dia. x 42' High</t>
  </si>
  <si>
    <t>Town of Stony Point (Out of Service)</t>
  </si>
  <si>
    <t>1893-1950</t>
  </si>
  <si>
    <t>114' Dia. x 92' x 8'</t>
  </si>
  <si>
    <t>1893-1935</t>
  </si>
  <si>
    <t>120' Dia. x 64' x 15'</t>
  </si>
  <si>
    <t>Town of Haverstraw (Park Avenue)</t>
  </si>
  <si>
    <t>35' Dia. x 70' High</t>
  </si>
  <si>
    <t>Village of Pomona (Cheesecote Mountain)</t>
  </si>
  <si>
    <t>30' Dia. x 40' High</t>
  </si>
  <si>
    <t xml:space="preserve">     of such  customers included in each of the two service classifications.</t>
  </si>
  <si>
    <t>Injuries and Damages Reserve (262)</t>
  </si>
  <si>
    <t>Pensions and Benefits Reserve (263)</t>
  </si>
  <si>
    <t>30' Dia. x 30' High</t>
  </si>
  <si>
    <t>See pages 408a-408e</t>
  </si>
  <si>
    <t xml:space="preserve">Length of Pipe </t>
  </si>
  <si>
    <t>As of</t>
  </si>
  <si>
    <t>Right of</t>
  </si>
  <si>
    <t>Way</t>
  </si>
  <si>
    <t>1 1/2"</t>
  </si>
  <si>
    <t>DOLLARS PER THOUSAND GALLONS SOLD</t>
  </si>
  <si>
    <t>Blue Lake</t>
  </si>
  <si>
    <t>Indian Kill</t>
  </si>
  <si>
    <t>NYU</t>
  </si>
  <si>
    <t>Sterling Lake</t>
  </si>
  <si>
    <t>Purchased Water, Fuel or Power for Pumping</t>
  </si>
  <si>
    <t>and Chemicals</t>
  </si>
  <si>
    <t>Purchased Water</t>
  </si>
  <si>
    <t>Pg 307, L 5 (b)</t>
  </si>
  <si>
    <t>Fuel for Pumping</t>
  </si>
  <si>
    <t>Pg 307, L 25 (b)</t>
  </si>
  <si>
    <t>Chemicals</t>
  </si>
  <si>
    <t>Sinking Funds and Other Special Funds</t>
  </si>
  <si>
    <t>Pg 114, L 11, 12, 13 (d)</t>
  </si>
  <si>
    <t>resulting from settlement of any rate proceeding affecting</t>
  </si>
  <si>
    <t>which had an effect on net income, including the basis of</t>
  </si>
  <si>
    <t>and Expenses from Utility Plant Leased to Others, in another</t>
  </si>
  <si>
    <t>proceedings where a contingency exists such that refunds</t>
  </si>
  <si>
    <t>in stock during the year, and also the information called for concerning meters</t>
  </si>
  <si>
    <t xml:space="preserve">hereunder should be identified with the system of which the meters </t>
  </si>
  <si>
    <t>owned by customers.</t>
  </si>
  <si>
    <t xml:space="preserve">                       (Here insert the official title of the deponent)       (Here insert exact name of the reporting company)</t>
  </si>
  <si>
    <t>266-267</t>
  </si>
  <si>
    <t xml:space="preserve">   (Clausland)</t>
  </si>
  <si>
    <t>set forth the sources of his information and the grounds of his belief as to any matters not stated to be verified upon his</t>
  </si>
  <si>
    <t xml:space="preserve">knowledge." </t>
  </si>
  <si>
    <t>Purchased for Pumping during the year.</t>
  </si>
  <si>
    <t>Number of units</t>
  </si>
  <si>
    <t>Name of Vendor</t>
  </si>
  <si>
    <t>Kind of</t>
  </si>
  <si>
    <t>purchased or</t>
  </si>
  <si>
    <t>Power</t>
  </si>
  <si>
    <t>transferred</t>
  </si>
  <si>
    <t>Page 310</t>
  </si>
  <si>
    <t>DEPRECIATION AND AMORTIZATION OF WATER PLANT (Accounts 403, 404, 405)</t>
  </si>
  <si>
    <t>DEPRECIATION AND AMORTIZATION OF WATER PLANT (Continued)</t>
  </si>
  <si>
    <t>(Except amortization of acquisition adjustments)</t>
  </si>
  <si>
    <t xml:space="preserve">                                     Section B. Balances at End of Year According to Functional Classifications</t>
  </si>
  <si>
    <t>Source of Supply</t>
  </si>
  <si>
    <t>Pumping</t>
  </si>
  <si>
    <t>Water Treatment</t>
  </si>
  <si>
    <t>Transmission and Distribution</t>
  </si>
  <si>
    <t>General</t>
  </si>
  <si>
    <t xml:space="preserve">2.  whether the benefits are provided through an insurance carrier or directly by the company.  </t>
  </si>
  <si>
    <t>3.  the total cost for the year.</t>
  </si>
  <si>
    <t>Note:  If any important change is made with respect to any such plan during the year, give brief particulars.</t>
  </si>
  <si>
    <t>Page 357</t>
  </si>
  <si>
    <t>Employee Protective Plans (Continued)</t>
  </si>
  <si>
    <t>Page 358</t>
  </si>
  <si>
    <t>ANALYSIS OF PENSION COST</t>
  </si>
  <si>
    <t>ANALYSIS OF PENSION COST (Continued)</t>
  </si>
  <si>
    <t>On lines 1-21 report the terms of the Pension Plan for the holding company or parent company; on lines 22-32 report</t>
  </si>
  <si>
    <t>Month</t>
  </si>
  <si>
    <t>Gravity</t>
  </si>
  <si>
    <t>Pumped</t>
  </si>
  <si>
    <t xml:space="preserve">     at which carried in the books of account if different from cost) and the selling price therefor, not including any dividend or interest adjustment includible in column (g).</t>
  </si>
  <si>
    <t xml:space="preserve">Principal </t>
  </si>
  <si>
    <t>Gain or</t>
  </si>
  <si>
    <t>Description of Investment</t>
  </si>
  <si>
    <t>Insert Pages</t>
  </si>
  <si>
    <t>accounting entries for any applications of appropriated retained earnings during the year.</t>
  </si>
  <si>
    <t xml:space="preserve">   39</t>
  </si>
  <si>
    <t xml:space="preserve">   40</t>
  </si>
  <si>
    <t xml:space="preserve">   41</t>
  </si>
  <si>
    <t xml:space="preserve">   42</t>
  </si>
  <si>
    <t>Pretax Coverage of Interest Expense</t>
  </si>
  <si>
    <t>Interest on Debt to Assoc. Companies (430)</t>
  </si>
  <si>
    <t>Furnish the indicated data with respect to each executive officer and director, whether or not they received any</t>
  </si>
  <si>
    <t>4.  If any person reported in this schedule received remuneration directly or indirectly other than salary shown</t>
  </si>
  <si>
    <t xml:space="preserve">     Net Other Income and Deductions (Enter Total of lines 38, 43, 52)</t>
  </si>
  <si>
    <t>Interest on Long-Term Debt (427)</t>
  </si>
  <si>
    <t>Amort. of Debt Disc. and Expense (428)</t>
  </si>
  <si>
    <t>Amortization of Loss on Reacquired Debt</t>
  </si>
  <si>
    <t>(Less) Amort. of Premium on Debt-Credit (429)</t>
  </si>
  <si>
    <t>(Less) Amortization of Gain on Reacquired Debt-Credit</t>
  </si>
  <si>
    <t>Deferral of Asset Gain or (Loss)</t>
  </si>
  <si>
    <t>2.  Include on this page, taxes paid during the year and charged direct to final accounts, (not charged to prepaid or accrued taxes).  Enter the</t>
  </si>
  <si>
    <t>general classes of material and supplies and the various accounts (operating expenses, clearing accounts,</t>
  </si>
  <si>
    <t>plant, etc.) affected - debited or credited.  Show separately debits or credits to stores expense-clearing,</t>
  </si>
  <si>
    <t>if applicable.</t>
  </si>
  <si>
    <t>Department or</t>
  </si>
  <si>
    <t>Beginning of</t>
  </si>
  <si>
    <t>Departments</t>
  </si>
  <si>
    <t>Which Use Material</t>
  </si>
  <si>
    <t xml:space="preserve"> Fuel Stock (Account 150.151)</t>
  </si>
  <si>
    <t xml:space="preserve">   thence to the coagulation and sedimentation basins where alum and carbon are applied.  The clarification basin effluent then flows to and</t>
  </si>
  <si>
    <t xml:space="preserve">   through two filter units.  The effluent discharges into the clear water storage basin where it receives sulfur dioxide treatment to</t>
  </si>
  <si>
    <t>or other characteristics.</t>
  </si>
  <si>
    <t>Open</t>
  </si>
  <si>
    <t>Dimensions</t>
  </si>
  <si>
    <t>Service</t>
  </si>
  <si>
    <t>of overflow</t>
  </si>
  <si>
    <t>Material</t>
  </si>
  <si>
    <t>ft..</t>
  </si>
  <si>
    <t xml:space="preserve">zone </t>
  </si>
  <si>
    <t>closed</t>
  </si>
  <si>
    <t>supplied</t>
  </si>
  <si>
    <t>Page 406</t>
  </si>
  <si>
    <t>options made during the reporting year.  Quantify the effects of each such revision on each of the amounts reported on</t>
  </si>
  <si>
    <t>Page **.  Use a separate insert sheet if more space is required.</t>
  </si>
  <si>
    <t>Number of Active Employees Covered by Plan</t>
  </si>
  <si>
    <t>Number of Retired Employees Covered by Plan</t>
  </si>
  <si>
    <t xml:space="preserve">Date </t>
  </si>
  <si>
    <t>Date of</t>
  </si>
  <si>
    <t>Book Cost</t>
  </si>
  <si>
    <t>Amount or No.</t>
  </si>
  <si>
    <t>Book Costs *</t>
  </si>
  <si>
    <t>Loss From</t>
  </si>
  <si>
    <t>Acquired</t>
  </si>
  <si>
    <t xml:space="preserve"> 7.  Do not include on this page entries with respect to deferred income taxes or taxes collected through payroll deductions or otherwise</t>
  </si>
  <si>
    <t>Local</t>
  </si>
  <si>
    <t>Payroll</t>
  </si>
  <si>
    <t>Operating Revenues, Water</t>
  </si>
  <si>
    <t>Include in column (f) interest recorded as income during the year, including interest on accounts and notes held any time</t>
  </si>
  <si>
    <t>during the year.</t>
  </si>
  <si>
    <t>6.</t>
  </si>
  <si>
    <t>TEMPORARY INCOME TAX DIFFERENCES - SFAS 109</t>
  </si>
  <si>
    <t xml:space="preserve">  3.  Give particulars (details) concerning shares of any class and series of stock authorized to be issued by a regulatory commission which have</t>
  </si>
  <si>
    <t xml:space="preserve">       not yet been issued.</t>
  </si>
  <si>
    <t>Number</t>
  </si>
  <si>
    <t>Par</t>
  </si>
  <si>
    <t xml:space="preserve">               HELD BY RESPONDENT</t>
  </si>
  <si>
    <t>(101)</t>
  </si>
  <si>
    <t>(102)  Water Plant Purchased or Sold</t>
  </si>
  <si>
    <t>(102)</t>
  </si>
  <si>
    <t>Description and Location</t>
  </si>
  <si>
    <t>(Less) Extraordinary Deductions (435)</t>
  </si>
  <si>
    <t xml:space="preserve">         TOTAL Dividends Declared -- Common Stock (Acct. 438) (Total of lines 31 thru 35)</t>
  </si>
  <si>
    <t>Transfers from Acct. 216.1, Unappropriated Undistributed Subsidiary Earnings</t>
  </si>
  <si>
    <t>Balance -- End of year (Total of lines 01, 09, 15, 16, 22, 29, 36 and 37)</t>
  </si>
  <si>
    <t xml:space="preserve">NYSPSC 347-97 </t>
  </si>
  <si>
    <t>Page 120</t>
  </si>
  <si>
    <t>on the specific sheet, or to delete some spaces on the combined string below.</t>
  </si>
  <si>
    <t>Please fill in the following:</t>
  </si>
  <si>
    <t>Respondent's exact legal name :</t>
  </si>
  <si>
    <t xml:space="preserve"> </t>
  </si>
  <si>
    <t>Address line 1:</t>
  </si>
  <si>
    <t/>
  </si>
  <si>
    <t>Address line 2:</t>
  </si>
  <si>
    <t>Example</t>
  </si>
  <si>
    <t>Date of Report</t>
  </si>
  <si>
    <t>(Mo,Da,Yr)</t>
  </si>
  <si>
    <t>3/31/97</t>
  </si>
  <si>
    <t>Year of Report</t>
  </si>
  <si>
    <t>December 31,1996</t>
  </si>
  <si>
    <t>For the period starting:</t>
  </si>
  <si>
    <t>January 1, 1996</t>
  </si>
  <si>
    <t>For the period ending:</t>
  </si>
  <si>
    <t>Date due:</t>
  </si>
  <si>
    <t>March 31, 1997</t>
  </si>
  <si>
    <t xml:space="preserve">  </t>
  </si>
  <si>
    <t>WATER WORKS CORPORATIONS</t>
  </si>
  <si>
    <t>CLASSES A AND B</t>
  </si>
  <si>
    <t>OF</t>
  </si>
  <si>
    <t xml:space="preserve">  1.  Report the information called for below concerning the respondent's accounting for deferred income taxes.</t>
  </si>
  <si>
    <t xml:space="preserve"> 3.  Use footnotes as required.</t>
  </si>
  <si>
    <t xml:space="preserve">explanation of the capital change which gave rise to amounts reported under this caption including </t>
  </si>
  <si>
    <t>identification with the class and series of stock to which related.</t>
  </si>
  <si>
    <t xml:space="preserve">  (c) Gain on Resale or Cancellation of Reacquired Capital Stock (Account 210) - Report balance at</t>
  </si>
  <si>
    <t xml:space="preserve">       Income Taxes -- Federal (409.1)</t>
  </si>
  <si>
    <t>MAINS</t>
  </si>
  <si>
    <t>concerning respondent's title.</t>
  </si>
  <si>
    <t>Length of Pipe to the nearest foot</t>
  </si>
  <si>
    <t>Total Length of Pipes</t>
  </si>
  <si>
    <t xml:space="preserve">Diameter </t>
  </si>
  <si>
    <t>Private</t>
  </si>
  <si>
    <t>Public</t>
  </si>
  <si>
    <t>of pipe</t>
  </si>
  <si>
    <t>Cast</t>
  </si>
  <si>
    <t>Wrought</t>
  </si>
  <si>
    <t>right of way</t>
  </si>
  <si>
    <t>Streets</t>
  </si>
  <si>
    <t>Iron</t>
  </si>
  <si>
    <t xml:space="preserve">    (c)</t>
  </si>
  <si>
    <t>Transmission and</t>
  </si>
  <si>
    <t xml:space="preserve">  Distribution Mains</t>
  </si>
  <si>
    <t>Page 407</t>
  </si>
  <si>
    <t>MAINS (Continued)</t>
  </si>
  <si>
    <t>Fire Mains</t>
  </si>
  <si>
    <t>Page 408</t>
  </si>
  <si>
    <t>MAINTENANCE OF STRUCTURES AND IMPROVEMENTS</t>
  </si>
  <si>
    <t>MAINTENANCE OF POWER PRODUCTION IMPROVEMENTS</t>
  </si>
  <si>
    <t>Pg 354, L 26 (d)</t>
  </si>
  <si>
    <t xml:space="preserve"> OTHER OPERATING REVENUES</t>
  </si>
  <si>
    <t>BILLING ROUTINE - WATER</t>
  </si>
  <si>
    <t>470</t>
  </si>
  <si>
    <t>Forfeited Discounts</t>
  </si>
  <si>
    <t>Information about noncash investing and financing activities</t>
  </si>
  <si>
    <t xml:space="preserve"> 9.  For any tax apportioned to more than one utility department or account, state in a footnote the basis (necessity) of apportioning such tax.</t>
  </si>
  <si>
    <t>of material amount may need to be made to the utility's</t>
  </si>
  <si>
    <t>include such interest expense in column (i).  Explain in a</t>
  </si>
  <si>
    <t xml:space="preserve">  1.  Use the space below for important notes regarding the </t>
  </si>
  <si>
    <t>plan of disposition contemplated, giving reference to Com-</t>
  </si>
  <si>
    <t>Balance Sheet, Statement of Income for the year, Statement</t>
  </si>
  <si>
    <t>mission orders or other authorizations respecting classifica-</t>
  </si>
  <si>
    <t xml:space="preserve">       c. For subsidiaries of the utility, provide the extent of control that the utility has over the subsidiary.</t>
  </si>
  <si>
    <t>Page 102</t>
  </si>
  <si>
    <t>COMPANY PROFILE (Continued)</t>
  </si>
  <si>
    <t>Page 103</t>
  </si>
  <si>
    <t>OFFICERS AND DIRECTORS (Including Compensation)</t>
  </si>
  <si>
    <t>OFFICERS AND DIRECTORS (Including Compensation - Continued)</t>
  </si>
  <si>
    <t>1.</t>
  </si>
  <si>
    <t>operating revenue account in the sequence followed in</t>
  </si>
  <si>
    <t>TOTAL SOURCE OF SUPPLY EXPENSE</t>
  </si>
  <si>
    <t>2.  PUMPING  EXPENSES</t>
  </si>
  <si>
    <t>OPERATIONS SUPERVISION AND ENGINEERING</t>
  </si>
  <si>
    <t>FUEL FOR POWER PRODUCTION</t>
  </si>
  <si>
    <t>POWER PRODUCTION LABOR AND EXPENSES</t>
  </si>
  <si>
    <t>FUEL OR POWER PURCHASED FOR PUMPING</t>
  </si>
  <si>
    <t>PUMPING AND LABOR EXPENSES</t>
  </si>
  <si>
    <t>EXPENSES TRANSFERRED - CREDIT</t>
  </si>
  <si>
    <t>TOTAL OPERATIONS</t>
  </si>
  <si>
    <t>MAINTENANCE SUPERVISION AND ENGINEERING</t>
  </si>
  <si>
    <t>Retained Earnings</t>
  </si>
  <si>
    <t>Pg 115, L 11 (d)</t>
  </si>
  <si>
    <t xml:space="preserve">Reacquired Capital Stock </t>
  </si>
  <si>
    <t>Pg 115, L 12 (d) (-)</t>
  </si>
  <si>
    <t xml:space="preserve">          Total Proprietary Capital</t>
  </si>
  <si>
    <t>Pg 115, L 21 (d)</t>
  </si>
  <si>
    <t>Pg 115, L 30 (d)</t>
  </si>
  <si>
    <t>Accounts Payable</t>
  </si>
  <si>
    <t>Pg 115, L 31 (d)</t>
  </si>
  <si>
    <t>each such account and, except to the extent that the information is shown elsewhere in this report, opening</t>
  </si>
  <si>
    <t>and closing balances.  If any of the property involved has an income producing status during the year,</t>
  </si>
  <si>
    <t>Report on Line 5 items of income (e.g., dividends and interest).</t>
  </si>
  <si>
    <t xml:space="preserve">In certain instances, a portion of the New York State Jurisdiction OPEB internal reserve may not be subject to the </t>
  </si>
  <si>
    <t>consultative and other professional services.  (These services include  rate, management, construction, engineering, research,</t>
  </si>
  <si>
    <t>Pg 114, L 37=&gt;43 (d)</t>
  </si>
  <si>
    <t>Pg 114, L 44 (d)</t>
  </si>
  <si>
    <t xml:space="preserve">          Total Deferred Debits</t>
  </si>
  <si>
    <t xml:space="preserve">       Total Assets and Other Debits</t>
  </si>
  <si>
    <t>Common Stock Issued</t>
  </si>
  <si>
    <t>Pg 115, L 2, (d)</t>
  </si>
  <si>
    <t>Notes Payable (231)</t>
  </si>
  <si>
    <t>Accounts Payable (232)</t>
  </si>
  <si>
    <t>Notes Payable to Associated Companies (233)</t>
  </si>
  <si>
    <t>Accounts Payable to Associated Companies (234)</t>
  </si>
  <si>
    <t>Customer Deposits (235)</t>
  </si>
  <si>
    <t>Water Treatment Plant</t>
  </si>
  <si>
    <t>date of incorporation.  If incorporated under a special law, give reference to such law.  If</t>
  </si>
  <si>
    <t xml:space="preserve">    1.  The period for which bills are rendered.</t>
  </si>
  <si>
    <t>472</t>
  </si>
  <si>
    <t>is true and correct to the best of my knowledge and belief.   As to matters not actually stated upon my knowledge,</t>
  </si>
  <si>
    <t>Obligations Under Capital Leases - Current</t>
  </si>
  <si>
    <t>Nonutility Property (Net)</t>
  </si>
  <si>
    <t>Pg 114, L 6 (d) -  L 7 (d)</t>
  </si>
  <si>
    <t>Other Investments</t>
  </si>
  <si>
    <t xml:space="preserve">Pg 114, L 8, 9, 10 (d) </t>
  </si>
  <si>
    <t>Page 400</t>
  </si>
  <si>
    <t>SOURCES OF WATER SUPPLY</t>
  </si>
  <si>
    <t>1. Show the requested information concerning surface water supply.  In the lower section of</t>
  </si>
  <si>
    <t>state that fact in a footnote, and give full particulars concerning respondent's title.</t>
  </si>
  <si>
    <t>(h)</t>
  </si>
  <si>
    <t>(i)</t>
  </si>
  <si>
    <t>(j)</t>
  </si>
  <si>
    <t>(k)</t>
  </si>
  <si>
    <t>(l)</t>
  </si>
  <si>
    <t>1</t>
  </si>
  <si>
    <t>2</t>
  </si>
  <si>
    <t>3</t>
  </si>
  <si>
    <t>4</t>
  </si>
  <si>
    <t>5</t>
  </si>
  <si>
    <t>6</t>
  </si>
  <si>
    <t>7</t>
  </si>
  <si>
    <t>8</t>
  </si>
  <si>
    <t>9</t>
  </si>
  <si>
    <t>10</t>
  </si>
  <si>
    <t>11</t>
  </si>
  <si>
    <t>12</t>
  </si>
  <si>
    <t>13</t>
  </si>
  <si>
    <t>14</t>
  </si>
  <si>
    <t>15</t>
  </si>
  <si>
    <t>16</t>
  </si>
  <si>
    <t>17</t>
  </si>
  <si>
    <t>18</t>
  </si>
  <si>
    <t>19</t>
  </si>
  <si>
    <t>20</t>
  </si>
  <si>
    <t>21</t>
  </si>
  <si>
    <t>22</t>
  </si>
  <si>
    <t>23</t>
  </si>
  <si>
    <t>24</t>
  </si>
  <si>
    <t>25</t>
  </si>
  <si>
    <t xml:space="preserve"> NOTES:</t>
  </si>
  <si>
    <t>NOTES:</t>
  </si>
  <si>
    <t>Please complete the information on this schedule for all copies (paper and electronic version)</t>
  </si>
  <si>
    <t>of the report.</t>
  </si>
  <si>
    <t>NYPSC 347-95</t>
  </si>
  <si>
    <t>Page 104</t>
  </si>
  <si>
    <t>Page 105</t>
  </si>
  <si>
    <t>SECURITY HOLDERS AND VOTING POWERS</t>
  </si>
  <si>
    <t>(bb)</t>
  </si>
  <si>
    <t>(cc)</t>
  </si>
  <si>
    <t>(dd)</t>
  </si>
  <si>
    <t>(ee)</t>
  </si>
  <si>
    <t>Pomona</t>
  </si>
  <si>
    <t>Montebello</t>
  </si>
  <si>
    <t>Airmont</t>
  </si>
  <si>
    <t>Page 404d</t>
  </si>
  <si>
    <t>(ff)</t>
  </si>
  <si>
    <t>(gg)</t>
  </si>
  <si>
    <t>(hh)</t>
  </si>
  <si>
    <t>(ii)</t>
  </si>
  <si>
    <t>(jj)</t>
  </si>
  <si>
    <t>(kk)</t>
  </si>
  <si>
    <t>(ll)</t>
  </si>
  <si>
    <t xml:space="preserve">       (Enter Total of lines 11 thru 13)</t>
  </si>
  <si>
    <t xml:space="preserve">   Balance End of Year (Enter Total of</t>
  </si>
  <si>
    <t>Number of units,</t>
  </si>
  <si>
    <t xml:space="preserve">Depth of </t>
  </si>
  <si>
    <t>Normal</t>
  </si>
  <si>
    <t>Method of Operation</t>
  </si>
  <si>
    <t>construction</t>
  </si>
  <si>
    <t>basins or beds</t>
  </si>
  <si>
    <t>Daily capacity</t>
  </si>
  <si>
    <t xml:space="preserve"> Merchandise (Account 150.155)</t>
  </si>
  <si>
    <t xml:space="preserve"> Other Material and Supplies (Account 150.156)</t>
  </si>
  <si>
    <t xml:space="preserve"> Stores Expense Undistributed (Account 150.163)</t>
  </si>
  <si>
    <t xml:space="preserve">         TOTAL Materials and Supplies (per Balance Sheet)</t>
  </si>
  <si>
    <t>Interest for Year</t>
  </si>
  <si>
    <t xml:space="preserve">        (For new issue, give Commission Authorization numbers and dates)</t>
  </si>
  <si>
    <t>Amount of</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</si>
  <si>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</si>
  <si>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</si>
  <si>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</si>
  <si>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</si>
  <si>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</si>
  <si>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</si>
  <si>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</si>
  <si>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</si>
  <si>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</si>
  <si>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</si>
  <si>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</si>
  <si>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</si>
  <si>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</si>
  <si>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From Insert Page</t>
  </si>
  <si>
    <t>Advances from Associated Companies (Account 223)</t>
  </si>
  <si>
    <t>Other Long Term Debt (Account 224)</t>
  </si>
  <si>
    <t>Page 256</t>
  </si>
  <si>
    <t>Page 257</t>
  </si>
  <si>
    <t>Page 256-A</t>
  </si>
  <si>
    <t>Page 257-A</t>
  </si>
  <si>
    <t>respondent company appearing in the annual report to</t>
  </si>
  <si>
    <t>date operations began or ceased and give reference to Com-</t>
  </si>
  <si>
    <t>stockholders are applicable in every respect and furnish the</t>
  </si>
  <si>
    <t>AMOUNT</t>
  </si>
  <si>
    <t>FEDERAL TAXES</t>
  </si>
  <si>
    <t>Extraordinary Income (Account 434):</t>
  </si>
  <si>
    <t>Total Extraordinary Income</t>
  </si>
  <si>
    <t>Extraordinary Deductions (Account 435):</t>
  </si>
  <si>
    <t>Construction Overheads</t>
  </si>
  <si>
    <t>214</t>
  </si>
  <si>
    <t>207</t>
  </si>
  <si>
    <t>General Description of Construction Overheads Procedures</t>
  </si>
  <si>
    <t>216</t>
  </si>
  <si>
    <t>12-87</t>
  </si>
  <si>
    <t xml:space="preserve">115 Accumulated Provision for Amortization of </t>
  </si>
  <si>
    <t xml:space="preserve">    Plant Acquisition Adjustments</t>
  </si>
  <si>
    <t>118.2 Other Utility Plant</t>
  </si>
  <si>
    <t>119.2 Accumulated Provision for Depreciation and</t>
  </si>
  <si>
    <t>Temporary Income Tax Differences</t>
  </si>
  <si>
    <t>267</t>
  </si>
  <si>
    <t>Income Account Supporting Schedules</t>
  </si>
  <si>
    <t>Water Operating Revenues</t>
  </si>
  <si>
    <t>300-301</t>
  </si>
  <si>
    <t>300</t>
  </si>
  <si>
    <t>Sales of Water by Rate Schedule</t>
  </si>
  <si>
    <t>301</t>
  </si>
  <si>
    <t>Sales of Water by Municipality</t>
  </si>
  <si>
    <t>304</t>
  </si>
  <si>
    <t>302-304</t>
  </si>
  <si>
    <t>Sales for Resale and Purchased Water</t>
  </si>
  <si>
    <t>310-311</t>
  </si>
  <si>
    <t>305</t>
  </si>
  <si>
    <t>Miscellaneous Service Revenues and Other Water Revenues</t>
  </si>
  <si>
    <t>306</t>
  </si>
  <si>
    <t>Water Operation and Maintenance Expenses</t>
  </si>
  <si>
    <t>320-323</t>
  </si>
  <si>
    <t>307-309</t>
  </si>
  <si>
    <t>Number of Employees</t>
  </si>
  <si>
    <t>323</t>
  </si>
  <si>
    <t>309</t>
  </si>
  <si>
    <t>Fuel or Purchased Power for Pumping</t>
  </si>
  <si>
    <t>326-327</t>
  </si>
  <si>
    <t>310</t>
  </si>
  <si>
    <t>Depreciation and Amortization of Water Plant</t>
  </si>
  <si>
    <t>Preferred Stock Subscribed (Account 205)</t>
  </si>
  <si>
    <t>Common Stock Liability for Conversion (Account 203)</t>
  </si>
  <si>
    <t xml:space="preserve">     Percentage decrease in PBO for each 100 basis-point increase in the discount rate</t>
  </si>
  <si>
    <t xml:space="preserve">     Liability gain or (loss): {(6) x (7) x (8)} x 100 -- see instructions</t>
  </si>
  <si>
    <t>On lines 1-15 report activities for the holding company or parent company; on line 16-18 report details for the reporting</t>
  </si>
  <si>
    <t>Settlement gain or (loss):</t>
  </si>
  <si>
    <t xml:space="preserve">company. </t>
  </si>
  <si>
    <t xml:space="preserve">      Accounting value of obligation which was settled</t>
  </si>
  <si>
    <t>and contract work during the year.  Report also the applicable taxes included in Accounts 408 and</t>
  </si>
  <si>
    <t>DUPLICATE CHARGES - (CREDIT)</t>
  </si>
  <si>
    <t xml:space="preserve">  Elevation above sea level (ft.)</t>
  </si>
  <si>
    <t xml:space="preserve">  Number of Pumps</t>
  </si>
  <si>
    <t>Amortization of Previous Deferrals</t>
  </si>
  <si>
    <t>Accumulated Deferred Balance at End of Period</t>
  </si>
  <si>
    <t>Stock Liability for Conversion (203, 206)</t>
  </si>
  <si>
    <t xml:space="preserve">   Depreciation  (108, 119.1, 119.2) </t>
  </si>
  <si>
    <t xml:space="preserve">   Amortization  (111, 119.1, 119.2)</t>
  </si>
  <si>
    <t>the item in column (a).  See Account 102, Utility Plant Purchased</t>
  </si>
  <si>
    <t>or Sold).</t>
  </si>
  <si>
    <t>Original Cost</t>
  </si>
  <si>
    <t>Date Journal</t>
  </si>
  <si>
    <t>Description of Property</t>
  </si>
  <si>
    <t>of Related</t>
  </si>
  <si>
    <t>Entry Approved</t>
  </si>
  <si>
    <t>Account 421.1</t>
  </si>
  <si>
    <t>Account 421.2</t>
  </si>
  <si>
    <t>Property</t>
  </si>
  <si>
    <t>(When Required)</t>
  </si>
  <si>
    <t>Gain on Disposition of Property:</t>
  </si>
  <si>
    <t>TOTAL GAIN</t>
  </si>
  <si>
    <t>Loss on Disposition of Property:</t>
  </si>
  <si>
    <t>TOTAL LOSS</t>
  </si>
  <si>
    <t>Page 317</t>
  </si>
  <si>
    <t>PARTICULARS CONCERNING CERTAIN INCOME DEDUCTIONS AND INTEREST CHARGES ACCOUNTS</t>
  </si>
  <si>
    <t>1 1/4"</t>
  </si>
  <si>
    <t>Displacement</t>
  </si>
  <si>
    <t>5/8"</t>
  </si>
  <si>
    <t>1.5"</t>
  </si>
  <si>
    <t>Compound</t>
  </si>
  <si>
    <t>Detector Check</t>
  </si>
  <si>
    <t>Fire Protection</t>
  </si>
  <si>
    <t>See Pages 411-412 and 412a - 412d</t>
  </si>
  <si>
    <t>2 1/2</t>
  </si>
  <si>
    <t>4 1/2</t>
  </si>
  <si>
    <t>Number of Hydants in Service</t>
  </si>
  <si>
    <t>Year Start</t>
  </si>
  <si>
    <t>Payable to Associated Companies</t>
  </si>
  <si>
    <t>Uncollectible Accounts, Accumulated</t>
  </si>
  <si>
    <t>SUBTOTAL PAGE 206</t>
  </si>
  <si>
    <t>SUBTOTAL PAGE 206a</t>
  </si>
  <si>
    <t>SUBTOTAL PAGE 206b</t>
  </si>
  <si>
    <t>line 5 and complete the applicable sections on the bottom of the form.  Use separate forms to report the effect of each event</t>
  </si>
  <si>
    <t>transactions, name of the Commission authorizing the transac-</t>
  </si>
  <si>
    <t xml:space="preserve">  10.  Describe briefly any materially important transactions of</t>
  </si>
  <si>
    <t xml:space="preserve">  Unit of fuel</t>
  </si>
  <si>
    <t xml:space="preserve">  Fuel on hand at beginning of year</t>
  </si>
  <si>
    <t xml:space="preserve">  Quantity received during year</t>
  </si>
  <si>
    <t xml:space="preserve">  Average cost per unit</t>
  </si>
  <si>
    <t>Com. Stock Dividends as a % of Earnings</t>
  </si>
  <si>
    <t>Return on Common Equity</t>
  </si>
  <si>
    <t>Internal Cash Generated as a % of</t>
  </si>
  <si>
    <t xml:space="preserve">    Cash Outflows for Construction </t>
  </si>
  <si>
    <t>changes to columns (c) through (g) from the complete report of the preceding year.</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</si>
  <si>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</si>
  <si>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</si>
  <si>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</si>
  <si>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</si>
  <si>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</si>
  <si>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Accumulated  Deferred Investment Tax Credits</t>
  </si>
  <si>
    <t>Pg 300, L 9 (h)</t>
  </si>
  <si>
    <t>Pg 300, L 7, 8, 10 (h)</t>
  </si>
  <si>
    <t xml:space="preserve">          Total Customers</t>
  </si>
  <si>
    <t>OPERATING REVENUE RELATIONSHIP</t>
  </si>
  <si>
    <t>RESIDENTIAL SALES</t>
  </si>
  <si>
    <t xml:space="preserve">          TOTAL Accumulated Provisions (Should agree with line 16 above)</t>
  </si>
  <si>
    <t>(Enter Total of lines 23, 27, 31 and 32)</t>
  </si>
  <si>
    <t>NYSPSC  347-97</t>
  </si>
  <si>
    <t xml:space="preserve">tion debited to Account 428, Amortization of Debt </t>
  </si>
  <si>
    <t>WATER PRODUCTION AND CONSUMPTION</t>
  </si>
  <si>
    <t xml:space="preserve">1. Show quantities of water produced and purchased and the quantities delivered </t>
  </si>
  <si>
    <t>Fair Value of Plan Assets at Beginning of Period</t>
  </si>
  <si>
    <t>Contributions to the Fund:</t>
  </si>
  <si>
    <t xml:space="preserve">     Deposits of Company Funds</t>
  </si>
  <si>
    <t xml:space="preserve">     Transfers from Pension Related Funds</t>
  </si>
  <si>
    <t xml:space="preserve">     Other  *</t>
  </si>
  <si>
    <t xml:space="preserve">  Softening</t>
  </si>
  <si>
    <t xml:space="preserve">  Iron Removal</t>
  </si>
  <si>
    <t xml:space="preserve">  Filtration  (Specify method)</t>
  </si>
  <si>
    <t xml:space="preserve">  Aeration</t>
  </si>
  <si>
    <t xml:space="preserve">  Chlorine</t>
  </si>
  <si>
    <t xml:space="preserve">  Copper sulphate</t>
  </si>
  <si>
    <t xml:space="preserve">  Other:</t>
  </si>
  <si>
    <t xml:space="preserve">                 Less duplications:</t>
  </si>
  <si>
    <t xml:space="preserve">  Quantity purified</t>
  </si>
  <si>
    <t xml:space="preserve">  Quantity not purified</t>
  </si>
  <si>
    <t xml:space="preserve">  Total available for distribution</t>
  </si>
  <si>
    <t>Page 405</t>
  </si>
  <si>
    <t>NYPSC  347-97</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</si>
  <si>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</si>
  <si>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</si>
  <si>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</si>
  <si>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TOTAL Intangible Plant (Enter Total of lines 2, 3, and 4)</t>
  </si>
  <si>
    <t xml:space="preserve">          2. SOURCE OF SUPPLY PLANT</t>
  </si>
  <si>
    <t>(310)  Land and Land Rights</t>
  </si>
  <si>
    <t>(310)</t>
  </si>
  <si>
    <t>(311)  Structures and Improvements</t>
  </si>
  <si>
    <t>(311)</t>
  </si>
  <si>
    <t>(312)  Collecting and Impounding Reservoirs</t>
  </si>
  <si>
    <t>(312)</t>
  </si>
  <si>
    <t>(313)   Lake, River and Other Intakes</t>
  </si>
  <si>
    <t>(313)</t>
  </si>
  <si>
    <t>(314)   Wells and Springs</t>
  </si>
  <si>
    <t>(314)</t>
  </si>
  <si>
    <t>(315)   Inflitration Galleries &amp; Tunnels</t>
  </si>
  <si>
    <t>(315)</t>
  </si>
  <si>
    <t>105-Property Held For Future Use</t>
  </si>
  <si>
    <t>Proposed tank site</t>
  </si>
  <si>
    <t>Ambrey Pond Project</t>
  </si>
  <si>
    <t>Various</t>
  </si>
  <si>
    <t>Test Well #3, Hillburn Ramapo</t>
  </si>
  <si>
    <t>Test Well #107, Strawtown Road Clarkstown</t>
  </si>
  <si>
    <t>Bulsontown Property Upgrade-Stony Point</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</si>
  <si>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</si>
  <si>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</si>
  <si>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</si>
  <si>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</si>
  <si>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</si>
  <si>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</si>
  <si>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</si>
  <si>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</si>
  <si>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</si>
  <si>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</si>
  <si>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</si>
  <si>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</si>
  <si>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</si>
  <si>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Plant Materials and Operating Supplies (Account 150.154)</t>
  </si>
  <si>
    <t>Report on line 8 the discount rate which was used to calculate the obligations reported on Lines 1 and 2.</t>
  </si>
  <si>
    <t>Unrecognized Prior Service Costs</t>
  </si>
  <si>
    <t>ANALYSIS OF OPEB COSTS, FUNDING AND DEFERRALS</t>
  </si>
  <si>
    <t>(Outside Villages)</t>
  </si>
  <si>
    <t>2"</t>
  </si>
  <si>
    <t>3"</t>
  </si>
  <si>
    <t>4"</t>
  </si>
  <si>
    <t>3.  If preceding year columns (e), (g) and (i) are not derived from previously reported figures, explain any inconsistencies.</t>
  </si>
  <si>
    <t>Number of Thousand Gallons Sold</t>
  </si>
  <si>
    <t xml:space="preserve"> TOTAL WATER  O&amp;M EXPENSES  -  SUM OF 7 CATEGORIES ABOVE</t>
  </si>
  <si>
    <t>Taxes-Other Income and Deductions</t>
  </si>
  <si>
    <t xml:space="preserve">    Proceeds from Sales of Investment Securities (a)</t>
  </si>
  <si>
    <t>Page 122</t>
  </si>
  <si>
    <t>STATEMENT OF CASH FLOWS (Continued)</t>
  </si>
  <si>
    <t>4.  Investing Activities</t>
  </si>
  <si>
    <t xml:space="preserve">  5.  Codes used:</t>
  </si>
  <si>
    <t>Page 313-A</t>
  </si>
  <si>
    <t>1. Report particulars concerning other water revenues derived from water utility operations during the year.</t>
  </si>
  <si>
    <t xml:space="preserve">          Net (Increase) Decrease in Other Regulatory Assets</t>
  </si>
  <si>
    <t xml:space="preserve">          Net Increase (Decrease) in Other Regulatory Liabilities</t>
  </si>
  <si>
    <t>If reports to stockholders or audited annual financial statements are not prepared, so state below:</t>
  </si>
  <si>
    <t>Page 110</t>
  </si>
  <si>
    <t>Long Island Water</t>
  </si>
  <si>
    <t>New York American-Water</t>
  </si>
  <si>
    <t>New York Water Service</t>
  </si>
  <si>
    <t>Sea Cliff Water</t>
  </si>
  <si>
    <t>United Water - New Rochelle</t>
  </si>
  <si>
    <t>United Water - New York</t>
  </si>
  <si>
    <t>Extraordinary Property Losses (182)</t>
  </si>
  <si>
    <t>Preliminary Survey and Investigative Charges (183)</t>
  </si>
  <si>
    <t>Clearing Accounts (184)</t>
  </si>
  <si>
    <t>Temporary Facilities (185)</t>
  </si>
  <si>
    <t>Miscellaneous Deferred Debits (186)</t>
  </si>
  <si>
    <t>Investment in Research and Development (188)</t>
  </si>
  <si>
    <t>Unamortized Loss on Reacquired Debt</t>
  </si>
  <si>
    <t>Accumulated Deferred Income Taxes (190)</t>
  </si>
  <si>
    <t xml:space="preserve">    TOTAL Deferred Debits (Enter Total of lines 36 thru 44)</t>
  </si>
  <si>
    <t xml:space="preserve">       TOTAL Assets and Other Debits (Enter Total of lines 4, 14, 34,</t>
  </si>
  <si>
    <t xml:space="preserve">  and 45)</t>
  </si>
  <si>
    <t>Page 114</t>
  </si>
  <si>
    <t>COMPARATIVE BALANCE SHEET (LIABILITIES AND OTHER CREDITS)</t>
  </si>
  <si>
    <t>PROPRIETARY CAPITAL</t>
  </si>
  <si>
    <t>Common Stock Issued (201)</t>
  </si>
  <si>
    <t>Preferred Stock Issued (204)</t>
  </si>
  <si>
    <t>Capital Stock Subscribed (202, 205)</t>
  </si>
  <si>
    <t>The quantification of amounts reported on Lines 1 - 12 shall be as of the date reported on Line 13.</t>
  </si>
  <si>
    <t>on Line 13.</t>
  </si>
  <si>
    <t>(A) Water depths while operating and not operating are affected by many variables such as other pumps in use, duration of operation, climatological conditions, etc.  Well yields are also affected by these conditions.</t>
  </si>
  <si>
    <t>Page 402b</t>
  </si>
  <si>
    <t>Sparkhill</t>
  </si>
  <si>
    <t>Page 405b</t>
  </si>
  <si>
    <t>T. Purified</t>
  </si>
  <si>
    <t>Accounting</t>
  </si>
  <si>
    <t>Gals</t>
  </si>
  <si>
    <t>and, if the event affected more than one plan, use separate forms for each plan.  These events include:</t>
  </si>
  <si>
    <t xml:space="preserve">      a.  purchases of annuity contracts.</t>
  </si>
  <si>
    <t>Unrecognized net asset</t>
  </si>
  <si>
    <t xml:space="preserve">      b.  lump-sum cash payments to plan participants.</t>
  </si>
  <si>
    <t>Unrecognized net actuarial gain or (loss)</t>
  </si>
  <si>
    <t>Other Accounts Receivable (Account 143)</t>
  </si>
  <si>
    <t>Total (Accounts 142 and 143)</t>
  </si>
  <si>
    <t>Less: Accumulated Provision for Uncollectible  Accounts - Cr. (Account 144)</t>
  </si>
  <si>
    <t>date transaction was completed.  Identify property by type:</t>
  </si>
  <si>
    <t xml:space="preserve">       column (a) is available from the SEC 10-K Report Form filing, a specific reference to report form (i.e. year and company title) may be reported in</t>
  </si>
  <si>
    <t xml:space="preserve">  1.  Report particulars (details) of regulatory commission expenses</t>
  </si>
  <si>
    <t xml:space="preserve">  2.  Report in columns (b) and (c) only the current year's</t>
  </si>
  <si>
    <t>If the event qualified as a "small settlement" under SFAS 88, and the company elected not to recognize the gain or loss, state:</t>
  </si>
  <si>
    <t xml:space="preserve">   a. number of employees affected</t>
  </si>
  <si>
    <t xml:space="preserve">   b. the cost of the settlement</t>
  </si>
  <si>
    <t xml:space="preserve">   c. the amount of PBO settled</t>
  </si>
  <si>
    <t>Page 361</t>
  </si>
  <si>
    <t>Page 362</t>
  </si>
  <si>
    <t>Page 261-A</t>
  </si>
  <si>
    <t>STATEMENT OF REVENUE AND OPERATION AND MAINTENANCE</t>
  </si>
  <si>
    <t>REVENUES</t>
  </si>
  <si>
    <t>Pg 300, L 2 (d)</t>
  </si>
  <si>
    <t>Commercial and Industrial  Sales</t>
  </si>
  <si>
    <t>Pg 300, L 3, 4 (d)</t>
  </si>
  <si>
    <t>MAINTENANCE OF PUMPING EQUIPMENT</t>
  </si>
  <si>
    <t xml:space="preserve">          TOTAL MAINTENANCE</t>
  </si>
  <si>
    <t>TOTAL PUMPING EXPENSES</t>
  </si>
  <si>
    <t>Page 412c</t>
  </si>
  <si>
    <t>Page 412d</t>
  </si>
  <si>
    <t xml:space="preserve">       general class. Show separate totals for common and preferred stock.  If information to meet the stock exchange reporting requirement outlined in </t>
  </si>
  <si>
    <t xml:space="preserve">    or noncumulative.</t>
  </si>
  <si>
    <t>Deductions, of the Uniform System of Accounts.  Amounts</t>
  </si>
  <si>
    <t xml:space="preserve">  given, for the respective income deduction and interest</t>
  </si>
  <si>
    <t xml:space="preserve">of less than $1,000 may be grouped by classes within the </t>
  </si>
  <si>
    <t xml:space="preserve">  charges accounts.  Provide a subheading for each</t>
  </si>
  <si>
    <t>above subaccounts if the number of items so grouped</t>
  </si>
  <si>
    <t xml:space="preserve">  account and a total for the account.  Additional columns</t>
  </si>
  <si>
    <t>is shown.</t>
  </si>
  <si>
    <t xml:space="preserve">     (c) Interest on Debt to Associated Companies (Account</t>
  </si>
  <si>
    <t>430)-For each associated company to which interest on</t>
  </si>
  <si>
    <t>Supplied</t>
  </si>
  <si>
    <t>Gallons (Cents)</t>
  </si>
  <si>
    <t>not incorporated, state that fact and give the type of organization and the date</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</si>
  <si>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</si>
  <si>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</si>
  <si>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</si>
  <si>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Amort. Limited-term Water Plant (404)</t>
  </si>
  <si>
    <t xml:space="preserve">       Amort. of Other Water Plant (405)</t>
  </si>
  <si>
    <t xml:space="preserve">       Amort. of Water Plant Acquisition</t>
  </si>
  <si>
    <t xml:space="preserve">           Adjustment (406)</t>
  </si>
  <si>
    <t xml:space="preserve">       Amort. of Property Losses (407)</t>
  </si>
  <si>
    <t>Is Exercised</t>
  </si>
  <si>
    <t>Term Will</t>
  </si>
  <si>
    <t>Year End</t>
  </si>
  <si>
    <t>Year</t>
  </si>
  <si>
    <t>Compensation</t>
  </si>
  <si>
    <t>(Bonuses, etc.)</t>
  </si>
  <si>
    <t>Plans</t>
  </si>
  <si>
    <t>Options</t>
  </si>
  <si>
    <t>Premiums</t>
  </si>
  <si>
    <t>(Explain Below)</t>
  </si>
  <si>
    <t>(e thru k)</t>
  </si>
  <si>
    <t>Expire</t>
  </si>
  <si>
    <t>(e)</t>
  </si>
  <si>
    <t>(f)</t>
  </si>
  <si>
    <t>(g)</t>
  </si>
  <si>
    <t>be reflected because it represents a reduction of future pretax pension expense.</t>
  </si>
  <si>
    <t xml:space="preserve">    TOTAL Current and Accrued Assets (Enter Total of lines 16 thru 33)</t>
  </si>
  <si>
    <t>(Less) Reacquired Capital Stock (217)</t>
  </si>
  <si>
    <t>Pg 203, L 15 (g)</t>
  </si>
  <si>
    <t>Pg 203, L 26 (g)</t>
  </si>
  <si>
    <t>Pg 203, L 31 (g)</t>
  </si>
  <si>
    <t>Pg 203, L 43 (g)</t>
  </si>
  <si>
    <t>Pg 205, L 56 (g)</t>
  </si>
  <si>
    <t xml:space="preserve">Purchased or Sold </t>
  </si>
  <si>
    <t>Pg 200, L 5=&gt;7 (c)</t>
  </si>
  <si>
    <t xml:space="preserve">  4. List separately all property previously devoted to public service and give date of transfer to Account 121, Nonutility Property.</t>
  </si>
  <si>
    <t xml:space="preserve">  5. Minor items may be grouped.</t>
  </si>
  <si>
    <t>Purchases, Sales,</t>
  </si>
  <si>
    <t xml:space="preserve">Executive officers include a company's president, secretary, treasurer and vice president in charge of a principal business unit, </t>
  </si>
  <si>
    <t xml:space="preserve">  Long Term Debt</t>
  </si>
  <si>
    <t xml:space="preserve">Discount and Expense, or credited to Account 429, </t>
  </si>
  <si>
    <t xml:space="preserve">outstanding at end of year, describe such securities in </t>
  </si>
  <si>
    <t>numbers and dates.</t>
  </si>
  <si>
    <t>8.  For column (c) the total expenses should be listed first</t>
  </si>
  <si>
    <t>Amortization of Premium on Debt - Credit.</t>
  </si>
  <si>
    <t>a footnote.</t>
  </si>
  <si>
    <t xml:space="preserve">   3.  For bonds assumed by the respondent, include in column(a)</t>
  </si>
  <si>
    <t>Accumulated Pension Asset/(Liability) at Close of Year</t>
  </si>
  <si>
    <t>preceding the abbreviation "gals." the initial letter of Thousand,</t>
  </si>
  <si>
    <t>against which are to be entered data separately for each pump,</t>
  </si>
  <si>
    <t xml:space="preserve">   Other (NYS Corporate Tax)</t>
  </si>
  <si>
    <t>Liabilities &amp; Capital</t>
  </si>
  <si>
    <t xml:space="preserve">  Proprietary Capital</t>
  </si>
  <si>
    <t>5.  State in a footnote if any capital stock which has been nominally issued is nominally outstanding at end of year.</t>
  </si>
  <si>
    <t xml:space="preserve">       column (a) provided the fiscal years for both the 10-K report and this report are compatible.</t>
  </si>
  <si>
    <t xml:space="preserve">    Give particulars (details) in column (a) of any nominally issued capital stock, reacquired stock, or stock in sinking and other funds </t>
  </si>
  <si>
    <t xml:space="preserve">  2.  Entries in column (b) should represent the number of shares authorized by the articles of incorporation as amended to end of year.</t>
  </si>
  <si>
    <t xml:space="preserve">    which is pledged, stating name of pledgee and purposes of pledge.</t>
  </si>
  <si>
    <t>Actual Return on Plan Assets [(Gain) or Loss]</t>
  </si>
  <si>
    <t>1987 to Current Vintage Yr. Assets/Liabs.</t>
  </si>
  <si>
    <t>Average Remaining Amortization Period for:</t>
  </si>
  <si>
    <t>Protected Excess Deferred FIT Balance</t>
  </si>
  <si>
    <t>Unprotected Excess Deferred FIT Balance</t>
  </si>
  <si>
    <t xml:space="preserve">    Short-Term Debt</t>
  </si>
  <si>
    <t>Special Funds and Deposits</t>
  </si>
  <si>
    <t>227</t>
  </si>
  <si>
    <t>212</t>
  </si>
  <si>
    <t>Notes and Accounts Receivable</t>
  </si>
  <si>
    <t xml:space="preserve">     TOTAL ADMINISTRATIVE AND GENERAL EXPENSES</t>
  </si>
  <si>
    <t xml:space="preserve">            Amortization of Other Utility Plant</t>
  </si>
  <si>
    <t>Page 204</t>
  </si>
  <si>
    <t>Page 205</t>
  </si>
  <si>
    <t>CONSTRUCTION WORK IN PROGRESS (Account 107)</t>
  </si>
  <si>
    <t>IMPORTANT CHANGES DURING THE YEAR (Continued)</t>
  </si>
  <si>
    <t>Page 109</t>
  </si>
  <si>
    <t xml:space="preserve">RECONCILIATION BETWEEN PSC AND STOCKHOLDER'S ANNUAL REPORT </t>
  </si>
  <si>
    <t>(Account 408.2,409.2)</t>
  </si>
  <si>
    <t>(Account 409.3)</t>
  </si>
  <si>
    <t>(Account 439)</t>
  </si>
  <si>
    <t>(m)</t>
  </si>
  <si>
    <t>(n)</t>
  </si>
  <si>
    <t>(o)</t>
  </si>
  <si>
    <t>(p)</t>
  </si>
  <si>
    <t>(q)</t>
  </si>
  <si>
    <t>NYSPSC347-97</t>
  </si>
  <si>
    <t>Page 260</t>
  </si>
  <si>
    <t>OTHER DEFERRED CREDITS (Account 253)</t>
  </si>
  <si>
    <t>Report below the particulars (details) called for concerning other deferred credits.</t>
  </si>
  <si>
    <t>For any deferred credit being amortized, show the period of amortization.</t>
  </si>
  <si>
    <t>Minor items may be grouped by classes showing the number of items in each class.</t>
  </si>
  <si>
    <t>Description of Other</t>
  </si>
  <si>
    <t>Deferred Credits</t>
  </si>
  <si>
    <t>Page 261</t>
  </si>
  <si>
    <t xml:space="preserve">ACCUMULATED DEFERRED INVESTMENT TAX CREDITS (Account 255) </t>
  </si>
  <si>
    <t>ACCUMULATED DEFERRED INVESTMENT TAX CREDITS (Account 255) (Continued)</t>
  </si>
  <si>
    <t>3.   The information to be shown below should be the same basis as provided in "Water Operating Revenues".</t>
  </si>
  <si>
    <t>4.  The totals  should agree with the amounts for those accounts shown in Schedule entitled "Water Operating Revenues".</t>
  </si>
  <si>
    <t>Residential</t>
  </si>
  <si>
    <t>Commercial</t>
  </si>
  <si>
    <t>Industrial</t>
  </si>
  <si>
    <t>Name of</t>
  </si>
  <si>
    <t>Operating</t>
  </si>
  <si>
    <t xml:space="preserve">       Revenues From Merchandising, Jobbing and Contract Work (415)</t>
  </si>
  <si>
    <t xml:space="preserve">       (Less) Costs and Exp. of Merchandising, Job. &amp; Contract Work (416)</t>
  </si>
  <si>
    <t xml:space="preserve">       Revenues From Nonutility Operations (417)</t>
  </si>
  <si>
    <t xml:space="preserve">          6. GENERAL PLANT</t>
  </si>
  <si>
    <t>(389)  Land and Land Rights</t>
  </si>
  <si>
    <t>(389)</t>
  </si>
  <si>
    <t>(390)  Structures &amp; Improvements</t>
  </si>
  <si>
    <t>(390)</t>
  </si>
  <si>
    <t xml:space="preserve">     Depreciation and Amortization Expense</t>
  </si>
  <si>
    <t>Pg 117, L 6=&gt;11 - L 12 (e)</t>
  </si>
  <si>
    <t xml:space="preserve">     Taxes Other than Income Taxes</t>
  </si>
  <si>
    <t>Pg 117, L 13 (e)</t>
  </si>
  <si>
    <t xml:space="preserve">      Income Taxes</t>
  </si>
  <si>
    <t>Pg 117, L 14=&gt;16, 18, 19,  - L 17 (e)</t>
  </si>
  <si>
    <t>the year the thousand gallons sold, revenue, average</t>
  </si>
  <si>
    <t>one rate schedule in the same revenue account classification,</t>
  </si>
  <si>
    <t>original cost of less than $2,500 may be grouped, with the</t>
  </si>
  <si>
    <t xml:space="preserve">         Total Operating Expenses</t>
  </si>
  <si>
    <t xml:space="preserve">          Net Operating Revenues</t>
  </si>
  <si>
    <t>Other Utility Operating Income</t>
  </si>
  <si>
    <t>Pg 117, L 23 (g), (i)</t>
  </si>
  <si>
    <t xml:space="preserve">           Total Utility Operating Income</t>
  </si>
  <si>
    <t>OTHER INCOME</t>
  </si>
  <si>
    <t>Interest and Dividend Income</t>
  </si>
  <si>
    <t>Pg 118, L 34 (c)</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</si>
  <si>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</si>
  <si>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</si>
  <si>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</si>
  <si>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</si>
  <si>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Distribution Reservoirs and Stand Pipes</t>
  </si>
  <si>
    <t>406</t>
  </si>
  <si>
    <t>Mains</t>
  </si>
  <si>
    <t>407-408</t>
  </si>
  <si>
    <t>Service Pipes</t>
  </si>
  <si>
    <t>409</t>
  </si>
  <si>
    <t>Customer Meters</t>
  </si>
  <si>
    <t>410</t>
  </si>
  <si>
    <t>Fire Hydrants</t>
  </si>
  <si>
    <t>411</t>
  </si>
  <si>
    <t>Verification</t>
  </si>
  <si>
    <t>Index</t>
  </si>
  <si>
    <t>{Set "Print-Margin-Left";".5in"}</t>
  </si>
  <si>
    <t>{Set "Print-Range";table:a117..table:g173}</t>
  </si>
  <si>
    <t>{Print "Selection";1;9999;1;1}</t>
  </si>
  <si>
    <t>GENERAL INFORMATION</t>
  </si>
  <si>
    <t xml:space="preserve">   1.  Provide name and title of officer having custody of the general corporate books of</t>
  </si>
  <si>
    <t xml:space="preserve">(b)  </t>
  </si>
  <si>
    <t xml:space="preserve">(c)  </t>
  </si>
  <si>
    <t>Notes Receivable (Account 141)</t>
  </si>
  <si>
    <t>Customer Accounts Receivable (Account 142):</t>
  </si>
  <si>
    <t xml:space="preserve">  General Customers</t>
  </si>
  <si>
    <t>Operation</t>
  </si>
  <si>
    <t xml:space="preserve">     Source of Supply</t>
  </si>
  <si>
    <t xml:space="preserve">     Pumping</t>
  </si>
  <si>
    <t xml:space="preserve">   FICA Contribution</t>
  </si>
  <si>
    <t xml:space="preserve">   Unemployment</t>
  </si>
  <si>
    <t xml:space="preserve">   Other</t>
  </si>
  <si>
    <t xml:space="preserve">     Total</t>
  </si>
  <si>
    <t>State:</t>
  </si>
  <si>
    <t xml:space="preserve">  1.  If the notes to the cash flow statement in the respondents</t>
  </si>
  <si>
    <t xml:space="preserve">  3.  Operating Activities -- Other:  Include gains and losses</t>
  </si>
  <si>
    <t>annual stockholders report are applicable to this statement,</t>
  </si>
  <si>
    <t>pertaining to operating activities only.  Gains and losses</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</si>
  <si>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</si>
  <si>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</si>
  <si>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Section A. Balances and Changes During Year</t>
  </si>
  <si>
    <t>Water Plant</t>
  </si>
  <si>
    <t>(c+d)</t>
  </si>
  <si>
    <t>(A/C 108)</t>
  </si>
  <si>
    <t>(A/C 111)</t>
  </si>
  <si>
    <t>Balance Beginning of Year</t>
  </si>
  <si>
    <t xml:space="preserve">Depreciation Provisions for Year, </t>
  </si>
  <si>
    <t xml:space="preserve">  Charged to</t>
  </si>
  <si>
    <t xml:space="preserve">  (403) Depreciation Expense</t>
  </si>
  <si>
    <t xml:space="preserve">  (413) Exp. of Plt. Leas. to Others</t>
  </si>
  <si>
    <t xml:space="preserve">  Transportation Expenses-Clearing</t>
  </si>
  <si>
    <t xml:space="preserve">  Other Clearing Accounts</t>
  </si>
  <si>
    <t xml:space="preserve">   TOTAL Deprec. Prov. for Year </t>
  </si>
  <si>
    <t xml:space="preserve">       (Total of lines 3 thru 8)</t>
  </si>
  <si>
    <t xml:space="preserve">details for the reporting company.  If the reporting company has more than one pension plan, report each using separate </t>
  </si>
  <si>
    <t>Current</t>
  </si>
  <si>
    <t>forms.</t>
  </si>
  <si>
    <t>Report on line 1 the actuarial present value of benefits determined as of a specific date during the calendar year according</t>
  </si>
  <si>
    <t>amount amortization of previously deferred gains or losses as these amounts are to be reported on line 17.</t>
  </si>
  <si>
    <t xml:space="preserve">Discount Rate </t>
  </si>
  <si>
    <t>8.</t>
  </si>
  <si>
    <t>Payables to Associated Companies</t>
  </si>
  <si>
    <t>Pg 115, L 32, 33 (d)</t>
  </si>
  <si>
    <t>Customer Deposits</t>
  </si>
  <si>
    <t>Pg 300, L 5, 6 (h)</t>
  </si>
  <si>
    <t>Miscellaneous Nonoperating Income</t>
  </si>
  <si>
    <t>Pg 118, L 36 (c)</t>
  </si>
  <si>
    <t>Other  Income</t>
  </si>
  <si>
    <t>Organized under Chapter 566, Laws of 1890</t>
  </si>
  <si>
    <t>as amended by Chapter 617, Laws of 1892</t>
  </si>
  <si>
    <t>(Now part of the Transportation Corporation Law.)</t>
  </si>
  <si>
    <t>(316)   Supply Mains</t>
  </si>
  <si>
    <t>(316)</t>
  </si>
  <si>
    <t xml:space="preserve">(317)   Other Water Source Plant </t>
  </si>
  <si>
    <t>(317)</t>
  </si>
  <si>
    <t>1.  Show the requested information concerning the service pipes used in the</t>
  </si>
  <si>
    <t>3.  If the respondent owns the services from the mains to the curb or</t>
  </si>
  <si>
    <t>1. Show the requested information concerning mains in service of the respondent at the end of the year</t>
  </si>
  <si>
    <t>2. If any portion of the mains was held by respondent under any title other than full ownership, state that fact in a footnote and give the particulars</t>
  </si>
  <si>
    <t>page identification of the reporting company set forth in paragraph 9 below, may be disregarded.  Extra</t>
  </si>
  <si>
    <t>copies of any page will be furnished upon request.</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</si>
  <si>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</si>
  <si>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</si>
  <si>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</si>
  <si>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</si>
  <si>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</si>
  <si>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</si>
  <si>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</si>
  <si>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to use for OPEB purposes, and 2)  OPEB expense determined as required therein, are to be deferred for future recovery.   Report on</t>
  </si>
  <si>
    <t xml:space="preserve">Lines 13 through 17 the amounts relating to this requirement. </t>
  </si>
  <si>
    <t>New York State</t>
  </si>
  <si>
    <t>Jurisdiction</t>
  </si>
  <si>
    <t xml:space="preserve">      (b)   </t>
  </si>
  <si>
    <t xml:space="preserve">              OPEB RELATED ASSETS RECORDED IN AN INTERNAL RESERVE</t>
  </si>
  <si>
    <t>Balance in Internal Reserve at Beginning of the Period - [ (Debit) / Credit ]</t>
  </si>
  <si>
    <t>Amount of the Company's Latest Rate Allowance for OPEB Expense</t>
  </si>
  <si>
    <t>Amount of OPEB costs actually charged to Construction</t>
  </si>
  <si>
    <t>Lower dam</t>
  </si>
  <si>
    <t>Concrete</t>
  </si>
  <si>
    <t>Point</t>
  </si>
  <si>
    <t>spilling</t>
  </si>
  <si>
    <t>section</t>
  </si>
  <si>
    <t>Stony</t>
  </si>
  <si>
    <t>Stony Point</t>
  </si>
  <si>
    <t>See pages 402a - 402b</t>
  </si>
  <si>
    <t>Unit</t>
  </si>
  <si>
    <t>Average Daily Yield</t>
  </si>
  <si>
    <t>Thousand Gallons</t>
  </si>
  <si>
    <t>Village of Spring Valley (C)</t>
  </si>
  <si>
    <t xml:space="preserve">       Net Extraordinary Items (Enter Total of line 66 less line 67)</t>
  </si>
  <si>
    <t>Income Taxes -- Federal and Other (409.3)</t>
  </si>
  <si>
    <t>Extraordinary Items After Taxes (Enter Total of line 68 less line 69)</t>
  </si>
  <si>
    <t>If these amounts differ from the corresponding revenue figures in the income statement , each such difference should</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</si>
  <si>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</si>
  <si>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</si>
  <si>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</si>
  <si>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20)</t>
  </si>
  <si>
    <t>Cash Flows from Investment Activities:</t>
  </si>
  <si>
    <t xml:space="preserve">    Construction and Acquisition of Plant (including Land):</t>
  </si>
  <si>
    <t xml:space="preserve">         Gross Additions to Utility Plant</t>
  </si>
  <si>
    <t xml:space="preserve">         Gross Additions to Common Utility Plant</t>
  </si>
  <si>
    <t xml:space="preserve">         Gross Additions to Nonutility Plant</t>
  </si>
  <si>
    <t xml:space="preserve">         Cash Outflows for Plant (Total of lines 24 thru 31)</t>
  </si>
  <si>
    <t>409 and income after such taxes.  Give the bases of any allocation of expenses between utility</t>
  </si>
  <si>
    <t>and merchandising, jobbing and contract work activities.</t>
  </si>
  <si>
    <t>WATER</t>
  </si>
  <si>
    <t>ITEM</t>
  </si>
  <si>
    <t>DEPARTMENT</t>
  </si>
  <si>
    <t>Revenues:</t>
  </si>
  <si>
    <t>Merchandise sales, less discounts, allowances and returns</t>
  </si>
  <si>
    <t>Contract work</t>
  </si>
  <si>
    <t>Commissions</t>
  </si>
  <si>
    <t>Other (list according to major classes)</t>
  </si>
  <si>
    <t>Total Revenues</t>
  </si>
  <si>
    <t>Costs and Expenses:</t>
  </si>
  <si>
    <t>Sales expenses</t>
  </si>
  <si>
    <t>Customer accounts expenses</t>
  </si>
  <si>
    <t>Administrative and general expenses</t>
  </si>
  <si>
    <t>Total Costs and Expenses</t>
  </si>
  <si>
    <t>Net Income (before taxes)</t>
  </si>
  <si>
    <t>Taxes:( 408,409)</t>
  </si>
  <si>
    <t xml:space="preserve"> Federal</t>
  </si>
  <si>
    <t xml:space="preserve"> State</t>
  </si>
  <si>
    <t xml:space="preserve"> Other</t>
  </si>
  <si>
    <t>Total Taxes</t>
  </si>
  <si>
    <t>Average Annual Bill per Customer</t>
  </si>
  <si>
    <t>Grandview 67 &amp; 78</t>
  </si>
  <si>
    <t>Willow Tree 56</t>
  </si>
  <si>
    <t xml:space="preserve">  Civic, Political and Related Activities; and 426.5, Other</t>
  </si>
  <si>
    <t>for other interest charges incurred during the year.</t>
  </si>
  <si>
    <t>Miscellaneous Amortization (Account 425)</t>
  </si>
  <si>
    <t>Total Misc. Amortization</t>
  </si>
  <si>
    <t>Donations (Account 426.1)</t>
  </si>
  <si>
    <t>Total Donations</t>
  </si>
  <si>
    <t>Page 318</t>
  </si>
  <si>
    <t>Life Insurance (Account 426.2)</t>
  </si>
  <si>
    <t>Total Life Insurance</t>
  </si>
  <si>
    <t>Penalties (Account 426.3)</t>
  </si>
  <si>
    <t>Total Penalties</t>
  </si>
  <si>
    <t>Expenditures for Certain Civic, Political, and Related Activities (Account 426.4)</t>
  </si>
  <si>
    <t>Total Exp. for Certain Civic, Political and Related Activities</t>
  </si>
  <si>
    <t>Page 319</t>
  </si>
  <si>
    <t>Other Interest Expense (431)</t>
  </si>
  <si>
    <t>(Less) Allowance for Borrowed Funds Used During Construction-Cr.</t>
  </si>
  <si>
    <t>Other Deductions (Account 426.5)</t>
  </si>
  <si>
    <t>Total Other Deductions</t>
  </si>
  <si>
    <t>Maxi-</t>
  </si>
  <si>
    <t>Depth</t>
  </si>
  <si>
    <t>any title other than full ownership, give, in a footnote, particulars</t>
  </si>
  <si>
    <t xml:space="preserve">     (a) Miscellaneous Amortization (Account 425)-Describe</t>
  </si>
  <si>
    <t>debt was incurred during the year, indicate the amount and</t>
  </si>
  <si>
    <t>Pg 122, L 40, 41 (b)</t>
  </si>
  <si>
    <t xml:space="preserve">  Other Debt &amp; Equity Investments</t>
  </si>
  <si>
    <t>Pg 122, L 42, 43 (b)</t>
  </si>
  <si>
    <t xml:space="preserve">  Other Non-Current Assets</t>
  </si>
  <si>
    <t>Pg 123. L 44=&gt;46 (b)</t>
  </si>
  <si>
    <t>Purchased From</t>
  </si>
  <si>
    <t>Purchased</t>
  </si>
  <si>
    <t>Page 305</t>
  </si>
  <si>
    <t>SUMMARY OF UTILITY PLANT ACCUMULATED PROVISIONS</t>
  </si>
  <si>
    <t>FOR DEPRECIATION, AMORTIZATION AND DEPLETION</t>
  </si>
  <si>
    <t>Other (Specify)</t>
  </si>
  <si>
    <t>Water</t>
  </si>
  <si>
    <t>__________________</t>
  </si>
  <si>
    <t>In Service</t>
  </si>
  <si>
    <t xml:space="preserve">   Plant in Service (Classified)  (101)</t>
  </si>
  <si>
    <t>Report particulars of notes and accounts receivable from associated companies at end of year.</t>
  </si>
  <si>
    <t>Million, or Billion to  indicate the unit in which entries</t>
  </si>
  <si>
    <t>kind of fuel etc.</t>
  </si>
  <si>
    <t>quantities (kwh) and averages.</t>
  </si>
  <si>
    <t>Designation of Station**</t>
  </si>
  <si>
    <t xml:space="preserve">      I  t  e  m</t>
  </si>
  <si>
    <t xml:space="preserve">(i) </t>
  </si>
  <si>
    <t xml:space="preserve">(k) </t>
  </si>
  <si>
    <t xml:space="preserve">  Location of station (city, village or town)</t>
  </si>
  <si>
    <t>ANALYSIS OF PENSION SETTLEMENTS, CURTAILMENTS AND TERMINATIONS (Continued)</t>
  </si>
  <si>
    <t>Transfers, etc.</t>
  </si>
  <si>
    <t>Minor Items-Other Nonutility Property</t>
  </si>
  <si>
    <t>Organizing the Paper Copy of the Annual Report</t>
  </si>
  <si>
    <t>Company Name</t>
  </si>
  <si>
    <t>NAME TO SAVE</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</si>
  <si>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</si>
  <si>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</si>
  <si>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</si>
  <si>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</si>
  <si>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</si>
  <si>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</si>
  <si>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Payroll Charged for</t>
  </si>
  <si>
    <t>Distribution</t>
  </si>
  <si>
    <t>organized.</t>
  </si>
  <si>
    <t xml:space="preserve">   3.  If at any time during the year the property of respondent was held by a receiver or</t>
  </si>
  <si>
    <t>In certain instances, a portion of the OPEB internal reserve may not be subject to the accrual of interest (e.g., in the company's last rate</t>
  </si>
  <si>
    <t>case, a portion of the reserve may have been used as a rate base reduction).  Report on Line 12 the balance of the reserve, net of its</t>
  </si>
  <si>
    <t>See Page 405 a &amp; b</t>
  </si>
  <si>
    <t>See Page 405 c &amp; d</t>
  </si>
  <si>
    <t>Number of</t>
  </si>
  <si>
    <t>Municipality</t>
  </si>
  <si>
    <t xml:space="preserve"> (d)</t>
  </si>
  <si>
    <t xml:space="preserve"> (g)</t>
  </si>
  <si>
    <t xml:space="preserve"> (j)</t>
  </si>
  <si>
    <t>TOTAL SALES</t>
  </si>
  <si>
    <t>Page 302</t>
  </si>
  <si>
    <t>Page 303</t>
  </si>
  <si>
    <t>Page 304</t>
  </si>
  <si>
    <t xml:space="preserve">       Regulatory Debits</t>
  </si>
  <si>
    <t xml:space="preserve">       (Less) Regulatory Credits</t>
  </si>
  <si>
    <t xml:space="preserve">          TOTAL Utility Plant (Enter Total of lines 8 thru 14)</t>
  </si>
  <si>
    <t>Less:  Accum. Prov. for Depr. and Amort.</t>
  </si>
  <si>
    <t>Pg 120, L -9, 15, -37 (c)</t>
  </si>
  <si>
    <t xml:space="preserve">     Net Change</t>
  </si>
  <si>
    <t>Unappropriated (EOP)</t>
  </si>
  <si>
    <t>Appropriated (EOP)</t>
  </si>
  <si>
    <t>Pg 121, L 45 (b)</t>
  </si>
  <si>
    <t xml:space="preserve">          Total Retained Earnings</t>
  </si>
  <si>
    <t>CASH FLOW STATEMENT</t>
  </si>
  <si>
    <t>Cash Flows From Operating Activities</t>
  </si>
  <si>
    <t>Pg 122, L 2 (b)</t>
  </si>
  <si>
    <t>Adjustments to reconcile net income to net cash</t>
  </si>
  <si>
    <t>Report on line 17 the applicable Federal income tax rate.  Although no tax is currently payable on the gain and loss, it should</t>
  </si>
  <si>
    <t xml:space="preserve">applying to each class and series of capital stock.                     </t>
  </si>
  <si>
    <t xml:space="preserve">   - Dividends</t>
  </si>
  <si>
    <t xml:space="preserve">   - Sinking</t>
  </si>
  <si>
    <t xml:space="preserve">   - Expense</t>
  </si>
  <si>
    <t>Gains or Loss on Disposition of  Property</t>
  </si>
  <si>
    <t xml:space="preserve">   - Installments Received on</t>
  </si>
  <si>
    <t>Ground Water Supply, Sources of</t>
  </si>
  <si>
    <t xml:space="preserve">This is the excel file which makes up the annual report.   The file is called WATERAR.XLS and contains general corporate information, financial statements, and various financial and operating data. </t>
  </si>
  <si>
    <t>117 Accumulated Gains and Losses from</t>
  </si>
  <si>
    <t xml:space="preserve">          Disposition of Utility Plant and Land</t>
  </si>
  <si>
    <t xml:space="preserve">          Rights</t>
  </si>
  <si>
    <t>schedule separately for each plant.</t>
  </si>
  <si>
    <t xml:space="preserve">to consumers and lost or unaccounted for during the year.  Where estimates are </t>
  </si>
  <si>
    <t xml:space="preserve">used, the bases thereof should be set forth in a footnote. </t>
  </si>
  <si>
    <t xml:space="preserve">         (b) Bonds, debentures and other long-term debt.</t>
  </si>
  <si>
    <t xml:space="preserve">     acquired with liabilities assumed on pages 124-125.</t>
  </si>
  <si>
    <t xml:space="preserve">         (c) Include commercial paper.</t>
  </si>
  <si>
    <t>1. Show the requested information concerning  the treatment system which was owned or operated at any time during the year covered by the report.  If not in continuous operation, state in column (h),</t>
  </si>
  <si>
    <t>the beginning and end of the period of actual use within the year.</t>
  </si>
  <si>
    <t>Employees</t>
  </si>
  <si>
    <t xml:space="preserve">(d)  </t>
  </si>
  <si>
    <t xml:space="preserve">(e)  </t>
  </si>
  <si>
    <t xml:space="preserve">(f)  </t>
  </si>
  <si>
    <t>Misc Operating Reserves (265)</t>
  </si>
  <si>
    <t>(valve</t>
  </si>
  <si>
    <t>At beginning of year</t>
  </si>
  <si>
    <t>At end of year</t>
  </si>
  <si>
    <t>opening),</t>
  </si>
  <si>
    <t>per</t>
  </si>
  <si>
    <t>to main</t>
  </si>
  <si>
    <t>Owned by</t>
  </si>
  <si>
    <t>Not owned</t>
  </si>
  <si>
    <t>Hydrant</t>
  </si>
  <si>
    <t>by company</t>
  </si>
  <si>
    <t>Public Fire Protection</t>
  </si>
  <si>
    <t>Page 411</t>
  </si>
  <si>
    <t>FIRE HYDRANTS (Continued)</t>
  </si>
  <si>
    <t xml:space="preserve">  Total General Plant  (sum lines 45  thru 55)</t>
  </si>
  <si>
    <t>(101) Total Plant Accounts (101)</t>
  </si>
  <si>
    <t>such notes should be included on pages 124-125.</t>
  </si>
  <si>
    <t>pertaining to investing and financing activities should be</t>
  </si>
  <si>
    <t>Revenue Derived from United Water New Jersey for stream flow benefits in New Jersey</t>
  </si>
  <si>
    <t xml:space="preserve">    - Miscellaneous Plant Data</t>
  </si>
  <si>
    <t>Deferred Debits</t>
  </si>
  <si>
    <t>Accumulated Provision for Uncollectible Accounts</t>
  </si>
  <si>
    <t>Deferred Income Taxes, Accumulated - Credit</t>
  </si>
  <si>
    <t>Acquisition Adjustments, Plant</t>
  </si>
  <si>
    <t>118,207</t>
  </si>
  <si>
    <t>Dividends</t>
  </si>
  <si>
    <t>Amortization of Water Plant</t>
  </si>
  <si>
    <t>Deposits, Special</t>
  </si>
  <si>
    <t>($000s)</t>
  </si>
  <si>
    <t>PSC</t>
  </si>
  <si>
    <t>Consolidations</t>
  </si>
  <si>
    <t>Footnote</t>
  </si>
  <si>
    <t>Stockholder's</t>
  </si>
  <si>
    <t>Description</t>
  </si>
  <si>
    <t>USOA</t>
  </si>
  <si>
    <t>Adjustments</t>
  </si>
  <si>
    <t>Eliminations</t>
  </si>
  <si>
    <t>Ref</t>
  </si>
  <si>
    <t>Report</t>
  </si>
  <si>
    <t>Balance Sheet</t>
  </si>
  <si>
    <t>Assets</t>
  </si>
  <si>
    <t xml:space="preserve">  Total Net Utility Plant</t>
  </si>
  <si>
    <t xml:space="preserve">  Other Property &amp; Investments</t>
  </si>
  <si>
    <t xml:space="preserve">  Current Assets</t>
  </si>
  <si>
    <t xml:space="preserve">  Deferred Debits</t>
  </si>
  <si>
    <t xml:space="preserve"> Fuel Stock Expenses Undistributed (Account 150.152)</t>
  </si>
  <si>
    <t xml:space="preserve"> Residuals and Extracted Products</t>
  </si>
  <si>
    <t xml:space="preserve">    - Deferred Income Taxes, Accumulated</t>
  </si>
  <si>
    <t>trustee, give (a) name of receiver or trustee, (b) date such receiver or trustee took</t>
  </si>
  <si>
    <t>account and address of office where the general corporate books are kept, and address</t>
  </si>
  <si>
    <t>of office where any other corporate books of account are kept, if different from that</t>
  </si>
  <si>
    <t>where the general corporate books are kept.</t>
  </si>
  <si>
    <t xml:space="preserve">   2.  Provide name of the State under the laws of which respondent is incorporated, and</t>
  </si>
  <si>
    <t>reported in those activities.  Show on page 124-125 the</t>
  </si>
  <si>
    <t xml:space="preserve">should be provided on pages 124-125.  Provide also on page </t>
  </si>
  <si>
    <t>amounts of interest paid (net of amounts capitalized)</t>
  </si>
  <si>
    <t>122 a reconciliation between "Cash and Cash Equivalents</t>
  </si>
  <si>
    <t>and income taxes paid.</t>
  </si>
  <si>
    <t>at End of Year" with related amounts on the balance sheet.</t>
  </si>
  <si>
    <t xml:space="preserve">  2.  Under "Other" specify significant amounts and group</t>
  </si>
  <si>
    <t>others.</t>
  </si>
  <si>
    <t>Description (See Instructions for Explanations of Codes)</t>
  </si>
  <si>
    <t>Amounts</t>
  </si>
  <si>
    <t>Net Cash Flow from Operating Activities:</t>
  </si>
  <si>
    <t xml:space="preserve">     Net Income</t>
  </si>
  <si>
    <t xml:space="preserve">     Noncash Charges (Credits) to Income:</t>
  </si>
  <si>
    <t>Payables and Accrued Expenses</t>
  </si>
  <si>
    <t>Pg 122, L 12 (b)</t>
  </si>
  <si>
    <t>Capitalized AFUDC - Equity Funds</t>
  </si>
  <si>
    <t xml:space="preserve">      d. an event that significantly reduces the expected of years future service for present employees who are entitled</t>
  </si>
  <si>
    <t xml:space="preserve">     Expected return   </t>
  </si>
  <si>
    <t xml:space="preserve">           to receive benefits from that plan or that  eliminates the accrual of benefits for some or all of the future services</t>
  </si>
  <si>
    <t xml:space="preserve">which have been nominally issued and are nominally  </t>
  </si>
  <si>
    <t xml:space="preserve">   2.  In column (a), for new issues,  give Commission authorization</t>
  </si>
  <si>
    <t>originally issued.</t>
  </si>
  <si>
    <t>AFUDC - Net of Tax - Plant</t>
  </si>
  <si>
    <t xml:space="preserve">cast on that date if a meeting were then in order.  If any </t>
  </si>
  <si>
    <t xml:space="preserve">          If service is restricted to a portion of a city, designate the boroughs or area covered by the respondent's operations.</t>
  </si>
  <si>
    <t xml:space="preserve">         2.   If any items were determined by estimate or apportionment, state that fact and give full particulars in a footnote.</t>
  </si>
  <si>
    <t>Units</t>
  </si>
  <si>
    <t>Number of Units</t>
  </si>
  <si>
    <t>Total  Cost</t>
  </si>
  <si>
    <t xml:space="preserve">  Sedimentation</t>
  </si>
  <si>
    <t xml:space="preserve">  Coagulation</t>
  </si>
  <si>
    <t xml:space="preserve">to be erroneous, the reporting utility shall be duly notified and given a reasonable time within which </t>
  </si>
  <si>
    <t>Unprotected Excess Deferred Taxes</t>
  </si>
  <si>
    <t>Total Excess Deferred Taxes</t>
  </si>
  <si>
    <t>Deficient Deferred Taxes</t>
  </si>
  <si>
    <t>Deficient Deferred FIT Balance Related to:</t>
  </si>
  <si>
    <t>1986 &amp; Prior Vintage Yr. Assets/Liab.</t>
  </si>
  <si>
    <t>Internal Cash</t>
  </si>
  <si>
    <t>Pg 3, L 11</t>
  </si>
  <si>
    <t>Cash Outflows for Construction</t>
  </si>
  <si>
    <t>Pg 3, (L 12)</t>
  </si>
  <si>
    <t>CWIP</t>
  </si>
  <si>
    <t>Pg 6, L 10</t>
  </si>
  <si>
    <t>Pg 6, L 14</t>
  </si>
  <si>
    <t xml:space="preserve">A/R - Pg 309, L 4 </t>
  </si>
  <si>
    <t>117-Accumulated Gains &amp; Losses</t>
  </si>
  <si>
    <t>from Disposition of Utility Land and</t>
  </si>
  <si>
    <t>Land Rights</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</si>
  <si>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</si>
  <si>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</si>
  <si>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</si>
  <si>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</si>
  <si>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Payables and Accrued Expenses</t>
  </si>
  <si>
    <t xml:space="preserve">  may be added if deemed appropriate with respect to any</t>
  </si>
  <si>
    <t xml:space="preserve">  account.</t>
  </si>
  <si>
    <t>(b) Miscellaneous Nonoperating Income (Account 421) -</t>
  </si>
  <si>
    <t xml:space="preserve">          Total Deferred Credits</t>
  </si>
  <si>
    <t>Operating Reserves</t>
  </si>
  <si>
    <t>Pg 115, L 28 (d)</t>
  </si>
  <si>
    <t xml:space="preserve">       Total Liabilities and Other Credits</t>
  </si>
  <si>
    <t xml:space="preserve">Formula </t>
  </si>
  <si>
    <t>COMPARATIVE INCOME AND RETAINED EARNINGS STATEMENT</t>
  </si>
  <si>
    <t>CAPITAL STOCK EXPENSE (Account 214)</t>
  </si>
  <si>
    <t xml:space="preserve">     TOTAL  Operating Reserves (Total lines 23 thru 27)</t>
  </si>
  <si>
    <t>CURRENT AND ACCRUED LIABILITIES</t>
  </si>
  <si>
    <t>3. If any unit listed hereunder was held at the end of the year under</t>
  </si>
  <si>
    <t>water for public and private fire protection.</t>
  </si>
  <si>
    <t>Income from Merchandising, Jobbing and Contract Work</t>
  </si>
  <si>
    <t xml:space="preserve">    - Prepayments</t>
  </si>
  <si>
    <t>Other Paid-In Capital</t>
  </si>
  <si>
    <t>Territory Served</t>
  </si>
  <si>
    <t xml:space="preserve">Other Post Retirement Benefits, Analysis of </t>
  </si>
  <si>
    <t>Unamortized Debt Discount and Expense</t>
  </si>
  <si>
    <t>Outside and Professional Services</t>
  </si>
  <si>
    <t>Unamortized Premium on Debt</t>
  </si>
  <si>
    <t>securities or to any securities substantially all of which are out-</t>
  </si>
  <si>
    <t>Deferred Revenue Tax Adjustment</t>
  </si>
  <si>
    <t xml:space="preserve">         Other: Decrease (Increase) in Deferred Debits</t>
  </si>
  <si>
    <t>the gross income and applicable expenses (suitably subdivided) should be reported.</t>
  </si>
  <si>
    <t xml:space="preserve">the Public Service Commission, Albany, N.Y., on or before the 31st of March next following the end of </t>
  </si>
  <si>
    <t xml:space="preserve">the year to which the report applies.  At least one additional copy shall be retained in the files of </t>
  </si>
  <si>
    <t>the reporting utility.</t>
  </si>
  <si>
    <t xml:space="preserve">2.     All utility companies upon which this report form is served are required by statute to complete and </t>
  </si>
  <si>
    <t>BALANCE AT END OF YEAR</t>
  </si>
  <si>
    <t>DISTRIBUTION OF TAXES CHARGED (Show utility dept. where applicable and acct. charged.)</t>
  </si>
  <si>
    <t>Prepaid Taxes</t>
  </si>
  <si>
    <t>Kind of Tax</t>
  </si>
  <si>
    <t>PUMPING STATION &amp; FIRE SERVICE</t>
  </si>
  <si>
    <t>PUMPING STATION &amp; FIRE SERVICE (Continued)</t>
  </si>
  <si>
    <t>1. Show the requested information concerning each pumping</t>
  </si>
  <si>
    <t>expressed.</t>
  </si>
  <si>
    <t xml:space="preserve">6.  If pumpage data are not available for individual </t>
  </si>
  <si>
    <t>station in operation at any time during the year.</t>
  </si>
  <si>
    <t xml:space="preserve">  Report below the distribution of total salaries and wages</t>
  </si>
  <si>
    <t>number of votes which each would have had the right to</t>
  </si>
  <si>
    <t xml:space="preserve">   3.  If any class or issue of security has any special </t>
  </si>
  <si>
    <t xml:space="preserve">   Net Decrease in Short-Term Debt (c)</t>
  </si>
  <si>
    <t xml:space="preserve">   Dividends on Preferred Stock</t>
  </si>
  <si>
    <t xml:space="preserve">   Dividends on Common Stock</t>
  </si>
  <si>
    <t xml:space="preserve">   Net Cash Provided by (Used in) Financing Activities</t>
  </si>
  <si>
    <t>(C) Chlorination and Poly-ortho-phosphate are the only process of purification used.</t>
  </si>
  <si>
    <t xml:space="preserve">          (Total of lines 67 thru 78)</t>
  </si>
  <si>
    <t xml:space="preserve">   Net Increase (Decrease) in Cash and Cash Equivalents</t>
  </si>
  <si>
    <t xml:space="preserve">          (Total of lines 21, 54 and 80)</t>
  </si>
  <si>
    <t>Cash and Cash Equivalents at Beginning of Year</t>
  </si>
  <si>
    <t>Cash and Cash Equivalents at End of Year</t>
  </si>
  <si>
    <t>Page 123</t>
  </si>
  <si>
    <t xml:space="preserve">NOTES TO FINANCIAL STATEMENTS </t>
  </si>
  <si>
    <t>I am familiar with the preparation of the foregoing report know generally the contents thereof.  The said report which</t>
  </si>
  <si>
    <t>Pg 115, L 37, 39=&gt;42 (d)</t>
  </si>
  <si>
    <t xml:space="preserve">          Total Current and Accrued Liabilities</t>
  </si>
  <si>
    <t>Customer Advances for Construction</t>
  </si>
  <si>
    <t>Pg 115, L 45 (d)</t>
  </si>
  <si>
    <t>Pg 115, L 46 (d)</t>
  </si>
  <si>
    <t>Pg 115, L 47 (d)</t>
  </si>
  <si>
    <t>Pg 115, L 50 (d)</t>
  </si>
  <si>
    <t>Public Fire Protection Service</t>
  </si>
  <si>
    <t>464</t>
  </si>
  <si>
    <t>Other Sales to Public Authorities</t>
  </si>
  <si>
    <t>465</t>
  </si>
  <si>
    <t xml:space="preserve">2. In column (i) indicate whether some is high pressure, low pressure, </t>
  </si>
  <si>
    <t xml:space="preserve">     Total Extraordinary Deductions</t>
  </si>
  <si>
    <t>Net Extraordinary Items</t>
  </si>
  <si>
    <t>Page 321</t>
  </si>
  <si>
    <t>REGULATORY COMMISSION EXPENSES (Account 928)</t>
  </si>
  <si>
    <t>REGULATORY COMMISSION EXPENSES (Continued)</t>
  </si>
  <si>
    <t xml:space="preserve">     (b)  Payroll - total benefits / total payroll times payroll charged to construction</t>
  </si>
  <si>
    <t xml:space="preserve">     (c)  Payroll - actual time spent on a project times the labor rate times payroll benefit rate.</t>
  </si>
  <si>
    <t>Loading factor times gross expenditures equals amount allocated to project.</t>
  </si>
  <si>
    <t>Corporate</t>
  </si>
  <si>
    <t xml:space="preserve">the name of the issuing company as well as a description of </t>
  </si>
  <si>
    <t>costs, over the Pension Benefit Obligation), if any, from when the company first complied with SFAS-87.  The amount</t>
  </si>
  <si>
    <t>Total accumulated gain or (loss): (1)+(2)+(5)+(9)+(12)</t>
  </si>
  <si>
    <t>3. The number of employees assignable to the water company  from joint functions of the parent or affiliates may be determined by estimate, on the basis of employee equivalents.</t>
  </si>
  <si>
    <t>Payroll Period ended (Date)</t>
  </si>
  <si>
    <t>Total Regular Full-Time Employees</t>
  </si>
  <si>
    <t>Total Part-Time and Temporary Employees</t>
  </si>
  <si>
    <t>Total Employees</t>
  </si>
  <si>
    <t>Page 309</t>
  </si>
  <si>
    <t>FUEL OR POWER PURCHASED FOR PUMPING (ACCOUNT 623)</t>
  </si>
  <si>
    <t>Show the requested information concerning items includible in account 623, Fuel or Power</t>
  </si>
  <si>
    <t xml:space="preserve">  4.  List first account 439, Adjustments to Retained Earnings,</t>
  </si>
  <si>
    <t xml:space="preserve">  8.  If any notes appearing in the report to stock- </t>
  </si>
  <si>
    <t>reflecting adjustments to the opening balance of retained earn-</t>
  </si>
  <si>
    <t>holders are applicable to this statement, include them on</t>
  </si>
  <si>
    <t>ings.  Follow by credit, then debit items in that order.</t>
  </si>
  <si>
    <t>pages 124-125.</t>
  </si>
  <si>
    <t>Contra</t>
  </si>
  <si>
    <t>Primary</t>
  </si>
  <si>
    <t>Item</t>
  </si>
  <si>
    <t>Amount</t>
  </si>
  <si>
    <t>Road Booster</t>
  </si>
  <si>
    <t>Mtn Booster</t>
  </si>
  <si>
    <t>(ccc)</t>
  </si>
  <si>
    <t>(eee)</t>
  </si>
  <si>
    <t>(fff)</t>
  </si>
  <si>
    <t>(ggg)</t>
  </si>
  <si>
    <t>(hhh)</t>
  </si>
  <si>
    <t>(iii)</t>
  </si>
  <si>
    <t>Sloatsburg</t>
  </si>
  <si>
    <t>Haverstraw</t>
  </si>
  <si>
    <t>(E)</t>
  </si>
  <si>
    <t xml:space="preserve">                                                                                                Page 404h</t>
  </si>
  <si>
    <t>(A)</t>
  </si>
  <si>
    <t>(B)</t>
  </si>
  <si>
    <t xml:space="preserve">      all pumping stations other than booster pumping stations.</t>
  </si>
  <si>
    <t>(C)</t>
  </si>
  <si>
    <t xml:space="preserve">      Operate automatically and by remote control , as required</t>
  </si>
  <si>
    <t xml:space="preserve">       Average head is variable.  It is affected by many factors such as the number of well</t>
  </si>
  <si>
    <t xml:space="preserve">       pumps in service at one time, duration of operation, well drawdown, and elevation </t>
  </si>
  <si>
    <t xml:space="preserve">       of water level in reservoir.</t>
  </si>
  <si>
    <t xml:space="preserve">       Not metered</t>
  </si>
  <si>
    <t xml:space="preserve">      Elevations shown on Schedule Page 402a and 402b.</t>
  </si>
  <si>
    <t xml:space="preserve">  Other Noncurrent Liabilities</t>
  </si>
  <si>
    <t xml:space="preserve">  Current &amp; Accrued Liabilities</t>
  </si>
  <si>
    <t xml:space="preserve">  Deferred Credits</t>
  </si>
  <si>
    <t xml:space="preserve">  Operating Reserves</t>
  </si>
  <si>
    <t xml:space="preserve">  Income Taxes</t>
  </si>
  <si>
    <t>Page 111</t>
  </si>
  <si>
    <t>Income Statement</t>
  </si>
  <si>
    <t>Operating Revenues</t>
  </si>
  <si>
    <t>Operating Expenses</t>
  </si>
  <si>
    <t>Other Income and Deductions</t>
  </si>
  <si>
    <t>Interest Charges</t>
  </si>
  <si>
    <t>Net Income</t>
  </si>
  <si>
    <t>FOOTNOTES</t>
  </si>
  <si>
    <t>Page 112</t>
  </si>
  <si>
    <t xml:space="preserve">RECONCILIATION BETWEEN FERC, PSC AND STOCKHOLDER'S </t>
  </si>
  <si>
    <t>Operating Activities</t>
  </si>
  <si>
    <t>Investing Activities</t>
  </si>
  <si>
    <t>Village of Chestnut Ridge</t>
  </si>
  <si>
    <t>Pinebrook</t>
  </si>
  <si>
    <t>Grotke</t>
  </si>
  <si>
    <t>Village of Montebello</t>
  </si>
  <si>
    <t>Ramapo (Lake Street)</t>
  </si>
  <si>
    <t>20 &amp;10</t>
  </si>
  <si>
    <t>29A</t>
  </si>
  <si>
    <t>Ramapo (River Road)</t>
  </si>
  <si>
    <t>Common Stock and Retained Earnings</t>
  </si>
  <si>
    <t>Pg 1, L 24 - 20</t>
  </si>
  <si>
    <t>Ramapo Valley Well F</t>
  </si>
  <si>
    <t>Ramapo Valley Well G</t>
  </si>
  <si>
    <t>Village of Piermont</t>
  </si>
  <si>
    <t>Piermont</t>
  </si>
  <si>
    <t>No Pump</t>
  </si>
  <si>
    <t>Town of Haverstraw</t>
  </si>
  <si>
    <t>S-1</t>
  </si>
  <si>
    <t>Thiells</t>
  </si>
  <si>
    <t>Spring</t>
  </si>
  <si>
    <t>290.0 (B)</t>
  </si>
  <si>
    <t>(**)</t>
  </si>
  <si>
    <t>S-2</t>
  </si>
  <si>
    <t>S-3</t>
  </si>
  <si>
    <t>S-4</t>
  </si>
  <si>
    <t>296.0 (B)</t>
  </si>
  <si>
    <t>Submersible(**)</t>
  </si>
  <si>
    <t>310.0 (B)</t>
  </si>
  <si>
    <t>12 &amp; 8</t>
  </si>
  <si>
    <t>16 &amp; 12</t>
  </si>
  <si>
    <t>Garnerville</t>
  </si>
  <si>
    <t>305.0.0 (B)</t>
  </si>
  <si>
    <t>Village of Haverstraw</t>
  </si>
  <si>
    <t>Fairmont</t>
  </si>
  <si>
    <t>30.0 (B)</t>
  </si>
  <si>
    <t>Interest Rate Applied  to Internal Reserve  Balances</t>
  </si>
  <si>
    <t>Title</t>
  </si>
  <si>
    <t>Ratio (Percent)</t>
  </si>
  <si>
    <t>Percentage</t>
  </si>
  <si>
    <t xml:space="preserve">(a) </t>
  </si>
  <si>
    <t>Average Short-Term Debt</t>
  </si>
  <si>
    <t xml:space="preserve">    Provide a subheading and amount for each classification of Account 474. </t>
  </si>
  <si>
    <t>2. Designate associated companies.</t>
  </si>
  <si>
    <t>3. Minor items may be grouped by classes.</t>
  </si>
  <si>
    <t>DESCRIPTION OF SERVICE</t>
  </si>
  <si>
    <t>Revenue for Year</t>
  </si>
  <si>
    <t xml:space="preserve">          TOTAL (Account 471)</t>
  </si>
  <si>
    <t>Accrued Utility Revenues (173)</t>
  </si>
  <si>
    <t>Miscellaneous Current and Accrued Assets (174)</t>
  </si>
  <si>
    <t>Account 411.2</t>
  </si>
  <si>
    <t>Credited</t>
  </si>
  <si>
    <t>Debited</t>
  </si>
  <si>
    <t>4.  List the aggregate of each kind of tax under the appropriate heading of "Federal," "State," and "Local" in such manner that the total tax for</t>
  </si>
  <si>
    <t xml:space="preserve">      statement showing subaccount classification of such plant conforming to the requirements of these pages.</t>
  </si>
  <si>
    <t xml:space="preserve">        Annual Report.</t>
  </si>
  <si>
    <t xml:space="preserve">     NYSPSC 347-97</t>
  </si>
  <si>
    <t xml:space="preserve">      NYSPSC 347-97</t>
  </si>
  <si>
    <t>Year of</t>
  </si>
  <si>
    <t>Natural</t>
  </si>
  <si>
    <t>Spillway</t>
  </si>
  <si>
    <t>202-203</t>
  </si>
  <si>
    <t>202-205</t>
  </si>
  <si>
    <t>Miscellaneous Plant Data</t>
  </si>
  <si>
    <t>204-207</t>
  </si>
  <si>
    <t>204-205</t>
  </si>
  <si>
    <t>Construction Work in Progress</t>
  </si>
  <si>
    <t>Sedimentation Basin</t>
  </si>
  <si>
    <t>Sand &amp; Gravel Filter Units</t>
  </si>
  <si>
    <t>1963 &amp;1969</t>
  </si>
  <si>
    <t>900 ea</t>
  </si>
  <si>
    <t>Give names of companies involved, particulars concerning the</t>
  </si>
  <si>
    <t>any such proceedings culminated during the year.</t>
  </si>
  <si>
    <t xml:space="preserve">  (a) Donations Received from Stockholders (Account 208) - State amount and give brief explanation </t>
  </si>
  <si>
    <t>of the origin and purpose of each donation.</t>
  </si>
  <si>
    <t xml:space="preserve">  (b) Reduction in Par or Stated Value of Capital Stock (Account 209) - State amount and give brief</t>
  </si>
  <si>
    <t>contracts.  If they are participating, explain the terms and state the cost difference between the contract(s) purchased and</t>
  </si>
  <si>
    <t>and Deductions</t>
  </si>
  <si>
    <t>Items</t>
  </si>
  <si>
    <t>Ret. Earnings</t>
  </si>
  <si>
    <t xml:space="preserve">  Maximum daily output of station (....gals)</t>
  </si>
  <si>
    <t xml:space="preserve">  Number of Pumps Used</t>
  </si>
  <si>
    <t xml:space="preserve">  Date on which the above maximum occurred</t>
  </si>
  <si>
    <t xml:space="preserve">  Max daily output of entire system</t>
  </si>
  <si>
    <t xml:space="preserve">  Av. head against which each pump works</t>
  </si>
  <si>
    <t xml:space="preserve">TOTAL votes of security holders </t>
  </si>
  <si>
    <t>Appropriated Retained Earnings</t>
  </si>
  <si>
    <t>Donations Received from Stockholders</t>
  </si>
  <si>
    <t>Associated Companies:</t>
  </si>
  <si>
    <t>*  Specify the source of any amount reported on Line 4.</t>
  </si>
  <si>
    <t>** Specify the type and amount of any expenses reported on Line 8.</t>
  </si>
  <si>
    <t>Page 365</t>
  </si>
  <si>
    <t>Village of Grandview</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</si>
  <si>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</si>
  <si>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</si>
  <si>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</si>
  <si>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</si>
  <si>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Account Subdivisions</t>
  </si>
  <si>
    <t xml:space="preserve">    Beginning</t>
  </si>
  <si>
    <t xml:space="preserve">    of Year</t>
  </si>
  <si>
    <t xml:space="preserve">    (b)</t>
  </si>
  <si>
    <t xml:space="preserve">1. Components of Formula                                                                                                                                   </t>
  </si>
  <si>
    <t>Capitalization</t>
  </si>
  <si>
    <t>Cost Rate</t>
  </si>
  <si>
    <t xml:space="preserve">    Acquisition of Other Noncurrent Assets (d)</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</si>
  <si>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</si>
  <si>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</si>
  <si>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</si>
  <si>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</si>
  <si>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</si>
  <si>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</si>
  <si>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</si>
  <si>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</si>
  <si>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</si>
  <si>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</si>
  <si>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</si>
  <si>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</si>
  <si>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data required by instructions 1 to 11 above, such notes may</t>
  </si>
  <si>
    <t>proximate number of customers added or lost and approximate</t>
  </si>
  <si>
    <t xml:space="preserve">  $5,000 by classifications and indicate the number of</t>
  </si>
  <si>
    <t>of costs of projects.  This total must equal the balance</t>
  </si>
  <si>
    <t xml:space="preserve">  the respondent's cost for the year and cost chargeable to others.</t>
  </si>
  <si>
    <t xml:space="preserve">  items grouped. </t>
  </si>
  <si>
    <t>(397)</t>
  </si>
  <si>
    <t>(398)  Misc Equipment</t>
  </si>
  <si>
    <t>(398)</t>
  </si>
  <si>
    <t>(399)  Other Tangible Property</t>
  </si>
  <si>
    <t>(399)</t>
  </si>
  <si>
    <t xml:space="preserve">                                                         )    ss.:</t>
  </si>
  <si>
    <t>TOTAL number of security holders</t>
  </si>
  <si>
    <t>(Orangetown)</t>
  </si>
  <si>
    <t>Village of Pomona</t>
  </si>
  <si>
    <t>(Haverstraw)</t>
  </si>
  <si>
    <t>Total Village of Pomona Haverstraw</t>
  </si>
  <si>
    <t>Total Village of Pomona Ramapo</t>
  </si>
  <si>
    <t>(Clarkstown)</t>
  </si>
  <si>
    <t>Total Village of Spring Valley-Clarkstown</t>
  </si>
  <si>
    <t xml:space="preserve">     TOTAL Proprietary Capital ( Total of lines 2 thru 12)</t>
  </si>
  <si>
    <t>LONG-TERM DEBT</t>
  </si>
  <si>
    <t>Bonds (221)</t>
  </si>
  <si>
    <t>(Less) Reacquired Bonds (222)</t>
  </si>
  <si>
    <t>Advances from Associated Companies (223)</t>
  </si>
  <si>
    <t>Other Long-Term Debt (224)</t>
  </si>
  <si>
    <t>Unamortized Premium on Long-Term Debt (225)</t>
  </si>
  <si>
    <t>(Less) Unamortized Discount on Long-Term Debt-Debit (226)</t>
  </si>
  <si>
    <t>related deferred income tax effect, which is subject to the accrual of interest.</t>
  </si>
  <si>
    <t>The Commission's September 7, 1993 Policy Statement on pensions and OPEB stated that, except under certain circumstances, the</t>
  </si>
  <si>
    <t>portant wage scale changes during the year.</t>
  </si>
  <si>
    <t xml:space="preserve">   2.  Acquisition of ownership in other companies by</t>
  </si>
  <si>
    <t>C. Factors Used in Estimating Depreciation Charges</t>
  </si>
  <si>
    <t>1. Report in section A for the year amounts of depreciation expense (account 403) according to plant functional</t>
  </si>
  <si>
    <t>classifications, amortization of limited-term water Plant (Account 404); and (c) Amortization of Other Water Plant (Account 405).</t>
  </si>
  <si>
    <t>Depreciable</t>
  </si>
  <si>
    <t>Estimated</t>
  </si>
  <si>
    <t>Applied</t>
  </si>
  <si>
    <t>2. Report in section B the rates used to compute amortization charges for water plant (Accounts 404 and 405).  State the basis used</t>
  </si>
  <si>
    <t>Plant Base</t>
  </si>
  <si>
    <t>Avg. Service</t>
  </si>
  <si>
    <t>Net Salvage</t>
  </si>
  <si>
    <t>Depr. Rates</t>
  </si>
  <si>
    <t>Mortality Curve</t>
  </si>
  <si>
    <t>Remaining</t>
  </si>
  <si>
    <t xml:space="preserve">   Municipal Gross Income</t>
  </si>
  <si>
    <t xml:space="preserve">   NYC Special Franchise</t>
  </si>
  <si>
    <t xml:space="preserve">   Public Utility Excise</t>
  </si>
  <si>
    <t>Other (list):</t>
  </si>
  <si>
    <t>Page 258</t>
  </si>
  <si>
    <t>Extraordinary</t>
  </si>
  <si>
    <t>Adjustment to</t>
  </si>
  <si>
    <t xml:space="preserve">          TOTAL Material and Supplies (per Balance Sheet)</t>
  </si>
  <si>
    <t>Page 215</t>
  </si>
  <si>
    <t xml:space="preserve">  Kind of power (if system operates by</t>
  </si>
  <si>
    <t xml:space="preserve">            gravity, so state)</t>
  </si>
  <si>
    <t xml:space="preserve">  Kinds of fuel used</t>
  </si>
  <si>
    <t>12.</t>
  </si>
  <si>
    <t>STATEMENT OF INCOME FOR THE YEAR (Continued)</t>
  </si>
  <si>
    <t xml:space="preserve">  1.  Report amounts for accounts 412 and 413, Revenue </t>
  </si>
  <si>
    <t xml:space="preserve">  4.  Give concise explanations concerning unsettled rate</t>
  </si>
  <si>
    <t>Name of Person</t>
  </si>
  <si>
    <t>Name of Fund and trustee if any</t>
  </si>
  <si>
    <t xml:space="preserve">                                  Total (Account 125)</t>
  </si>
  <si>
    <t xml:space="preserve">                                  Total (Account 126)</t>
  </si>
  <si>
    <t xml:space="preserve">                                  Total (Account 128)</t>
  </si>
  <si>
    <t>SPECIAL DEPOSITS (Accounts 132, 133, 134)</t>
  </si>
  <si>
    <t xml:space="preserve">9.  Furnish in a footnote particulars (details) regarding </t>
  </si>
  <si>
    <t>TAXES ACCRUED, PREPAID AND CHARGED DURING YEAR</t>
  </si>
  <si>
    <t>TAXES ACCRUED, PREPAID AND CHARGED DURING YEAR (Continued)</t>
  </si>
  <si>
    <t>Kind of Chemicals</t>
  </si>
  <si>
    <t>Total Cost ($)</t>
  </si>
  <si>
    <t>Sodium Hypochlorite</t>
  </si>
  <si>
    <t xml:space="preserve">  taxes from operations.  Give the basis of any allocation of </t>
  </si>
  <si>
    <t xml:space="preserve">  given, for the respective other income accounts.</t>
  </si>
  <si>
    <t>6. If commission approval was required for any advance made or security acquired, designate such fact and in a  footnote give date of authorization and case number.</t>
  </si>
  <si>
    <t>Minimum Required Contribution</t>
  </si>
  <si>
    <t>Actual Contribution*</t>
  </si>
  <si>
    <t>Maximum Amount Deductible*</t>
  </si>
  <si>
    <t>Benefit Payments</t>
  </si>
  <si>
    <t>Pension Cost Capitalized</t>
  </si>
  <si>
    <t>Polyphosphates</t>
  </si>
  <si>
    <t>Potassium Permanganate</t>
  </si>
  <si>
    <t>Caustic</t>
  </si>
  <si>
    <t>Page 405c</t>
  </si>
  <si>
    <t>Page 405d</t>
  </si>
  <si>
    <t>Westerly</t>
  </si>
  <si>
    <t>Distribution Reservoir #1</t>
  </si>
  <si>
    <t>Reinforced Con.</t>
  </si>
  <si>
    <t>Closed</t>
  </si>
  <si>
    <t>139' x 152' x18'</t>
  </si>
  <si>
    <t>Easterly</t>
  </si>
  <si>
    <t>Distribution Reservoir #2</t>
  </si>
  <si>
    <t>This amount should reflect the addition of a pro rata portion of the service cost and interest cost and the subtraction of</t>
  </si>
  <si>
    <t>Accounts Written Off</t>
  </si>
  <si>
    <t xml:space="preserve">  b. the amount deferred on the balance sheet</t>
  </si>
  <si>
    <t>benefit payments.  It should also reflect any plan changes made during the year.</t>
  </si>
  <si>
    <t xml:space="preserve">  c. amortization period for the deferred amount (specify beginning and ending dates).</t>
  </si>
  <si>
    <t>the sechedule insert in "Designation"column some letter or other symbol which will identify</t>
  </si>
  <si>
    <t>the reservoir with related water shed and structures described in the upper section.</t>
  </si>
  <si>
    <t xml:space="preserve">3. Insert in the headings of columns (q) and (a) to (w) and column (y) the initial </t>
  </si>
  <si>
    <t>2. If any property was held at the end of the year under any title other than full ownership,</t>
  </si>
  <si>
    <t xml:space="preserve">D A M S </t>
  </si>
  <si>
    <t xml:space="preserve">I  N  T  A  K  E  S </t>
  </si>
  <si>
    <t xml:space="preserve">Designation of </t>
  </si>
  <si>
    <t>Area of</t>
  </si>
  <si>
    <t xml:space="preserve">Year of </t>
  </si>
  <si>
    <t>below.  Make the statements explicit and precise, and number</t>
  </si>
  <si>
    <t>or assumption of liabilities or guarantees including issuance of</t>
  </si>
  <si>
    <t xml:space="preserve">If the respondent's name is long, the "Year ended December 31, 19__" may over pass </t>
  </si>
  <si>
    <t>Excess/Deficient Deferred Federal Income Taxes</t>
  </si>
  <si>
    <t>266</t>
  </si>
  <si>
    <t>PREVIOUS YEAR</t>
  </si>
  <si>
    <t>were paid before the end of the year.</t>
  </si>
  <si>
    <t>Preferred Stock Liability for Conversion, at the end of the</t>
  </si>
  <si>
    <t xml:space="preserve">     For capital stock state number of shares, class and series of stock.  Minor investments may be grouped by classes.</t>
  </si>
  <si>
    <t>MAINTENANCE OF  MISCELLANEOUS PLANTS</t>
  </si>
  <si>
    <t xml:space="preserve">1. For each department and common plant in service, report below descriptions and balances at </t>
  </si>
  <si>
    <t>INCOME FROM MERCHANDISING, JOBBING AND CONTRACT WORK (Accounts 415 and 416)</t>
  </si>
  <si>
    <t>1. Report by utility departments the revenues, costs, expenses, and net income from merchandising, jobbing</t>
  </si>
  <si>
    <t>average balances, state the method of averaging used.</t>
  </si>
  <si>
    <t>Dividends Declared-Preferred Stock</t>
  </si>
  <si>
    <t>Pg 120, L 29 (c) (-)</t>
  </si>
  <si>
    <t>Dividends Declared-Common Stock</t>
  </si>
  <si>
    <t>Pg 120, L 36 (c) (-)</t>
  </si>
  <si>
    <t>New York, January 28, 1893</t>
  </si>
  <si>
    <t>Not Applicable</t>
  </si>
  <si>
    <t xml:space="preserve">Construction Overhead Procedure, </t>
  </si>
  <si>
    <t xml:space="preserve">    General Description</t>
  </si>
  <si>
    <t>Meters, Customers</t>
  </si>
  <si>
    <t xml:space="preserve">Miscellaneous Paid-in Capital  </t>
  </si>
  <si>
    <t>Consumption, Water</t>
  </si>
  <si>
    <t xml:space="preserve">Miscellaneous Plant Data  </t>
  </si>
  <si>
    <t>A</t>
  </si>
  <si>
    <t xml:space="preserve">Surface Water Supply, Sources of </t>
  </si>
  <si>
    <t>Taxes:</t>
  </si>
  <si>
    <t xml:space="preserve">    - Charged During the Year</t>
  </si>
  <si>
    <t>258-259</t>
  </si>
  <si>
    <t>(mm)</t>
  </si>
  <si>
    <t xml:space="preserve">  Average cost per unit (KWH)</t>
  </si>
  <si>
    <t>Page 404e</t>
  </si>
  <si>
    <t>Orchard</t>
  </si>
  <si>
    <t>Street</t>
  </si>
  <si>
    <t>50/51</t>
  </si>
  <si>
    <t>(nn)</t>
  </si>
  <si>
    <t>(oo)</t>
  </si>
  <si>
    <t>(pp)</t>
  </si>
  <si>
    <t>(qq)</t>
  </si>
  <si>
    <t>(rr)</t>
  </si>
  <si>
    <t>(ss)</t>
  </si>
  <si>
    <t>(vv)</t>
  </si>
  <si>
    <t>West</t>
  </si>
  <si>
    <t xml:space="preserve"> Haverstraw</t>
  </si>
  <si>
    <t>Page 404f</t>
  </si>
  <si>
    <t xml:space="preserve">Ramapo Valley </t>
  </si>
  <si>
    <t>Saddle River</t>
  </si>
  <si>
    <t>Well Field (B)</t>
  </si>
  <si>
    <t>Eckerson</t>
  </si>
  <si>
    <t>Metered</t>
  </si>
  <si>
    <t>Slip</t>
  </si>
  <si>
    <t>mission</t>
  </si>
  <si>
    <t xml:space="preserve">  for</t>
  </si>
  <si>
    <t>gals.</t>
  </si>
  <si>
    <t xml:space="preserve">        gals.</t>
  </si>
  <si>
    <t xml:space="preserve">    gals.</t>
  </si>
  <si>
    <t xml:space="preserve">(b) </t>
  </si>
  <si>
    <t xml:space="preserve">       (c)</t>
  </si>
  <si>
    <t xml:space="preserve">(d) </t>
  </si>
  <si>
    <t>Totals</t>
  </si>
  <si>
    <t xml:space="preserve">*Includes all sales to public authorities except those made under service classifications having general consumer application. </t>
  </si>
  <si>
    <t xml:space="preserve">               Losses Accounted for</t>
  </si>
  <si>
    <t xml:space="preserve">  Net increase (decrease) in cash</t>
  </si>
  <si>
    <t xml:space="preserve">    and cash equivalents</t>
  </si>
  <si>
    <t xml:space="preserve">  Cash and cash equivalents,</t>
  </si>
  <si>
    <t xml:space="preserve">      Beginning of Year</t>
  </si>
  <si>
    <t xml:space="preserve">      End of Year</t>
  </si>
  <si>
    <t>Page 113</t>
  </si>
  <si>
    <t>COMPARATIVE BALANCE SHEET (ASSETS AND OTHER DEBITS)</t>
  </si>
  <si>
    <t>Ref.</t>
  </si>
  <si>
    <t>Balance at</t>
  </si>
  <si>
    <t>Beg. of Year</t>
  </si>
  <si>
    <t>End of Year</t>
  </si>
  <si>
    <t>(a)_x0014_</t>
  </si>
  <si>
    <t>UTILITY PLANT</t>
  </si>
  <si>
    <t>Water Plant (101-107, 114, 116, 117,  118.1, 118.2)</t>
  </si>
  <si>
    <t>(Less) Accum. Prov. for Depr. Amort. Depl. (108-113,115, 119.1, 119.2)</t>
  </si>
  <si>
    <t xml:space="preserve">     Net Utility Plant ( Total of line 2 less 3)</t>
  </si>
  <si>
    <t>holders of the respondent who, at the date of the latest clos-</t>
  </si>
  <si>
    <t xml:space="preserve">whereby such security became vested with voting rights and </t>
  </si>
  <si>
    <t>Total Village of Chestnut Ridge</t>
  </si>
  <si>
    <t xml:space="preserve">       Total Other Operating Revenues</t>
  </si>
  <si>
    <t xml:space="preserve">               discounts are forfeited.</t>
  </si>
  <si>
    <t>Total Water Operating Revenues</t>
  </si>
  <si>
    <t>Page 300</t>
  </si>
  <si>
    <t>SALES OF WATER BY RATE SCHEDULES</t>
  </si>
  <si>
    <t xml:space="preserve">     1.    Report below for each rate schedule in effect during</t>
  </si>
  <si>
    <t xml:space="preserve">     3.    Where the same customers are served under more than</t>
  </si>
  <si>
    <t>Title of Account</t>
  </si>
  <si>
    <t>Saving the File</t>
  </si>
  <si>
    <t xml:space="preserve">Print the Entire Report </t>
  </si>
  <si>
    <t xml:space="preserve">          Net Utility Plant (Enter Total of line 13 less 14)  </t>
  </si>
  <si>
    <t>Deep Well Turbine</t>
  </si>
  <si>
    <t>16 &amp; 12 &amp; 8</t>
  </si>
  <si>
    <t>Town of Orangetown</t>
  </si>
  <si>
    <t>Sparkill</t>
  </si>
  <si>
    <t>12 &amp; 10 &amp; 8 &amp; 6</t>
  </si>
  <si>
    <t>Not Used</t>
  </si>
  <si>
    <t>14 &amp; 12 &amp; 10</t>
  </si>
  <si>
    <t>Blauvelt</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</si>
  <si>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</si>
  <si>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</si>
  <si>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</si>
  <si>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</si>
  <si>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     Water Treatment</t>
  </si>
  <si>
    <t xml:space="preserve">     Transmission and Distribution</t>
  </si>
  <si>
    <t xml:space="preserve">     Customer Accounts</t>
  </si>
  <si>
    <t xml:space="preserve">     Sales</t>
  </si>
  <si>
    <t xml:space="preserve">     Administrative and General</t>
  </si>
  <si>
    <t xml:space="preserve">   2. If respondent has two or more treatment plants, show the information </t>
  </si>
  <si>
    <t>make suitable deduction on line 33.</t>
  </si>
  <si>
    <t>separately for each plant.</t>
  </si>
  <si>
    <t>Interest on Debt to Associated Companies (Account 430)</t>
  </si>
  <si>
    <t>38' Dia. x 60' High</t>
  </si>
  <si>
    <t xml:space="preserve">   (Pine Grove - Council Crest)</t>
  </si>
  <si>
    <t>The data requested on Lines 1 through 12  are for the internal reserve, the establishment of which is required by the Commission's</t>
  </si>
  <si>
    <t>"Statement of Policy and Order Concerning the Accounting and Ratemaking Treatment for Pensions and Postretirement Benefits Other</t>
  </si>
  <si>
    <t>TOTALS</t>
  </si>
  <si>
    <t>Adjustments to Retained Earnings</t>
  </si>
  <si>
    <t xml:space="preserve">          TOTALS (Accounts 460.1, 461.1)</t>
  </si>
  <si>
    <t>included on page 124-125.</t>
  </si>
  <si>
    <t>Income, in the same manner as accounts 412 and 413 above.</t>
  </si>
  <si>
    <t>tion of the major factors which affect the rights of the utility</t>
  </si>
  <si>
    <t xml:space="preserve">  7.  Enter on page 124-125 a concise explanation of only those</t>
  </si>
  <si>
    <t xml:space="preserve">  3.  Use page 124-125 for important notes regarding the state-</t>
  </si>
  <si>
    <t xml:space="preserve">to retain such revenues or recover amounts paid with </t>
  </si>
  <si>
    <t>changes in accounting methods made during the year</t>
  </si>
  <si>
    <t>ment of income or any account thereof.</t>
  </si>
  <si>
    <t>respect to water purchases.</t>
  </si>
  <si>
    <t>New City 23</t>
  </si>
  <si>
    <t>DeForest Treatment Plant</t>
  </si>
  <si>
    <t>Coagulation &amp;</t>
  </si>
  <si>
    <t>2.</t>
  </si>
  <si>
    <t xml:space="preserve">classifications as indicated in column (a); estimates of amounts by function are acceptable.  In column (d), </t>
  </si>
  <si>
    <t>of Year</t>
  </si>
  <si>
    <t>NO.</t>
  </si>
  <si>
    <t>Pg 118, L 55=&gt;57 - L 58, 59 (c)</t>
  </si>
  <si>
    <t>Interest on Debt to Associated Co.</t>
  </si>
  <si>
    <t>Pg 118, L 60 (c)</t>
  </si>
  <si>
    <t>Other Interest Expense</t>
  </si>
  <si>
    <t>Pg 118, L 61 - L 62 (c)</t>
  </si>
  <si>
    <t xml:space="preserve">     Total Interest Charges</t>
  </si>
  <si>
    <t xml:space="preserve">           Income Before Extraordinary Items</t>
  </si>
  <si>
    <t>Pg 118, L 70 (c)</t>
  </si>
  <si>
    <t>RETAINED EARNINGS</t>
  </si>
  <si>
    <t>Per Customer</t>
  </si>
  <si>
    <t>applicable to this Statement of Income, such notes may be</t>
  </si>
  <si>
    <t>Page 362a</t>
  </si>
  <si>
    <t>Page 366a</t>
  </si>
  <si>
    <t>Page 367a</t>
  </si>
  <si>
    <t>Extraordinary Property Losses</t>
  </si>
  <si>
    <t>Miscellaneous Deferred Debits</t>
  </si>
  <si>
    <t>233</t>
  </si>
  <si>
    <t>Accumulated Deferred Income Taxes</t>
  </si>
  <si>
    <t>234</t>
  </si>
  <si>
    <t>12-88</t>
  </si>
  <si>
    <t>Balance Sheet Supporting Schedules (Liabilities</t>
  </si>
  <si>
    <t>Other Credits)</t>
  </si>
  <si>
    <t>Capital Stock</t>
  </si>
  <si>
    <t>250-251</t>
  </si>
  <si>
    <t>12-91</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</si>
  <si>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</si>
  <si>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to Income</t>
  </si>
  <si>
    <t xml:space="preserve">      SUBTOTAL</t>
  </si>
  <si>
    <t>Page 262</t>
  </si>
  <si>
    <t>Page 263</t>
  </si>
  <si>
    <t>ACCUMULATED DEFERRED INCOME TAXES  (Accounts 281, 282, and 283)</t>
  </si>
  <si>
    <t xml:space="preserve">  Other Water Companies</t>
  </si>
  <si>
    <t>and by a double asterisk (**) the chairman, if any, of that committee, at the end of the year.</t>
  </si>
  <si>
    <t>Title and Department</t>
  </si>
  <si>
    <t>Term Expired</t>
  </si>
  <si>
    <t>Salary</t>
  </si>
  <si>
    <t>Line</t>
  </si>
  <si>
    <t>Over Which Jurisdiction</t>
  </si>
  <si>
    <t>or Current</t>
  </si>
  <si>
    <t>Rate at</t>
  </si>
  <si>
    <t>Paid During</t>
  </si>
  <si>
    <t>Deferred</t>
  </si>
  <si>
    <t>Incentive Pay</t>
  </si>
  <si>
    <t>Savings</t>
  </si>
  <si>
    <t>Stock</t>
  </si>
  <si>
    <t>Life Insurance</t>
  </si>
  <si>
    <t>Other</t>
  </si>
  <si>
    <t>Total</t>
  </si>
  <si>
    <t>No.</t>
  </si>
  <si>
    <t>CWIP as a % of Plant</t>
  </si>
  <si>
    <t>5 Year Book Source</t>
  </si>
  <si>
    <t>Current Assets</t>
  </si>
  <si>
    <t>Pg 1, L 13</t>
  </si>
  <si>
    <t>Current Liabilities</t>
  </si>
  <si>
    <t>Pg 1, L 34</t>
  </si>
  <si>
    <t>Pg 1, L 25</t>
  </si>
  <si>
    <t>Pg 1, L 20</t>
  </si>
  <si>
    <t>Clarkstown</t>
  </si>
  <si>
    <t>Earthfill</t>
  </si>
  <si>
    <t>Sluice</t>
  </si>
  <si>
    <t>Intake tower</t>
  </si>
  <si>
    <t>Dam Steel</t>
  </si>
  <si>
    <t>Gate</t>
  </si>
  <si>
    <t>at dam</t>
  </si>
  <si>
    <t>Elev.</t>
  </si>
  <si>
    <t>sheet piling</t>
  </si>
  <si>
    <t>C.I. Pipe</t>
  </si>
  <si>
    <t>&amp; concrete</t>
  </si>
  <si>
    <t>core well</t>
  </si>
  <si>
    <t>C.I Pipe</t>
  </si>
  <si>
    <t>Total Other Interest Expense</t>
  </si>
  <si>
    <t>jurisdictional operations of the reporting company, exclusive of amounts applicable to subsidiary companies which are</t>
  </si>
  <si>
    <t>subject to the Commission's jurisdiction but are separately reported.</t>
  </si>
  <si>
    <t xml:space="preserve">used during construction rate(s) used by the company </t>
  </si>
  <si>
    <t>to cover,  (b) the general procedure for determining the</t>
  </si>
  <si>
    <t>during the reporting year.</t>
  </si>
  <si>
    <t>amount capitalized, (c) the method of distribution to construc-</t>
  </si>
  <si>
    <t xml:space="preserve">amount, and (c) principal repaid during year.  Give </t>
  </si>
  <si>
    <t>Account 430, Interest on Debt to Associated Companies.</t>
  </si>
  <si>
    <t>Germonds 21</t>
  </si>
  <si>
    <t>West Gate 79</t>
  </si>
  <si>
    <t>New Hempstead 18 &amp; 24</t>
  </si>
  <si>
    <t>UV Disinfection</t>
  </si>
  <si>
    <t>Thiells Well Field Which Includes</t>
  </si>
  <si>
    <t>Wells 50, 51 &amp; all others</t>
  </si>
  <si>
    <t>Out Of Service (48, 49, 77)</t>
  </si>
  <si>
    <t xml:space="preserve">Hypo Chlorinator </t>
  </si>
  <si>
    <t>Town of Stony Point</t>
  </si>
  <si>
    <t>Stony Point Treatment Plant</t>
  </si>
  <si>
    <t>Pressure Filters</t>
  </si>
  <si>
    <t>500 ea</t>
  </si>
  <si>
    <t>Pressure</t>
  </si>
  <si>
    <t>(Out of Service)</t>
  </si>
  <si>
    <t>Pre/Post Filter &amp; Raw</t>
  </si>
  <si>
    <t>Lime Feder</t>
  </si>
  <si>
    <t>Pre Highlift Pumps</t>
  </si>
  <si>
    <t>Liquid Alum Feeder</t>
  </si>
  <si>
    <t>Raw Water</t>
  </si>
  <si>
    <t>Diatomite Filters</t>
  </si>
  <si>
    <t>Vacuum Filters</t>
  </si>
  <si>
    <t>Fairmont 44 (Out Of Service)</t>
  </si>
  <si>
    <t>Pine Brook 69</t>
  </si>
  <si>
    <t>Grotke 83</t>
  </si>
  <si>
    <t>Ramapo 27</t>
  </si>
  <si>
    <t>Ramapo 29</t>
  </si>
  <si>
    <t>Nottingham 55</t>
  </si>
  <si>
    <t xml:space="preserve">  3.  For Account 116, Utility Plant Adjustments, explain the </t>
  </si>
  <si>
    <t xml:space="preserve">origin of such amount, debits and credits during the year, and </t>
  </si>
  <si>
    <t>Page 124</t>
  </si>
  <si>
    <t>NOTES TO FINANCIAL STATEMENTS (Continued)</t>
  </si>
  <si>
    <t>Page 125</t>
  </si>
  <si>
    <t>SUMMARY OF UTILITY PLANT AND ACCUMULATED PROVISIONS</t>
  </si>
  <si>
    <t xml:space="preserve">  Provision for Deferred Income Taxes (410.1XX)</t>
  </si>
  <si>
    <t xml:space="preserve"> TOTAL (Enter Total of lines 18 thru 22)</t>
  </si>
  <si>
    <t>Page 209</t>
  </si>
  <si>
    <t>7. Interest and dividend revenues from investments should be reported in column (g), including such revenues from securities disposed of during the year.</t>
  </si>
  <si>
    <t>COSTS</t>
  </si>
  <si>
    <t>196'-10" x 121'-7" x 18.3'</t>
  </si>
  <si>
    <t>Standpipe</t>
  </si>
  <si>
    <t>Steel</t>
  </si>
  <si>
    <t>55'-9" Dia. x 110' High</t>
  </si>
  <si>
    <t>2B</t>
  </si>
  <si>
    <t>19.56' Dia. x 33.56' High</t>
  </si>
  <si>
    <t>2A</t>
  </si>
  <si>
    <t xml:space="preserve">   (Grandview)</t>
  </si>
  <si>
    <t>Ground Tank</t>
  </si>
  <si>
    <t>TOTAL UTILITY OPERATING INCOME</t>
  </si>
  <si>
    <t>Pg 117, L 2 (e)</t>
  </si>
  <si>
    <t>Operating Expense:</t>
  </si>
  <si>
    <t xml:space="preserve">     Operation Expense</t>
  </si>
  <si>
    <t>Pg 117, L 4 (e)</t>
  </si>
  <si>
    <t xml:space="preserve">     Maintenance Expense</t>
  </si>
  <si>
    <t>Pg 117, L 5 (e)</t>
  </si>
  <si>
    <t>For each plan report:</t>
  </si>
  <si>
    <t>Page 405a</t>
  </si>
  <si>
    <t xml:space="preserve">     accounts other than accrued and prepaid tax accounts.</t>
  </si>
  <si>
    <t xml:space="preserve">    Allowance for Other Funds Used During Construction (419.1)</t>
  </si>
  <si>
    <t xml:space="preserve">    Miscellaneous Nonoperating Income (421)</t>
  </si>
  <si>
    <t xml:space="preserve">    Gain in Disposition of Property (421.1)</t>
  </si>
  <si>
    <t xml:space="preserve">          TOTAL Other Income (Enter Total of lines 28 thru 37)</t>
  </si>
  <si>
    <t>Other Income Deductions</t>
  </si>
  <si>
    <t xml:space="preserve">    Loss on Disposition of Property (421.2)</t>
  </si>
  <si>
    <t xml:space="preserve">    Miscellaneous Amortization (425)</t>
  </si>
  <si>
    <t xml:space="preserve">    Miscellaneous Income Deductions (426)</t>
  </si>
  <si>
    <t xml:space="preserve">          TOTAL Other Income  Deductions (Total of lines 40 thru 42)</t>
  </si>
  <si>
    <t>THIS PAGE LEFT BLANK INTENTIONALLY</t>
  </si>
  <si>
    <t xml:space="preserve">      identifying the year in column (a).</t>
  </si>
  <si>
    <t xml:space="preserve">     was charged.  If the actual or estimated amounts of such taxes are known, show the amounts in a footnote and designate whether estimated or</t>
  </si>
  <si>
    <t xml:space="preserve">      rate of each, cost to respondent, number of shares or principal amount, and book cost at end of year.</t>
  </si>
  <si>
    <t>Balance</t>
  </si>
  <si>
    <t>them in accordance with the inquiries.  Each inquiry should be</t>
  </si>
  <si>
    <t>short-term debt and commercial paper having a maturity of one</t>
  </si>
  <si>
    <t>and designation of system</t>
  </si>
  <si>
    <t>or installation</t>
  </si>
  <si>
    <t>sq. ft.</t>
  </si>
  <si>
    <t>........gals*</t>
  </si>
  <si>
    <t xml:space="preserve">  Maximum safe daily capacity</t>
  </si>
  <si>
    <t xml:space="preserve">  *Prefix the initial letter of thousands, million or billion to indicate in which entries are expressed.</t>
  </si>
  <si>
    <t>TREATMENT PROCESS</t>
  </si>
  <si>
    <t xml:space="preserve">   1.  Show the requested information concerning Water Treatment Processes, the</t>
  </si>
  <si>
    <t>letter of Thousand, Million or Billion to indicate the unit in which quantities are expressed.</t>
  </si>
  <si>
    <t>quantities treated by each process, and the chemicals used in connection therewith.</t>
  </si>
  <si>
    <t xml:space="preserve">   4.  If certain quantities of water are subject to more than one method of treatment,</t>
  </si>
  <si>
    <t xml:space="preserve">   5.  Important extension or reduction of transmission or</t>
  </si>
  <si>
    <t xml:space="preserve">  12.  If the important changes during the year relating to the</t>
  </si>
  <si>
    <t xml:space="preserve">distribution system:  State territory added or relinquished and </t>
  </si>
  <si>
    <t>be prorated for the elapsed portion of the current year).</t>
  </si>
  <si>
    <t>Maximum Daily</t>
  </si>
  <si>
    <t>Taxes Accrued</t>
  </si>
  <si>
    <t>(Include in</t>
  </si>
  <si>
    <t>Preferred Stock Liability for Conversion (Account 206)</t>
  </si>
  <si>
    <t>Premium on Capital Stock (Account 207)</t>
  </si>
  <si>
    <t>Installments Received on Capital Stock (Account 212)</t>
  </si>
  <si>
    <t xml:space="preserve">   TOTALS</t>
  </si>
  <si>
    <t>Page 252</t>
  </si>
  <si>
    <t>OTHER PAID-IN CAPITAL (Accounts 208-211, inc.)</t>
  </si>
  <si>
    <t xml:space="preserve">  Report below the balance at the end of the year and the information specified below for the</t>
  </si>
  <si>
    <t>respective other paid-in capital accounts.  Provide a subheading for each account and show a total</t>
  </si>
  <si>
    <t>for the account, as well as total of all accounts for reconciliation with the balance sheet.</t>
  </si>
  <si>
    <t>Add more columns for any account if deemed necessary.  Explain changes made in any account during</t>
  </si>
  <si>
    <t>the year and give the accounting entries effecting such change.</t>
  </si>
  <si>
    <t>(z)</t>
  </si>
  <si>
    <t>Page 401</t>
  </si>
  <si>
    <t>If the event involves the purchase of an annuity contract(s), state whether they are participating or nonparticipating</t>
  </si>
  <si>
    <t>State separately below for each reportable event having occurred since the company's initial compliance with SFAS-87, and for</t>
  </si>
  <si>
    <t xml:space="preserve">                                     Class and Series of Obligation, Coupon Rate</t>
  </si>
  <si>
    <t>Principal</t>
  </si>
  <si>
    <t xml:space="preserve">    Total Expense,</t>
  </si>
  <si>
    <t>Nominal Date</t>
  </si>
  <si>
    <t>(Total amount</t>
  </si>
  <si>
    <t xml:space="preserve">RECONCILIATION BETWEEN PSC AND STOCKHOLDER'S </t>
  </si>
  <si>
    <t>ANNUAL REPORT (Continued)</t>
  </si>
  <si>
    <t xml:space="preserve">   1.  Changes in and important additions to franchise rights:</t>
  </si>
  <si>
    <t>charter:  Explain the nature and purpose of such changes or</t>
  </si>
  <si>
    <t>Describe the actual consideration given therefor and state from</t>
  </si>
  <si>
    <t>Misc Current and Accrued Liabilities</t>
  </si>
  <si>
    <t>Gate Hill</t>
  </si>
  <si>
    <t xml:space="preserve">      U.S.G.S. Datun</t>
  </si>
  <si>
    <t>Misc Current and Accrued Assets</t>
  </si>
  <si>
    <t>Pg 114, L 30, 31, 33 (d)</t>
  </si>
  <si>
    <t xml:space="preserve">          Total Current and Accrued Assets</t>
  </si>
  <si>
    <t>Unamort. Debt Expense</t>
  </si>
  <si>
    <t>Pg 114, L 36 (d)</t>
  </si>
  <si>
    <t>Other Deferred Debits</t>
  </si>
  <si>
    <t>Private Fire Protection</t>
  </si>
  <si>
    <t>Page 412</t>
  </si>
  <si>
    <t>For PSC Use Only (Do not include with Paper Copy of PSC Report)</t>
  </si>
  <si>
    <t>Public Service Commission</t>
  </si>
  <si>
    <t>5 Year Book Data - From FERC Form 1</t>
  </si>
  <si>
    <t>Expenditures, Outstanding at the end of the year.</t>
  </si>
  <si>
    <t xml:space="preserve">  Uniform System of Accounts.)</t>
  </si>
  <si>
    <t>Payroll Distribution</t>
  </si>
  <si>
    <t xml:space="preserve">    Provision For</t>
  </si>
  <si>
    <t>Pension Costs, Analysis of</t>
  </si>
  <si>
    <t>Voting Powers</t>
  </si>
  <si>
    <t>Show Computation of Tax:</t>
  </si>
  <si>
    <t>Page 314</t>
  </si>
  <si>
    <t xml:space="preserve">respondent company appearing in the annual report to the </t>
  </si>
  <si>
    <t xml:space="preserve">  Provide a subheading for each account and show a</t>
  </si>
  <si>
    <t xml:space="preserve">  cost of property classified as nonutility operations should</t>
  </si>
  <si>
    <t xml:space="preserve">  a total for the account.  Additional columns</t>
  </si>
  <si>
    <t>income tax effect.   For New York State Jurisdictional Operations, creation of an internal reserve was required by the</t>
  </si>
  <si>
    <t>Commission's  "Statement of Policy and Order Concerning the Accounting and Ratemaking Treatment for Pensions and</t>
  </si>
  <si>
    <t xml:space="preserve">    of the applicable Uniform System of Accounts.</t>
  </si>
  <si>
    <t>3. Income tax effects relating to each extraordinary item should be listed in Column (c).</t>
  </si>
  <si>
    <t>GROSS</t>
  </si>
  <si>
    <t>RELATED</t>
  </si>
  <si>
    <t>DESCRIPTION OF ITEMS</t>
  </si>
  <si>
    <t>Plan Assets Held in an Internal Reserve (net of tax):</t>
  </si>
  <si>
    <t xml:space="preserve">     New York State Jurisdiction</t>
  </si>
  <si>
    <t>Other Plan Assets (Specify ....................................)</t>
  </si>
  <si>
    <t xml:space="preserve">   - Liability for Conversion</t>
  </si>
  <si>
    <t xml:space="preserve">Income Accounts, Particulars Concerning </t>
  </si>
  <si>
    <t xml:space="preserve">   - Premium</t>
  </si>
  <si>
    <t xml:space="preserve">    Certain Other</t>
  </si>
  <si>
    <t xml:space="preserve">   - Reacquired, Gain on Resale or Cancelation</t>
  </si>
  <si>
    <t>Income Deductions, Miscellaneous</t>
  </si>
  <si>
    <t xml:space="preserve">   - Reduction in Par or Stated Value</t>
  </si>
  <si>
    <t xml:space="preserve">Income Statement </t>
  </si>
  <si>
    <t>Customer's Accounts</t>
  </si>
  <si>
    <t>Accumulated  Provision for Amortization and</t>
  </si>
  <si>
    <t xml:space="preserve">  - Accounts Receivable</t>
  </si>
  <si>
    <t xml:space="preserve">  Depreciation:</t>
  </si>
  <si>
    <t xml:space="preserve">  - Collection and Write-off Practices</t>
  </si>
  <si>
    <t xml:space="preserve">    - Plant Acquisition Adjustments</t>
  </si>
  <si>
    <t>Customers - Average Number</t>
  </si>
  <si>
    <t xml:space="preserve">    - Plant Held for Future Use</t>
  </si>
  <si>
    <t>Customers' Meters</t>
  </si>
  <si>
    <t xml:space="preserve">    - Plant in Service</t>
  </si>
  <si>
    <t>Debt Discount and Expenses, Unamortized</t>
  </si>
  <si>
    <t xml:space="preserve">    - Plant Leased to Others</t>
  </si>
  <si>
    <t>WATER  PLANT IN SERVICE (Accounts 101, 102, and 106) (Continued)</t>
  </si>
  <si>
    <t>Additions</t>
  </si>
  <si>
    <t>Rent from Water Property</t>
  </si>
  <si>
    <t xml:space="preserve">    2.  The period between the date meters are read and the date</t>
  </si>
  <si>
    <t>473</t>
  </si>
  <si>
    <t>Interdepartmental Rents</t>
  </si>
  <si>
    <t xml:space="preserve">               customers are billed.</t>
  </si>
  <si>
    <t>474</t>
  </si>
  <si>
    <t>Other Water Revenues</t>
  </si>
  <si>
    <t xml:space="preserve">    3.  The period between the billing date and the date on which</t>
  </si>
  <si>
    <t>8.  For each amount comprising the reported balance and changes in Account 102, state the property purchased or sold, name of vendor</t>
  </si>
  <si>
    <t>5.  Classify Account 106 according to prescribed accounts, on an estimated basis if necessary, and include the entries in column (c).</t>
  </si>
  <si>
    <t xml:space="preserve">      or purchaser, and date of transaction.  If proposed journal entries have been filed with the Commission as required by the Uniform</t>
  </si>
  <si>
    <t xml:space="preserve">      System of Accounts, give also the date of such filing.</t>
  </si>
  <si>
    <t>Beginning of Year</t>
  </si>
  <si>
    <t>Addition</t>
  </si>
  <si>
    <t>Retirements</t>
  </si>
  <si>
    <t>Transfers</t>
  </si>
  <si>
    <t xml:space="preserve">          1. INTANGIBLE PLANT</t>
  </si>
  <si>
    <t>(301)  Organization</t>
  </si>
  <si>
    <t>(301)</t>
  </si>
  <si>
    <t>(302)  Franchises and Consents</t>
  </si>
  <si>
    <t>(302)</t>
  </si>
  <si>
    <t>(303)  Miscellaneous Intangible Plant</t>
  </si>
  <si>
    <t>(303)</t>
  </si>
  <si>
    <t xml:space="preserve">  2.  Report amounts in account 414, Other Utility Operating</t>
  </si>
  <si>
    <t>employees included in Notes Receivable (Account 141) and Other Accounts Receivable (Account 143).</t>
  </si>
  <si>
    <t xml:space="preserve">                                  Total (Account 134)</t>
  </si>
  <si>
    <t>Page 212</t>
  </si>
  <si>
    <t>NOTES AND ACCOUNTS RECEIVABLE (Accounts 141, 142, 143)</t>
  </si>
  <si>
    <t>Show separately by footnote the total amount of notes and accounts receivable from directors, officers, and</t>
  </si>
  <si>
    <t>Report on Line 3 items such as transfers of excess pension funds from the company's pension trust fund to an account set up under Section 401(h) of the Internal Revenue Code.</t>
  </si>
  <si>
    <t xml:space="preserve">  be included in Account 121.</t>
  </si>
  <si>
    <t>Allowance For Funds Used During Construction</t>
  </si>
  <si>
    <t>Engineering, Supervision, Administrative Costs</t>
  </si>
  <si>
    <t>which are first assigned to a blanket order and</t>
  </si>
  <si>
    <t>then prorated to construction jobs.</t>
  </si>
  <si>
    <t>Engineering, Supervision,  Administrative Costs</t>
  </si>
  <si>
    <t>which are directly chargeable to construction are</t>
  </si>
  <si>
    <t>charged to construction.</t>
  </si>
  <si>
    <t>1) Generally, Construction Overheads are charged directly to the project to</t>
  </si>
  <si>
    <t>Tallman</t>
  </si>
  <si>
    <t>Viola</t>
  </si>
  <si>
    <t>14 &amp; 10</t>
  </si>
  <si>
    <t>42A</t>
  </si>
  <si>
    <t>Catamount</t>
  </si>
  <si>
    <t>54A</t>
  </si>
  <si>
    <t>Cherry Lane</t>
  </si>
  <si>
    <t>Eckerson #1</t>
  </si>
  <si>
    <t xml:space="preserve"> 18 &amp; 12 &amp; 10</t>
  </si>
  <si>
    <t>Rustic</t>
  </si>
  <si>
    <t>Notes:</t>
  </si>
  <si>
    <t xml:space="preserve">(A) Water depths while operating and not operating are affected by many variables such as other pumps in use, duration of operation, </t>
  </si>
  <si>
    <t>is not the principal accountant for your previous year's certified financial statements?</t>
  </si>
  <si>
    <t>Page 101</t>
  </si>
  <si>
    <t>Miscellaneous Paid-In Capital (Account 211)</t>
  </si>
  <si>
    <t>Page 253</t>
  </si>
  <si>
    <t xml:space="preserve">If the respondent's annual report to stockholders or audited annual financial statements are prepared on a calendar year basis, the major financial statements contained therein, i.e., Balance Sheet, Income and Retained Earnings Statement and Statement of </t>
  </si>
  <si>
    <t>{Set "Print-Orientation";"Portrait"}</t>
  </si>
  <si>
    <t>{Set "Print-Size";"Fit-All"}</t>
  </si>
  <si>
    <t>Accelerated Amortization (Account 281)</t>
  </si>
  <si>
    <t>Pollution Control</t>
  </si>
  <si>
    <t>Defense Facilities</t>
  </si>
  <si>
    <t xml:space="preserve">    TOTAL  WATER (Enter Total of lines 3 thru 7)</t>
  </si>
  <si>
    <t>United Water - Oswego</t>
  </si>
  <si>
    <t>Total Plant in Service</t>
  </si>
  <si>
    <t>Plant Leased To Others</t>
  </si>
  <si>
    <t>Pg 200, L 9 (c)</t>
  </si>
  <si>
    <t>Construction Work In Progress</t>
  </si>
  <si>
    <t>Pg 200, L 11 (c)</t>
  </si>
  <si>
    <t>Plant Held For Future Use</t>
  </si>
  <si>
    <t>Pg 200, L 10 (c)</t>
  </si>
  <si>
    <t>with expenses during the year or the account to which</t>
  </si>
  <si>
    <t>or projects, submit estimates for columns (c), (d), and (f) with</t>
  </si>
  <si>
    <t xml:space="preserve">     Total, Less Accumulated Provision for Uncollectible Accounts</t>
  </si>
  <si>
    <t>Exact legal name of reporting water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</si>
  <si>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</si>
  <si>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</si>
  <si>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</si>
  <si>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</si>
  <si>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</si>
  <si>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</si>
  <si>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NYSPSC 347-97</t>
  </si>
  <si>
    <t>GENERAL INSTRUCTIONS</t>
  </si>
  <si>
    <t xml:space="preserve">1.     The completed original of this report form, properly filled out, shall be filed with </t>
  </si>
  <si>
    <t>Instructions</t>
  </si>
  <si>
    <t>Do not include this sheet in the Annual Report you send to the Commission</t>
  </si>
  <si>
    <t>General Information</t>
  </si>
  <si>
    <t>to the end of the year, or if since the previous compilation</t>
  </si>
  <si>
    <t>2.  If any change occurred during the year in the balance with respect to any class or series of stock, attach a statement giving particulars</t>
  </si>
  <si>
    <t>Particulars</t>
  </si>
  <si>
    <t>Debits</t>
  </si>
  <si>
    <t>Credits</t>
  </si>
  <si>
    <t>for Year</t>
  </si>
  <si>
    <t xml:space="preserve"> No.</t>
  </si>
  <si>
    <t>Totals (Account 145)</t>
  </si>
  <si>
    <t>Totals (Account 146)</t>
  </si>
  <si>
    <t>Page 214</t>
  </si>
  <si>
    <t>different types of OPEB plans shall be consistent with the disclosure requirements specified in SFAS-106 (Paragraphs</t>
  </si>
  <si>
    <t>72-89).  If the reporting company's OPEB benefits are provided through a joint plan with its parent company or holding</t>
  </si>
  <si>
    <t>4. Investment Advances - Report separately for each person or company the amounts of loans or investment advances which are subject to repayment but which are not</t>
  </si>
  <si>
    <t xml:space="preserve">     subject to current settlement.  With respect to each advance show whether the advance is a note or open account.  Each note should be listed giving date of issuance, </t>
  </si>
  <si>
    <t xml:space="preserve">     maturity date, and specifying whether note is a renewal.  Designate any advances due from officers, directors, stockholders or employees.</t>
  </si>
  <si>
    <t>WATER OPERATION AND MAINTENANCE EXPENSES (Accounts 401 - 402.1)</t>
  </si>
  <si>
    <t>Enter in the space provided the operation and maintenance expenses for the year and previous year.</t>
  </si>
  <si>
    <t>AMOUNT FOR</t>
  </si>
  <si>
    <t xml:space="preserve"> LINE</t>
  </si>
  <si>
    <t>ACCOUNT</t>
  </si>
  <si>
    <t>CURRENT YEAR</t>
  </si>
  <si>
    <t xml:space="preserve"> NO.</t>
  </si>
  <si>
    <t>1.  SOURCE OF SUPPLY EXPENSES</t>
  </si>
  <si>
    <t>OPERATIONS</t>
  </si>
  <si>
    <t>OPERATION SUPERVISION AND ENGINEERING</t>
  </si>
  <si>
    <t>OPERATION LABOR &amp; EXPENSES</t>
  </si>
  <si>
    <t>PURCHASED WATER</t>
  </si>
  <si>
    <t>MISCELLANEOUS EXPENSES</t>
  </si>
  <si>
    <t>RENTS</t>
  </si>
  <si>
    <t xml:space="preserve">          TOTAL OPERATION</t>
  </si>
  <si>
    <t>MAINTENANCE</t>
  </si>
  <si>
    <t>MAINTENANCE SUPERVISION &amp; ENGINEERING</t>
  </si>
  <si>
    <t>MAINTENANCE OF STRUCTURES &amp; IMPROVEMENTS</t>
  </si>
  <si>
    <t>MAINTENANCE OF COLLECTING &amp; IMPOUNDING RESERVOIRS</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</si>
  <si>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</si>
  <si>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</si>
  <si>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</si>
  <si>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</si>
  <si>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</si>
  <si>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Give particulars of any notes pledged or discounted, also of any collateral held as guarantee of payment of any note or account.</t>
  </si>
  <si>
    <t>End of</t>
  </si>
  <si>
    <t>Interest</t>
  </si>
  <si>
    <t xml:space="preserve">      Distribution Plant (Estimated)</t>
  </si>
  <si>
    <t xml:space="preserve">    Assigned to - Other</t>
  </si>
  <si>
    <t xml:space="preserve">         TOTAL Account 150.154 (Enter Total of lines 5 thru 10)</t>
  </si>
  <si>
    <t xml:space="preserve">   Net (Increase) Decrease in Receivables</t>
  </si>
  <si>
    <t xml:space="preserve">   Net (Increase) Decrease in  Inventory</t>
  </si>
  <si>
    <t>Est daily</t>
  </si>
  <si>
    <t>Maximum</t>
  </si>
  <si>
    <t>Minimum</t>
  </si>
  <si>
    <t>tion jobs, (d) whether different rates are applied to different</t>
  </si>
  <si>
    <t xml:space="preserve">     3. Where a net-of-tax rate for borrowed funds is used,</t>
  </si>
  <si>
    <t>Description of Miscellaneous Deferred Debit</t>
  </si>
  <si>
    <t>Total Amount</t>
  </si>
  <si>
    <t>Costs</t>
  </si>
  <si>
    <t>[Include in the description of costs, the date of</t>
  </si>
  <si>
    <t>of</t>
  </si>
  <si>
    <t>Commission authorization to use Account 186, and period</t>
  </si>
  <si>
    <t>Charges</t>
  </si>
  <si>
    <t xml:space="preserve"> of amortization (mo, yr to mo, yr).]</t>
  </si>
  <si>
    <t>Page 216</t>
  </si>
  <si>
    <t xml:space="preserve">When you have completed the report, you may want to print out the entire report.  To do this,  select Print under the File menu.  In the Print Dialogue box that appears chose the Entire Workbook option in the Print What Section. </t>
  </si>
  <si>
    <t>EXTRAORDINARY PROPERTY LOSSES (Account 182)</t>
  </si>
  <si>
    <t>Description of Extraordinary Loss</t>
  </si>
  <si>
    <t>Losses</t>
  </si>
  <si>
    <t>WRITTEN OFF DURING</t>
  </si>
  <si>
    <t>[Include in the description the date of loss,</t>
  </si>
  <si>
    <t>Recognized</t>
  </si>
  <si>
    <t>THE YEAR</t>
  </si>
  <si>
    <t>holders.</t>
  </si>
  <si>
    <t>standing in the hands of the general public where the options,</t>
  </si>
  <si>
    <t xml:space="preserve">   2.  If any security other than stock carries voting rights, </t>
  </si>
  <si>
    <t xml:space="preserve">  Public Authorities</t>
  </si>
  <si>
    <t xml:space="preserve">  Merchandising, Jobbing and Contract Work</t>
  </si>
  <si>
    <t xml:space="preserve">  Other</t>
  </si>
  <si>
    <t xml:space="preserve">       a. The chart must show the relationship between the utility and the affiliates.</t>
  </si>
  <si>
    <t xml:space="preserve">       b. For parents of the utility, provide the extent of control that the parent has over the utility.</t>
  </si>
  <si>
    <t>Internal Reserve Balance Subject to Accrual of Interest (net of tax)</t>
  </si>
  <si>
    <t>If collateral has been pledged as security to the payment of any note or account, describe such collateral.</t>
  </si>
  <si>
    <t>BALANCE</t>
  </si>
  <si>
    <t>TOTAL FOR YEAR</t>
  </si>
  <si>
    <t>BEGINNING</t>
  </si>
  <si>
    <t>END OF</t>
  </si>
  <si>
    <t xml:space="preserve">INTEREST </t>
  </si>
  <si>
    <t>PARTICULARS</t>
  </si>
  <si>
    <t>OF YEAR</t>
  </si>
  <si>
    <t>DEBITS</t>
  </si>
  <si>
    <t>CREDITS</t>
  </si>
  <si>
    <t>YEAR</t>
  </si>
  <si>
    <t>FOR YEAR</t>
  </si>
  <si>
    <t>TOTALS (ACCOUNT 233)</t>
  </si>
  <si>
    <t>TOTALS (ACCOUNT 234)</t>
  </si>
  <si>
    <t>Page 255</t>
  </si>
  <si>
    <t>Policy Statement (issued January 15, 1993), in Case 92-M-1005.</t>
  </si>
  <si>
    <t>1.  Report below the information called for concerning each city, village, town, or water supply district at any time during the year.</t>
  </si>
  <si>
    <t xml:space="preserve">     Provision for Deferred Inc. Taxes (410.2)</t>
  </si>
  <si>
    <t>Net Income (Enter Total of lines 64 and 70)</t>
  </si>
  <si>
    <t>Page 118</t>
  </si>
  <si>
    <t>Page 119</t>
  </si>
  <si>
    <t>STATEMENT OF RETAINED EARNINGS FOR THE YEAR</t>
  </si>
  <si>
    <t xml:space="preserve">                   IN  SINKING AND</t>
  </si>
  <si>
    <t>Per Share</t>
  </si>
  <si>
    <t xml:space="preserve">                        respondent.)</t>
  </si>
  <si>
    <t xml:space="preserve">                   OTHER FUNDS</t>
  </si>
  <si>
    <t>ACCUMULATED DEFERRED INCOME TAXES (Account 190)</t>
  </si>
  <si>
    <t>warrants, or rights were issued on a prorata basis.</t>
  </si>
  <si>
    <t xml:space="preserve">   5.  For receivers' certificates, show in column(a) the name of </t>
  </si>
  <si>
    <t>a footnote the date of the Commission's authorization of</t>
  </si>
  <si>
    <t>13.  If the respondent has pledged any of its long-term debt</t>
  </si>
  <si>
    <t>authorized by a regulatory commission but not yet issued</t>
  </si>
  <si>
    <t>the court and date of court order under which such certificates</t>
  </si>
  <si>
    <t>treatment other than as specified by the Uniform System of</t>
  </si>
  <si>
    <t>were issued.</t>
  </si>
  <si>
    <t>Accounts.</t>
  </si>
  <si>
    <t>AMORTIZATION PERIOD</t>
  </si>
  <si>
    <t>the respondent and number of such</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</si>
  <si>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</si>
  <si>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</si>
  <si>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</si>
  <si>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</si>
  <si>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</si>
  <si>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</si>
  <si>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</si>
  <si>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</si>
  <si>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</si>
  <si>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</si>
  <si>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</si>
  <si>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</si>
  <si>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Report on Line 10 the amount of unrecognized net gain or loss (including plan asset gains and losses not yet</t>
  </si>
  <si>
    <t>reflected in the market-related value of the plan assets).</t>
  </si>
  <si>
    <t>Report on Line 11 the amount of unrecognized net asset gain or loss not yet reflected in the market-related value of</t>
  </si>
  <si>
    <t>plan assets.</t>
  </si>
  <si>
    <t>24 &amp; 16</t>
  </si>
  <si>
    <t>Nottingham</t>
  </si>
  <si>
    <t>Grandview</t>
  </si>
  <si>
    <t>388.5 (B)</t>
  </si>
  <si>
    <t>Village of Wesley Hills</t>
  </si>
  <si>
    <t>Willow Tree</t>
  </si>
  <si>
    <t>20 &amp; 16</t>
  </si>
  <si>
    <t>Electric</t>
  </si>
  <si>
    <t xml:space="preserve">  Quantity received during year -KWH</t>
  </si>
  <si>
    <t>Allowance for Funds Used During Construction</t>
  </si>
  <si>
    <t>Pg 118, L 35 (c)</t>
  </si>
  <si>
    <t xml:space="preserve">Flows, or any account thereof.  Classify the notes according </t>
  </si>
  <si>
    <t>to disposition thereof.</t>
  </si>
  <si>
    <t>3.  In column (l) indicate whether Natural flow, Suction, Air lift, or</t>
  </si>
  <si>
    <t>whether supply is from springs, wells, or inflitration galleries.  Columns (f) to (l) relate to</t>
  </si>
  <si>
    <t>Deep well pump.</t>
  </si>
  <si>
    <t>wells only, but other columns should also be filled out in respect of this source of supply.</t>
  </si>
  <si>
    <t>W  E  L  L  S</t>
  </si>
  <si>
    <t>Type of</t>
  </si>
  <si>
    <t xml:space="preserve">Number </t>
  </si>
  <si>
    <t>Elevation</t>
  </si>
  <si>
    <t>Depth water</t>
  </si>
  <si>
    <t>Draw down</t>
  </si>
  <si>
    <t>(city, village or town)</t>
  </si>
  <si>
    <t>develop-</t>
  </si>
  <si>
    <t>(ground</t>
  </si>
  <si>
    <t>(driven,</t>
  </si>
  <si>
    <t>diameter</t>
  </si>
  <si>
    <t xml:space="preserve">Below </t>
  </si>
  <si>
    <t xml:space="preserve">Method of </t>
  </si>
  <si>
    <t>daily yield,</t>
  </si>
  <si>
    <t xml:space="preserve">and designation of </t>
  </si>
  <si>
    <t>ment</t>
  </si>
  <si>
    <t>ion</t>
  </si>
  <si>
    <t>each</t>
  </si>
  <si>
    <t>surface)</t>
  </si>
  <si>
    <t>dug</t>
  </si>
  <si>
    <t>of well</t>
  </si>
  <si>
    <t>surface not.</t>
  </si>
  <si>
    <t>static</t>
  </si>
  <si>
    <t>at G.P.M.</t>
  </si>
  <si>
    <t>thousand</t>
  </si>
  <si>
    <t>system</t>
  </si>
  <si>
    <t>type</t>
  </si>
  <si>
    <t>ft.)*</t>
  </si>
  <si>
    <t>etc.)</t>
  </si>
  <si>
    <t>operating - ft.</t>
  </si>
  <si>
    <t xml:space="preserve">       (a)</t>
  </si>
  <si>
    <t>* Above Sea Level</t>
  </si>
  <si>
    <t>Page 402</t>
  </si>
  <si>
    <t>(A) When required, chlorine is applied to reservoir main.  Rate of chlorine application is controlled based on known rate of flow into reservoir.</t>
  </si>
  <si>
    <t>Pg 115, L 34 (d)</t>
  </si>
  <si>
    <t>Pg 115, L 35 (d)</t>
  </si>
  <si>
    <t>Interest Accrued</t>
  </si>
  <si>
    <t>Pg 115, L 36 (d)</t>
  </si>
  <si>
    <t>Matured Long-Term Debt</t>
  </si>
  <si>
    <t>Pg 115, L 38 (d)</t>
  </si>
  <si>
    <t>company and not yet drawing a pension allowance.</t>
  </si>
  <si>
    <t xml:space="preserve">brief explanation of any action initiated by the Internal </t>
  </si>
  <si>
    <t xml:space="preserve">stockholders are applicable and furnish the data required by </t>
  </si>
  <si>
    <t>Revenue Service involving possible assessment of additional</t>
  </si>
  <si>
    <t>instructions above and on pages 108-109, such notes may</t>
  </si>
  <si>
    <t xml:space="preserve">income taxes of material amount, or of a claim for refund of </t>
  </si>
  <si>
    <t>be included herein.</t>
  </si>
  <si>
    <t>for capital projects, the accumulated overheads are distributed to each</t>
  </si>
  <si>
    <t>project according to its dollar relation to the total amount of such projects.</t>
  </si>
  <si>
    <t>2) The Company applies interest during construction from</t>
  </si>
  <si>
    <t xml:space="preserve">  Other Dr. or Cr. Items (a/c 115):</t>
  </si>
  <si>
    <t xml:space="preserve">  Other Accounts (Specify): a/c 404</t>
  </si>
  <si>
    <t>loss.  Include name of party acquiring the property (when</t>
  </si>
  <si>
    <t>number of such transactions disclosed in column (a).</t>
  </si>
  <si>
    <t>acquired by another utility or associated company) and the</t>
  </si>
  <si>
    <t>3. Give the date of Commission approval of journal entries in</t>
  </si>
  <si>
    <t>10.   Cents are to be omitted on all schedules except where they apply to averages and figures per unit</t>
  </si>
  <si>
    <t>Accounts Receivable from Associated Companies</t>
  </si>
  <si>
    <t xml:space="preserve">  - Over Respondent</t>
  </si>
  <si>
    <t xml:space="preserve">     TOTAL Deferred Credits ( Total of lines 45 thru 50)</t>
  </si>
  <si>
    <t xml:space="preserve">   TOTAL Liabilities and Other Credits( Total of lines 13, 21, 28, 43</t>
  </si>
  <si>
    <t>and 51)</t>
  </si>
  <si>
    <t>Page 115</t>
  </si>
  <si>
    <t>STATEMENT OF INCOME FOR THE YEAR</t>
  </si>
  <si>
    <t>5. Provide an organizational chart that shows all parents and subsidiaries of the utility.</t>
  </si>
  <si>
    <t>Report the amount of gains or losses arising from employee termination benefits or settlements, partial settlements,</t>
  </si>
  <si>
    <t xml:space="preserve">  TOTAL</t>
  </si>
  <si>
    <t>Page 211</t>
  </si>
  <si>
    <t>SPECIAL FUNDS   (Accounts 125, 126, 128)</t>
  </si>
  <si>
    <t>(Sinking Funds, Depreciation Fund, Other Special Funds)</t>
  </si>
  <si>
    <t xml:space="preserve">1.  For each fund  at the end of the year, report the balance below.  </t>
  </si>
  <si>
    <t>1927-55-58</t>
  </si>
  <si>
    <t>20' Dia. x 120' High</t>
  </si>
  <si>
    <t>Town of Clarkstown (Valley Cottage)</t>
  </si>
  <si>
    <t>75' Dia. x 46' High</t>
  </si>
  <si>
    <t>Elevated Tank - Spheroid</t>
  </si>
  <si>
    <t>43.67' Dia. x 31.25' High</t>
  </si>
  <si>
    <t>8. In column (h) report for each investment disposed of during the year the gain or loss represented by the difference between cost of the investment ( or the other amount</t>
  </si>
  <si>
    <t xml:space="preserve">   43</t>
  </si>
  <si>
    <t xml:space="preserve">   44</t>
  </si>
  <si>
    <t xml:space="preserve">   45</t>
  </si>
  <si>
    <t xml:space="preserve">       TOTAL Appropriated Retained Earnings (Account 215)</t>
  </si>
  <si>
    <t>New York State Intrastate Revenues</t>
  </si>
  <si>
    <t xml:space="preserve">   Show the amount of gross operating revenues derived from New York intrastate utility operations during the year.</t>
  </si>
  <si>
    <t>Pg 3, (L 28)</t>
  </si>
  <si>
    <t>Pg 3, L 25 - 29</t>
  </si>
  <si>
    <t xml:space="preserve">    (Excl. Preferred Stock Dividends)</t>
  </si>
  <si>
    <t xml:space="preserve">   Franchise - Gross Income - 186a</t>
  </si>
  <si>
    <t xml:space="preserve">   Franchise - Gross Earnings - 186</t>
  </si>
  <si>
    <t xml:space="preserve">   Franchise - Excess Dividends - 186</t>
  </si>
  <si>
    <t xml:space="preserve">   Temporary Surcharges</t>
  </si>
  <si>
    <t xml:space="preserve">     Sec. 186a (Gross Income)</t>
  </si>
  <si>
    <t>amendments.</t>
  </si>
  <si>
    <t>whom the franchise rights were acquired.  If acquired without</t>
  </si>
  <si>
    <t xml:space="preserve">   8.  State the estimated annual effect and nature of any im-</t>
  </si>
  <si>
    <t>the payment of consideration, state that fact.</t>
  </si>
  <si>
    <t>Total Village of Spring Valley-Ramapo</t>
  </si>
  <si>
    <t>Village of Suffern</t>
  </si>
  <si>
    <t>Total Village of Suffern</t>
  </si>
  <si>
    <t>Page 408d</t>
  </si>
  <si>
    <t>Village of Upper Nyack</t>
  </si>
  <si>
    <t>the year.</t>
  </si>
  <si>
    <t xml:space="preserve">  as required by Accounts 426.1, Donations; 426.2, Life</t>
  </si>
  <si>
    <t xml:space="preserve">     (d) Other Interest Expense (Account 431)-Report</t>
  </si>
  <si>
    <t>receiver, if any, thereof, or by the person required to file the same.   The verification shall be made by said official holding</t>
  </si>
  <si>
    <t>office at the time of the filing of said report, and if  not made upon the knowledge of the person verifying the same shall</t>
  </si>
  <si>
    <t>Interest Accrued (237)</t>
  </si>
  <si>
    <t>Dividends Declared (238)</t>
  </si>
  <si>
    <t>Matured Long-Term Debt (239)</t>
  </si>
  <si>
    <t>by utility and nonutility operations.  Explain by footnote any correction adjustments to the account  balance shown in</t>
  </si>
  <si>
    <t>None</t>
  </si>
  <si>
    <t>(D) Pump removed, well out of service.</t>
  </si>
  <si>
    <t>(*) Above sea level (floor of pump) U.S.G.S. Datum.</t>
  </si>
  <si>
    <t>(**) Suction - Thiells station vacuum system.</t>
  </si>
  <si>
    <t>Page 402a</t>
  </si>
  <si>
    <t>Village of Hillburn</t>
  </si>
  <si>
    <t>The amount reported on Line 24 is to include the amortization of gains and losses arising from changes in</t>
  </si>
  <si>
    <t>assumptions.</t>
  </si>
  <si>
    <t xml:space="preserve">       the basis of determining the ultimate benefits receivable and the payments or provisions made during the year to each person</t>
  </si>
  <si>
    <t>be explained in sufficient detail to identify the amounts by detail revenue account.  It is intended that the amounts shown</t>
  </si>
  <si>
    <t>here shall represent the revenues subject to assessment under Section 18a of the Public Service Law.</t>
  </si>
  <si>
    <t>Revenues</t>
  </si>
  <si>
    <t>Description of Account</t>
  </si>
  <si>
    <t>Intrastate</t>
  </si>
  <si>
    <t>Interstate</t>
  </si>
  <si>
    <t>Page 121</t>
  </si>
  <si>
    <t>STATEMENT OF CASH FLOWS</t>
  </si>
  <si>
    <t>Transmission and Distribution Plant</t>
  </si>
  <si>
    <t>General Plant</t>
  </si>
  <si>
    <t>B.  Basis for Amortization Charges</t>
  </si>
  <si>
    <t>Page 311</t>
  </si>
  <si>
    <t>Gains or (Losses) Unrecognized in Market Related Value of Assets</t>
  </si>
  <si>
    <t>NYS Jurisdiction Internal Reserve Balance Subject to Accrual of Interest (net of tax)</t>
  </si>
  <si>
    <t>Date of Valuation for Amounts Reported on Lines 1 - 12.</t>
  </si>
  <si>
    <t>Discount Rate</t>
  </si>
  <si>
    <t>Expected Long-Term Rate of Return on Assets (Exterior Fund)</t>
  </si>
  <si>
    <t>options made during the reporting year.  Quantify the effects of each revision on each of the amounts reported on</t>
  </si>
  <si>
    <t>Page 363</t>
  </si>
  <si>
    <t>ANALYSIS OF OPEB COSTS, FUNDING AND DEFERRALS  (Continued)</t>
  </si>
  <si>
    <t>Company</t>
  </si>
  <si>
    <t>ANALYSIS OF OPEB COSTS</t>
  </si>
  <si>
    <t>Accumulated Benefit Obligation Attributable to:</t>
  </si>
  <si>
    <t xml:space="preserve">     Retirees Covered by the Plan</t>
  </si>
  <si>
    <t xml:space="preserve">     Other Fully Eligible Plan Participants</t>
  </si>
  <si>
    <t xml:space="preserve">     Other Active Plan Participants</t>
  </si>
  <si>
    <t>Fair Value of Plan Assets Held in an Exterior Fund or Trust</t>
  </si>
  <si>
    <t>the case of a Class B company or $5,000 in the case of a Class A company, including payments for legislative services, except those which</t>
  </si>
  <si>
    <t>should be reported in Account 426.4, Expenditures for Certain Civic, Political and Related Activities.</t>
  </si>
  <si>
    <t xml:space="preserve">   (a) name of person or organization rendering services in alphabetical order,</t>
  </si>
  <si>
    <t xml:space="preserve">   (b) description of services received during year and project or case to which services relate,</t>
  </si>
  <si>
    <t>Other Income Accounts,  Particulars Concerning</t>
  </si>
  <si>
    <t xml:space="preserve">   (d) total charges for the year detailing utility department..</t>
  </si>
  <si>
    <t>Designate with an asterisk associated companies.</t>
  </si>
  <si>
    <t>Vendor</t>
  </si>
  <si>
    <t>Description of Services</t>
  </si>
  <si>
    <t>Basis</t>
  </si>
  <si>
    <t>Total Charges</t>
  </si>
  <si>
    <t>Page 355</t>
  </si>
  <si>
    <t>Page 356</t>
  </si>
  <si>
    <t>Report a summary of each employee program in effect at any time during the year.  This schedule is intended</t>
  </si>
  <si>
    <t>to cover pension, profit sharing, group life insurance, accident and sickness, medical, hospital, prescription</t>
  </si>
  <si>
    <t>Minor amounts may be grouped by classes, showing the number of such amounts.</t>
  </si>
  <si>
    <t>Report in total, all other interest accrued and paid on notes discharged during the year.</t>
  </si>
  <si>
    <t>PAYEE</t>
  </si>
  <si>
    <t>DATE</t>
  </si>
  <si>
    <t>Outstanding</t>
  </si>
  <si>
    <t>INTEREST DURING YEAR</t>
  </si>
  <si>
    <t>AND</t>
  </si>
  <si>
    <t>DATE OF</t>
  </si>
  <si>
    <t>at End of</t>
  </si>
  <si>
    <t>INTEREST RATE</t>
  </si>
  <si>
    <t>NOTE</t>
  </si>
  <si>
    <t>MATURITY</t>
  </si>
  <si>
    <t>ACCRUED</t>
  </si>
  <si>
    <t>PAID</t>
  </si>
  <si>
    <t>PAYABLES TO ASSOCIATED COMPANIES (ACCOUNTS 233 and 234)</t>
  </si>
  <si>
    <t>Report particulars of notes and accounts payable to associated companies to end of year.</t>
  </si>
  <si>
    <t xml:space="preserve">Provide separate totals for Accounts 233, Notes Payable to Associated Companies, and 234, Accounts </t>
  </si>
  <si>
    <t>Payable to Associated Companies.</t>
  </si>
  <si>
    <t>If this is the first year the company is subject to the reporting requirements of this schedule, complete separate forms for</t>
  </si>
  <si>
    <t xml:space="preserve">   Collections on Loans</t>
  </si>
  <si>
    <t xml:space="preserve">to file the report.  The statute further provides that when any such report is defective or believed </t>
  </si>
  <si>
    <t>the duplication in number of reported customers.</t>
  </si>
  <si>
    <t>Clearing Accounts</t>
  </si>
  <si>
    <t>of maturity and interest rate.</t>
  </si>
  <si>
    <t>4.</t>
  </si>
  <si>
    <t>If any note was received in satisfaction of an open account, state the period covered by such open account.</t>
  </si>
  <si>
    <t>5.</t>
  </si>
  <si>
    <t>chases, and a summary of the adjustments made to</t>
  </si>
  <si>
    <t>year.  Also give the approximate dollar effect of such changes.</t>
  </si>
  <si>
    <t>ment.  Spread the amount(s) over lines 02 thru 23 as ap-</t>
  </si>
  <si>
    <t>customers or which may result in a material refund to the util-</t>
  </si>
  <si>
    <t>balance sheet, income, and expense accounts.</t>
  </si>
  <si>
    <t xml:space="preserve">   8.  Explain in a footnote if the previous year's figures are</t>
  </si>
  <si>
    <t>propriate.  Include these amounts in columns (c) and (d)</t>
  </si>
  <si>
    <t>Pg 300, L 7, 8, 10 (d)</t>
  </si>
  <si>
    <t>Other Operating Revenues</t>
  </si>
  <si>
    <t>Pg 300, L 19 (d)</t>
  </si>
  <si>
    <t xml:space="preserve">          Total Water Operating Revenues</t>
  </si>
  <si>
    <t>WATER SALES (Thousands of Gallons)</t>
  </si>
  <si>
    <t>Pg 300, L 2 (f)</t>
  </si>
  <si>
    <t>Pg 300, L 3, 4 (f)</t>
  </si>
  <si>
    <t>Pg 300, L 5, 6 (f)</t>
  </si>
  <si>
    <t>Pg 300, L 9 (f)</t>
  </si>
  <si>
    <t>Pg 300, L 7, 8, 10 (f)</t>
  </si>
  <si>
    <t xml:space="preserve">          Total Sales of Water</t>
  </si>
  <si>
    <t>AVERAGE CUSTOMERS PER MONTH</t>
  </si>
  <si>
    <t>Pg 300, L 2 (h)</t>
  </si>
  <si>
    <t>Pg 300, L 3, 4 (h)</t>
  </si>
  <si>
    <t xml:space="preserve">  5.  If the notes to financial statements relating to the </t>
  </si>
  <si>
    <t xml:space="preserve">gent assets or liabilities existing at end of year, including a </t>
  </si>
  <si>
    <t xml:space="preserve">    - Advances from</t>
  </si>
  <si>
    <t xml:space="preserve">Employees, Number of </t>
  </si>
  <si>
    <t xml:space="preserve">    - Interest on Debt to</t>
  </si>
  <si>
    <t>Expenses, Operation and Maintenance</t>
  </si>
  <si>
    <t xml:space="preserve">    - Investments in</t>
  </si>
  <si>
    <t xml:space="preserve">    - Payable to</t>
  </si>
  <si>
    <t>Fuel or Power Purchased for Pumping</t>
  </si>
  <si>
    <t>Billing Routine</t>
  </si>
  <si>
    <t>Funds, Special:</t>
  </si>
  <si>
    <t>Bonds</t>
  </si>
  <si>
    <t xml:space="preserve">   - Depreciation Fund</t>
  </si>
  <si>
    <t xml:space="preserve">   - Other Special</t>
  </si>
  <si>
    <t>Pg 114, L 4 (d)</t>
  </si>
  <si>
    <t xml:space="preserve">          Water Sold-Montvale</t>
  </si>
  <si>
    <t xml:space="preserve">          Water Sold-DeForest</t>
  </si>
  <si>
    <t xml:space="preserve">           and eliminates significant risks related to the obligation and assets.</t>
  </si>
  <si>
    <t xml:space="preserve">     Actual return</t>
  </si>
  <si>
    <t>drugs, guaranteed annual wage, severance pay, and any other plan maintained for employees (or retirees), but</t>
  </si>
  <si>
    <t>it is not intended to cover such a plan required by law, (e.g. social security).</t>
  </si>
  <si>
    <t>Summary of Utility Plant and Accumulated Provision for</t>
  </si>
  <si>
    <t xml:space="preserve">  Depreciation, Amortization, and Depletion</t>
  </si>
  <si>
    <t>200-201</t>
  </si>
  <si>
    <t>12-89</t>
  </si>
  <si>
    <t>Water Plant in Service</t>
  </si>
  <si>
    <t>For each plan, specify and explain in the space below any accounting changes or changes in assumptions or elected</t>
  </si>
  <si>
    <t>Total Pension Cost</t>
  </si>
  <si>
    <t>Page 264</t>
  </si>
  <si>
    <t>Page 265</t>
  </si>
  <si>
    <t xml:space="preserve">  State Income Tax</t>
  </si>
  <si>
    <t xml:space="preserve">  Adjustment of Prior Years Tax / SIT/ITC/TUP</t>
  </si>
  <si>
    <t>Report below the accumulated deferred Federal income tax assets/liabilities, as of December 31 of the reporting year, that result</t>
  </si>
  <si>
    <t>purely from the implementation of SFAS - 109, "Accounting for Income Taxes", and in accordance with the Commission's associated</t>
  </si>
  <si>
    <t>AFUDC</t>
  </si>
  <si>
    <t>CAPITAL STOCK (Accounts 201 and 204)</t>
  </si>
  <si>
    <t>CAPITAL STOCK (Accounts 201 and 204) (Continued)</t>
  </si>
  <si>
    <t>Number of Previous Employees Vested but Not Retired</t>
  </si>
  <si>
    <t>REPORTING COMPANY</t>
  </si>
  <si>
    <t xml:space="preserve">         TOTAL Dividends Declared -- Preferred Stock (Acct. 437) (Total of lines 24 thru 28)</t>
  </si>
  <si>
    <t>Dividends Declared -- Common Stock (Account 438)</t>
  </si>
  <si>
    <t>(B) Chemical is applied when pump is operating.  Rate of application is controlled by rate of flow discharged into system.</t>
  </si>
  <si>
    <t xml:space="preserve">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 on the relates schedule. The print function will not print the insert pages. As a result, you will have to print these manually. </t>
  </si>
  <si>
    <t xml:space="preserve">          TOTAL (Enter Total of lines 3 thru 7) </t>
  </si>
  <si>
    <t>Leased to Others (104)</t>
  </si>
  <si>
    <t>Held for Future Use  (105)</t>
  </si>
  <si>
    <t xml:space="preserve">     (Less) Provision  for Deferred Income Taxes -- Cr. (411.2)</t>
  </si>
  <si>
    <t xml:space="preserve">     Investment Tax Credit Adj. -- Net (411.5)</t>
  </si>
  <si>
    <t xml:space="preserve">     (Less) Investment Tax Credits (420)</t>
  </si>
  <si>
    <t xml:space="preserve">          TOTAL Taxes on Other Income  and Deduct. (Total of  45 thru 51)</t>
  </si>
  <si>
    <t xml:space="preserve">      Settlement cost (e.g., price of purchased annuity contract)</t>
  </si>
  <si>
    <t>Report on line 1 the amount of overfunding remaining (excess of plan assets, adjusted for accrued or prepaid pension</t>
  </si>
  <si>
    <t xml:space="preserve">      Settlement gain or (loss): (10)-(11)</t>
  </si>
  <si>
    <t>financial, valuation, legal, accounting, purchasing, advertising, labor relations, and public relations, rendered the respondent under</t>
  </si>
  <si>
    <t>Projected Benefit Obligation</t>
  </si>
  <si>
    <t>Report on line 3 the amount the pension plan could expect to receive for investments in a sale between a willing buyer and a</t>
  </si>
  <si>
    <t>Fair Value of Plan Assets</t>
  </si>
  <si>
    <t xml:space="preserve">accrual of interest (e.g. in the company's last rate case a portion of the reserve may have been used to reduce rate base).  </t>
  </si>
  <si>
    <t xml:space="preserve">Report on Line 12 the balance of the reserve, net of its related deferred income tax effect, which is subject to the </t>
  </si>
  <si>
    <t>accrual of interest.</t>
  </si>
  <si>
    <t>Report on Line 14 the discount rate which was used to calculate the obligations reported on Lines 1-3.</t>
  </si>
  <si>
    <t>TOTAL Other (Total of lines 20 through 26)</t>
  </si>
  <si>
    <t>TOTAL Account 190 (TOTAL of lines 18 and 27)</t>
  </si>
  <si>
    <t>Notes</t>
  </si>
  <si>
    <t>Page 217</t>
  </si>
  <si>
    <t>3.  If the trustee of any fund is an associated company, give name of such associated company.</t>
  </si>
  <si>
    <t>STATE OF NEW YORK</t>
  </si>
  <si>
    <t>PUBLIC SERVICE COMMISSION</t>
  </si>
  <si>
    <t>ANNUAL REPORT</t>
  </si>
  <si>
    <t>OF WATERWORKS CORPORATIONS</t>
  </si>
  <si>
    <t>should be adjusted by the year-to-date amortization.</t>
  </si>
  <si>
    <t>Settlement ratio: (10)/(6)</t>
  </si>
  <si>
    <t xml:space="preserve">         Other: Customer Advances for Construction</t>
  </si>
  <si>
    <t>VERIFICATION</t>
  </si>
  <si>
    <t xml:space="preserve">   The Public Service Law requires that "... it shall be the duty of every such person and corporation to file with the</t>
  </si>
  <si>
    <t xml:space="preserve">types of construction, (e) basis of differentiation in rates for      </t>
  </si>
  <si>
    <t>Cash Flow, shall be reconciled with the corresponding PSC statements. The reconciliation</t>
  </si>
  <si>
    <t xml:space="preserve">  TOTAL Source of Supply Plant   (Enter Total of lines 7 thru 14)</t>
  </si>
  <si>
    <t xml:space="preserve">          3. PUMPING PLANT</t>
  </si>
  <si>
    <t>(320)  Land and Land Rights</t>
  </si>
  <si>
    <t>(320)</t>
  </si>
  <si>
    <t xml:space="preserve">*  If electric is used, give name of the company from which purchased.  Where station is serving two </t>
  </si>
  <si>
    <t>column (b), when approval is required.  Where approval is</t>
  </si>
  <si>
    <t>Leased, Held for Future Use, or Nonutility.</t>
  </si>
  <si>
    <t>required but has not been received, give explanation following</t>
  </si>
  <si>
    <t>System of Accounts were submitted to the Commission.</t>
  </si>
  <si>
    <t xml:space="preserve">  11.  (Reserved)</t>
  </si>
  <si>
    <t xml:space="preserve">   4.  (Reserved)</t>
  </si>
  <si>
    <t xml:space="preserve">  payee, and amount of other income deductions for the year</t>
  </si>
  <si>
    <t xml:space="preserve">If the respondent's annual report to stockholders or audited annual financial statements are prepared on a fiscal year basis, then a statement shall be included stating that, except as noted, the major financial statements are prepared on the same basis </t>
  </si>
  <si>
    <t xml:space="preserve">as in this annual report to the Commission and are in conformity with this Commission's </t>
  </si>
  <si>
    <t xml:space="preserve">shall contain an explanation of all differences in reporting. </t>
  </si>
  <si>
    <t>applicable Uniform System of Accounts.</t>
  </si>
  <si>
    <t>UTILITY OPERATING INCOME</t>
  </si>
  <si>
    <t>Operating Revenues (400)</t>
  </si>
  <si>
    <t xml:space="preserve">       Operation Expenses (401)</t>
  </si>
  <si>
    <t xml:space="preserve">       Maintenance Expenses (402)</t>
  </si>
  <si>
    <t xml:space="preserve">       Depreciation Expense (403)</t>
  </si>
  <si>
    <t xml:space="preserve">     If customer count in the residential and commercial classifications includes customers counted more than once because of special services, indicate in a footnote the number</t>
  </si>
  <si>
    <t>Common Stock Liability for Conversion, or Account 206,</t>
  </si>
  <si>
    <t>at the bottom of section C the amounts and nature of the provisions and the plant items to which related.</t>
  </si>
  <si>
    <t xml:space="preserve">                                                         A.  Summary of Depreciation and Amortization Charges</t>
  </si>
  <si>
    <t>Amortization</t>
  </si>
  <si>
    <t>of Limited-Term</t>
  </si>
  <si>
    <t>of Other</t>
  </si>
  <si>
    <t xml:space="preserve">Line </t>
  </si>
  <si>
    <t>Functional Classification</t>
  </si>
  <si>
    <t>Expense</t>
  </si>
  <si>
    <t>(Account 403)</t>
  </si>
  <si>
    <t>(Acct. 404)</t>
  </si>
  <si>
    <t>(Acct. 405)</t>
  </si>
  <si>
    <t>Intangible Plant</t>
  </si>
  <si>
    <t>Pumping Plant</t>
  </si>
  <si>
    <t xml:space="preserve">Report the reconciliation of reported net income for the year with taxable income used in computing Federal income </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</si>
  <si>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</si>
  <si>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</si>
  <si>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of associated companies from which advances were received.</t>
  </si>
  <si>
    <t>associated with issues redeemed during the year.  Also, give in</t>
  </si>
  <si>
    <t xml:space="preserve">Commission authorization numbers and dates.  </t>
  </si>
  <si>
    <t>16.  Give particulars (details) concerning any long-term debt</t>
  </si>
  <si>
    <t xml:space="preserve">                                                ______________________________________________</t>
  </si>
  <si>
    <t>-</t>
  </si>
  <si>
    <t>OTHER PROPERTY AND INVESTMENTS</t>
  </si>
  <si>
    <t>Nonutility Property (121)</t>
  </si>
  <si>
    <t>(Less) Accum. Prov. for Depr. and Amort. (122)</t>
  </si>
  <si>
    <t>ing of the stock book or compilation of list of stockholders</t>
  </si>
  <si>
    <t>Balance of Deferred Income Tax Applicable to the Internal Reserve</t>
  </si>
  <si>
    <t xml:space="preserve">                    (Decrease) Increase in Deferred Credits</t>
  </si>
  <si>
    <t xml:space="preserve">                    Decrease (Increase) in Prepayments and Other, Net</t>
  </si>
  <si>
    <t>315</t>
  </si>
  <si>
    <t>Particulars Concerning Certain Other Income Accounts</t>
  </si>
  <si>
    <t>332</t>
  </si>
  <si>
    <t>316</t>
  </si>
  <si>
    <t>Gain and Loss on Disposition of Property</t>
  </si>
  <si>
    <t>317</t>
  </si>
  <si>
    <t>DOLLAR AMOUNTS</t>
  </si>
  <si>
    <t xml:space="preserve">Purchased Water, Fuel or Power for </t>
  </si>
  <si>
    <t xml:space="preserve">   Pumping, and Chemicals</t>
  </si>
  <si>
    <t>Wages and Benefits</t>
  </si>
  <si>
    <t>Other Operation and Maintenance Expense</t>
  </si>
  <si>
    <t>Depreciation and Amortization Expense</t>
  </si>
  <si>
    <t xml:space="preserve">   4.  For advances from Associated Companies, report </t>
  </si>
  <si>
    <t>not be netted.</t>
  </si>
  <si>
    <t xml:space="preserve">advances, show for each company: (a) principal </t>
  </si>
  <si>
    <t>footnote any difference between the total of column (i) and</t>
  </si>
  <si>
    <t xml:space="preserve">separately advances on notes and advances on open accounts. </t>
  </si>
  <si>
    <t>Cash (131)</t>
  </si>
  <si>
    <t>Interest Special Deposits (132)</t>
  </si>
  <si>
    <t>Dividend Special Deposits (133)</t>
  </si>
  <si>
    <t>Other Special Deposits (134)</t>
  </si>
  <si>
    <t>Working Fund (135)</t>
  </si>
  <si>
    <t>Temporary Cash Investments (136)</t>
  </si>
  <si>
    <t>Notes Receivable (141)</t>
  </si>
  <si>
    <t>Customer Accounts Receivable (142)</t>
  </si>
  <si>
    <t>Other Accounts Receivable (143)</t>
  </si>
  <si>
    <t>(Less) Accum. Prov. for Uncollectible Acct.-Credit (144)</t>
  </si>
  <si>
    <t>Notes Receivable from Associated Companies (145)</t>
  </si>
  <si>
    <t>Accounts Receivable from Assoc. Companies (146)</t>
  </si>
  <si>
    <t>Materials and Supplies (150)</t>
  </si>
  <si>
    <t>Prepayments (165)</t>
  </si>
  <si>
    <t>Interest and Dividends Receivable (171)</t>
  </si>
  <si>
    <t>Rents Receivable (172)</t>
  </si>
  <si>
    <t>Intangible</t>
  </si>
  <si>
    <t>Pg 203, L 5 (g)</t>
  </si>
  <si>
    <t xml:space="preserve">     Year-to-date increase (or decrease) in actuarial discount rate </t>
  </si>
  <si>
    <t>basis points</t>
  </si>
  <si>
    <t>Commission an annual report, verified by oath of the president, vice-president, treasurer, secretary, general manager, or</t>
  </si>
  <si>
    <t>pump, which designation must be used to indicate performance</t>
  </si>
  <si>
    <t>pumps, give the information per station.</t>
  </si>
  <si>
    <t>of the particular unit under the captions on lines 8 and 19.</t>
  </si>
  <si>
    <t>2. Where quantities of water are requested, insert in col. (a)</t>
  </si>
  <si>
    <t>3.  Utilize the blank spaces,. column (a), for inserting designations</t>
  </si>
  <si>
    <t>Page 360a</t>
  </si>
  <si>
    <t>Page 364a</t>
  </si>
  <si>
    <t>Page 365a</t>
  </si>
  <si>
    <t>which amortization of deferred gains or losses was not completed by December 31 of last year, the (1) type of event, e.g.</t>
  </si>
  <si>
    <t>identical contracts without the participating feature.</t>
  </si>
  <si>
    <t>settlement or curtailment, (2) date of occurrence, (3) amount of gain or loss originally deferred, (4) period of amortization</t>
  </si>
  <si>
    <t>to compute charges and whether any changes have been made in the basis or rates used from the preceding report year.</t>
  </si>
  <si>
    <t>(In thousands)</t>
  </si>
  <si>
    <t>Life</t>
  </si>
  <si>
    <t>(Percent)</t>
  </si>
  <si>
    <t>Type</t>
  </si>
  <si>
    <t>Village of New Hempstead</t>
  </si>
  <si>
    <t>New Hempstead (Summit Park)</t>
  </si>
  <si>
    <t>20 &amp; 14 &amp; 12</t>
  </si>
  <si>
    <t>Eckerson #2</t>
  </si>
  <si>
    <t>2. If the respondent's payroll for the reporting period includes any special construction personnel, include such employees on line 3, and show the number of such special construction employees in a footnote.</t>
  </si>
  <si>
    <t>show the appropriate tax effect adjustment to the computa-</t>
  </si>
  <si>
    <t>different types of construction, and (f) whether the overhead</t>
  </si>
  <si>
    <t>tions below in a manner that clearly indicates the amount</t>
  </si>
  <si>
    <t>is directly or indirectly assigned.</t>
  </si>
  <si>
    <t>of reduction in the gross rate for tax effects.</t>
  </si>
  <si>
    <t>Description of Each Construction Overhead</t>
  </si>
  <si>
    <t xml:space="preserve">COMPUTATION OF ALLOWANCE FOR FUNDS USED DURING CONSTRUCTION RATES </t>
  </si>
  <si>
    <t xml:space="preserve">should be made in red or enclosed in parentheses.  Inserts, if any, should be appropriately identified </t>
  </si>
  <si>
    <t>with the schedules to which they relate.</t>
  </si>
  <si>
    <t>9.     Insert the initials of the reporting utility and the year which the report covers in the space</t>
  </si>
  <si>
    <t>provided on each page.</t>
  </si>
  <si>
    <t xml:space="preserve">  Quantity used for pumping</t>
  </si>
  <si>
    <t>Maturity</t>
  </si>
  <si>
    <t xml:space="preserve">Beginning </t>
  </si>
  <si>
    <t>Of Shares</t>
  </si>
  <si>
    <t>End</t>
  </si>
  <si>
    <t>For</t>
  </si>
  <si>
    <t>Investment</t>
  </si>
  <si>
    <t>Of Year</t>
  </si>
  <si>
    <t>Disposed of</t>
  </si>
  <si>
    <t>Totals (Account 123)</t>
  </si>
  <si>
    <t>Totals (Account 124)</t>
  </si>
  <si>
    <t>* If book cost is different from cost to respondent, give cost to respondent in a footnote and explain difference.</t>
  </si>
  <si>
    <t>Page 210</t>
  </si>
  <si>
    <t>NONUTILITY PROPERTY (Account 121)</t>
  </si>
  <si>
    <t>We have checked the accuracy of the formulas and cell references in the file.  However, all corrections may not have been made.  If you feel that certain formulas or cell references in the file are incorrect, make the correction and describe the change on the Table of Contents under the column called "Remarks".</t>
  </si>
  <si>
    <t xml:space="preserve">         (d) Identify separately such items as investments,</t>
  </si>
  <si>
    <t xml:space="preserve">               fixed assets, intangibles, etc.</t>
  </si>
  <si>
    <t xml:space="preserve">  6.  Enter on pages 124-125 clarifications and explanations.</t>
  </si>
  <si>
    <t xml:space="preserve"> Description (See Instruction No. 5 for Explanations of Codes)</t>
  </si>
  <si>
    <t xml:space="preserve">   Loans Made or Purchased </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</si>
  <si>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</si>
  <si>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</si>
  <si>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</si>
  <si>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</si>
  <si>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</si>
  <si>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 xml:space="preserve">beginning of year, credits, debits, and balance at end of year with a designation of the nature of </t>
  </si>
  <si>
    <t>each credit and debit identified by the class and series of stock to which related.</t>
  </si>
  <si>
    <t xml:space="preserve">  (d)  Miscellaneous Paid-In Capital (Account 211) - Classify amounts included in this account </t>
  </si>
  <si>
    <t>according to captions which, together with brief explanations, disclose the general nature of the</t>
  </si>
  <si>
    <t>transactions which gave rise to the reported amounts.</t>
  </si>
  <si>
    <t>the respondent not disclosed elsewhere  in this report in which</t>
  </si>
  <si>
    <t xml:space="preserve">           Net  Utility Operating Income (Enter Total of</t>
  </si>
  <si>
    <t>LONG-TERM DEBT (Accounts 221, 222, 223, and 224) (Continued)</t>
  </si>
  <si>
    <t>Ramapo Valley Well C</t>
  </si>
  <si>
    <t>Ramapo Valley Well D</t>
  </si>
  <si>
    <t>Ramapo Valley Well E</t>
  </si>
  <si>
    <t>On line 24, the term "Maximum Amount Deductible" shall mean the amount of pension expense that is allowable under</t>
  </si>
  <si>
    <t xml:space="preserve">Pension Related or Other Funds or Credits this Commission Directed the Company </t>
  </si>
  <si>
    <t xml:space="preserve">     to Use for OPEB Purposes</t>
  </si>
  <si>
    <t>Interest Accrued on Fund Balance</t>
  </si>
  <si>
    <t>Cost Benefits Paid to or for Plan Participants</t>
  </si>
  <si>
    <t>Amount Transferred to an External OPEB Dedicated Fund</t>
  </si>
  <si>
    <t>Other Debits or Credits to the Internal Reserve *</t>
  </si>
  <si>
    <t>Balance in Internal Reserve at End of the Period</t>
  </si>
  <si>
    <t xml:space="preserve">If the utility is a member of a group which files a consolidated Federal tax return, reconcile reported net income with </t>
  </si>
  <si>
    <t xml:space="preserve">(391)  Office Furniture &amp; Equipment </t>
  </si>
  <si>
    <t>(391)</t>
  </si>
  <si>
    <t>(392)  Transportation Equipment</t>
  </si>
  <si>
    <t>(392)</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</si>
  <si>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</si>
  <si>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</si>
  <si>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</si>
  <si>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</si>
  <si>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Gain or (loss): (3)-(4)</t>
  </si>
  <si>
    <t xml:space="preserve">           of a significant number of those employees.</t>
  </si>
  <si>
    <t xml:space="preserve">Year-to-date liability gain or (loss): </t>
  </si>
  <si>
    <t>division or function (such as sales, administration or finance), and any other person who performs similar policy making functions.</t>
  </si>
  <si>
    <t xml:space="preserve">  provided by operating activities:</t>
  </si>
  <si>
    <t xml:space="preserve">                line 2 less 22)  (Carry forward to page 118)</t>
  </si>
  <si>
    <t>Page 116</t>
  </si>
  <si>
    <t>Page 117</t>
  </si>
  <si>
    <t>(Ref).</t>
  </si>
  <si>
    <t xml:space="preserve">               Account</t>
  </si>
  <si>
    <t>Net Utility Operating Income (Carried forward from page 116)</t>
  </si>
  <si>
    <t>Other Income</t>
  </si>
  <si>
    <t>the docket or case number, and a description</t>
  </si>
  <si>
    <t>Regulatory</t>
  </si>
  <si>
    <t>Expenses for</t>
  </si>
  <si>
    <t>Account 186</t>
  </si>
  <si>
    <t>Deferred to</t>
  </si>
  <si>
    <t>of the case.)</t>
  </si>
  <si>
    <t>Commission</t>
  </si>
  <si>
    <t>Department</t>
  </si>
  <si>
    <t>(b) + (c)</t>
  </si>
  <si>
    <t>Page 350</t>
  </si>
  <si>
    <t>Page 351</t>
  </si>
  <si>
    <t>RESEARCH AND DEVELOPMENT ACTIVITIES</t>
  </si>
  <si>
    <t>RESEARCH AND DEVELOPMENT ACTIVITIES(Continued)</t>
  </si>
  <si>
    <t>7.  For Account 399, state the nature and use of plant included in this account and if substantial in amount submit a supplementary</t>
  </si>
  <si>
    <t xml:space="preserve">Uniform Systems of Accounts prescribed by this Commission.  Whenever the term respondent is used, it </t>
  </si>
  <si>
    <t>5. For any securities, notes, or accounts that were pledged, designate such securities, notes or accounts and in a footnote state the name of the pledgee and purpose of the pledge.</t>
  </si>
  <si>
    <t xml:space="preserve">2. For Account 202, Common Stock Subscribed, and Account 205,    </t>
  </si>
  <si>
    <t>year.</t>
  </si>
  <si>
    <t xml:space="preserve">Preferred Stock Subscribed, show the subscription price and      </t>
  </si>
  <si>
    <t>4. For Premium on Account 207, Capital Stock, designate</t>
  </si>
  <si>
    <t xml:space="preserve">the balance due on each class at the end of year.              </t>
  </si>
  <si>
    <t>with a double asterisk any amounts representing the excess</t>
  </si>
  <si>
    <t xml:space="preserve">3. Describe in a footnote the agreement and transactions          </t>
  </si>
  <si>
    <t>of consideration received over stated values of stocks</t>
  </si>
  <si>
    <t>under which a conversion liability existed under Account 203,</t>
  </si>
  <si>
    <t>without par value.</t>
  </si>
  <si>
    <t xml:space="preserve">                      Name of Account and Description of Item</t>
  </si>
  <si>
    <t>Number of Shares</t>
  </si>
  <si>
    <t xml:space="preserve">                                                    (a)</t>
  </si>
  <si>
    <t>and extent of work, etc. the  overhead charges are intended</t>
  </si>
  <si>
    <t>Premium on Capital Stock (207)</t>
  </si>
  <si>
    <t>Other Paid-in Capital (208-211)</t>
  </si>
  <si>
    <t>Installments Received on Capital Stock (212)</t>
  </si>
  <si>
    <t>(Less) Discount on Capital Stock</t>
  </si>
  <si>
    <t>(Less) Capital Stock Expense (214)</t>
  </si>
  <si>
    <t>Retained Earnings (215,  216)</t>
  </si>
  <si>
    <t>Common Stock Subscribed (Account 202)</t>
  </si>
  <si>
    <t>261</t>
  </si>
  <si>
    <t>Accumulated Deferred Investment Tax Credits</t>
  </si>
  <si>
    <t>262-263</t>
  </si>
  <si>
    <t>264-265</t>
  </si>
  <si>
    <t>Other Credits) (Continued)</t>
  </si>
  <si>
    <t xml:space="preserve">Income or (Loss) Earned on Fund Assets </t>
  </si>
  <si>
    <t>Capital Appreciation or (Depreciation) of Fund Assets</t>
  </si>
  <si>
    <t>Cost Benefits Paid from the Fund To or For Plan Participants</t>
  </si>
  <si>
    <t>Other Expenses Paid By the Fund **</t>
  </si>
  <si>
    <t xml:space="preserve">Fair Value of Plan Assets at End of the Period </t>
  </si>
  <si>
    <t>the entries in column (d) for the special schedule should denote</t>
  </si>
  <si>
    <t>and average revenue per thousand gallons.</t>
  </si>
  <si>
    <t>COMPANY PROFILE</t>
  </si>
  <si>
    <t>1. Brief company history and description of service territory.</t>
  </si>
  <si>
    <t>2. Major short-term goals and objectives.</t>
  </si>
  <si>
    <t>3. Major operating divisions and functions.</t>
  </si>
  <si>
    <t>property line, classify such services as "owned by respondent,"</t>
  </si>
  <si>
    <t>separate distribution systems, the particulars for each should be separately stated.</t>
  </si>
  <si>
    <t>and restrict the average length in column (g) to the portion of the</t>
  </si>
  <si>
    <t>service owned.</t>
  </si>
  <si>
    <t>2.  State in a footnote upon what basis, if any, customers are charged for the</t>
  </si>
  <si>
    <t>installations of services.</t>
  </si>
  <si>
    <t>Number at end of year</t>
  </si>
  <si>
    <t>Advance</t>
  </si>
  <si>
    <t>In.</t>
  </si>
  <si>
    <t>In Use</t>
  </si>
  <si>
    <t>Temporarily</t>
  </si>
  <si>
    <t>connections, not</t>
  </si>
  <si>
    <t>Average length</t>
  </si>
  <si>
    <t>Inactive</t>
  </si>
  <si>
    <t>yet used</t>
  </si>
  <si>
    <t>feet</t>
  </si>
  <si>
    <t>Owned by Respondent</t>
  </si>
  <si>
    <t xml:space="preserve">     TOTALS</t>
  </si>
  <si>
    <t>Owned by Customers</t>
  </si>
  <si>
    <t>Page 409</t>
  </si>
  <si>
    <t>CUSTOMERS' METERS</t>
  </si>
  <si>
    <t>1.  Show the requested information concerning customers' meters in service or</t>
  </si>
  <si>
    <t>3.  If the respondent has two or more distribution systems, the entries</t>
  </si>
  <si>
    <t>ADMINISTRATIVE EXPENSES TRANSFERRED - CR.</t>
  </si>
  <si>
    <t>OUTSIDE SERVICES EMPLOYED</t>
  </si>
  <si>
    <t>PROPERTY INSURANCE</t>
  </si>
  <si>
    <t>INJURIES AND DAMAGES</t>
  </si>
  <si>
    <t>EMPLOYEE PENSIONS AND BENEFITS</t>
  </si>
  <si>
    <t>4. TRANSMISSION AND DISTRIBUTION  EXPENSES</t>
  </si>
  <si>
    <t>STORAGE FACILITIES EXPENSE</t>
  </si>
  <si>
    <t>7.     If the utility conducts operations both within and without the State of New York, data should be</t>
  </si>
  <si>
    <t xml:space="preserve">reported so that there will be shown the quantities of commodities sold within this State, and </t>
  </si>
  <si>
    <t>KWh Sold</t>
  </si>
  <si>
    <t>Total Billed</t>
  </si>
  <si>
    <t>owner-ship, state the fact in a footnote, and give full particulars concerning</t>
  </si>
  <si>
    <t>respondent's title.</t>
  </si>
  <si>
    <t>Report the following information in days for Accounts 460 and 461:</t>
  </si>
  <si>
    <t>471</t>
  </si>
  <si>
    <t>Misc. Service Revenues</t>
  </si>
  <si>
    <t xml:space="preserve">              ACCUMULATED DEFERRED OPEB EXPENSE</t>
  </si>
  <si>
    <t>Report on line 26 the dollar amount applicable to the reporting company which has been included in the amount on line 18.</t>
  </si>
  <si>
    <t>Amortization of Transition Amount</t>
  </si>
  <si>
    <t xml:space="preserve">   Plant Purchased or Sold   (102)</t>
  </si>
  <si>
    <t xml:space="preserve">   Plant in Process of Reclassification  (103)</t>
  </si>
  <si>
    <t xml:space="preserve">   Completed Construction not Classified  (106)</t>
  </si>
  <si>
    <t xml:space="preserve">      Account 102, include in column (e) the amounts with respect to accumulated provision for depreciation, acquisition adjustments, etc.,</t>
  </si>
  <si>
    <t xml:space="preserve">2. Individual gains or losses relating to property with an </t>
  </si>
  <si>
    <t>Page 412a</t>
  </si>
  <si>
    <t>Water Treatment System/Treatment Process</t>
  </si>
  <si>
    <t>STATEMENT OF RETAINED EARNINGS FOR THE YEAR (Continued)</t>
  </si>
  <si>
    <t xml:space="preserve">(a)  </t>
  </si>
  <si>
    <t>APPROPRIATED RETAINED EARNINGS (Account 215)</t>
  </si>
  <si>
    <t xml:space="preserve">  1.  Describe and show below costs incurred and accounts charged</t>
  </si>
  <si>
    <t xml:space="preserve">  3.  Include in column (c) all R &amp; D items performed</t>
  </si>
  <si>
    <t>4.  Show in column (e) the account number charged</t>
  </si>
  <si>
    <t>6.  If costs have not been segregated for R &amp; D activities</t>
  </si>
  <si>
    <t xml:space="preserve">  during the year for technological research and development</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</si>
  <si>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</si>
  <si>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</si>
  <si>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</si>
  <si>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</si>
  <si>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  1.  Report below the particulars (details) called for concerning  common and preferred stock at end of year, distinguishing  separate series of any</t>
  </si>
  <si>
    <t>4.  The identification of each class of preferred stock should show the dividend rate and whether the dividends are cumulative</t>
  </si>
  <si>
    <t>rights of such security.  State whether voting rights are actual</t>
  </si>
  <si>
    <t>highest voting powers in the respondent, and state the</t>
  </si>
  <si>
    <t>or contingent; if contingent, describe the contingency.</t>
  </si>
  <si>
    <t>for each issuance, then the amount of premium (in parentheses)</t>
  </si>
  <si>
    <t xml:space="preserve">                                 C  o  n  s  u  m  p  t  i  o  n</t>
  </si>
  <si>
    <t xml:space="preserve">       (Less) Expenses of Nonutility Operations (417.1)</t>
  </si>
  <si>
    <t xml:space="preserve">       Nonoperating Rental Income (418)</t>
  </si>
  <si>
    <t>List each note separately and state the purpose for which issued.  Show also in Column (a) date of</t>
  </si>
  <si>
    <t>note, maturity and interest rate.</t>
  </si>
  <si>
    <t>Include in Column (f) the amount of any interest expense during the year on notes or accounts that</t>
  </si>
  <si>
    <t>Unappropriated (BOP)</t>
  </si>
  <si>
    <t>Pg 120, L 1 (c)</t>
  </si>
  <si>
    <t>Balance Transferred from Income</t>
  </si>
  <si>
    <t>Pg 120, L 16 (c)</t>
  </si>
  <si>
    <t>Appropriated</t>
  </si>
  <si>
    <t>Pg 120. L 22 (c) (-)</t>
  </si>
  <si>
    <t>Common - Account 201</t>
  </si>
  <si>
    <t>Preferred - Account 204</t>
  </si>
  <si>
    <t>Page 250</t>
  </si>
  <si>
    <t>Page 251</t>
  </si>
  <si>
    <t>1.  Report the balance at end of year of capital stock expenses for each class and series of capital stock.</t>
  </si>
  <si>
    <t>written or oral arrangement, for which aggregate payments were made during the year to any corporation,  partnership, organization of any kind,</t>
  </si>
  <si>
    <t xml:space="preserve">or individual (other than for services as an employee or for payments made for medical and related services) amounting to more than $1,000 in </t>
  </si>
  <si>
    <t>228-229</t>
  </si>
  <si>
    <t>Receivables from Associated Companies</t>
  </si>
  <si>
    <t>230</t>
  </si>
  <si>
    <t>12-93</t>
  </si>
  <si>
    <t>Material &amp; Supplies</t>
  </si>
  <si>
    <t>215</t>
  </si>
  <si>
    <t>Prepayments</t>
  </si>
  <si>
    <t>232</t>
  </si>
  <si>
    <t>PREPAYMENTS (ACCOUNT 165)</t>
  </si>
  <si>
    <t>1. Give below the particulars called for concerning each prepayment.</t>
  </si>
  <si>
    <t>2. Minor items may be grouped by classes, showing number of such items.</t>
  </si>
  <si>
    <t xml:space="preserve">End of Year </t>
  </si>
  <si>
    <t>Nature of Prepayment</t>
  </si>
  <si>
    <t>Prepaid taxes</t>
  </si>
  <si>
    <t>give other important particulars (details) concerning the voting</t>
  </si>
  <si>
    <t xml:space="preserve">of the respondent, prior to the end of the year, had the </t>
  </si>
  <si>
    <t>Pg 118, L 28, 30, 32, 33, 37 - L 29, 31 (c)</t>
  </si>
  <si>
    <t xml:space="preserve">          Total Other Income</t>
  </si>
  <si>
    <t>Pg 118, L 43 (c)</t>
  </si>
  <si>
    <t>Balance of Deferred Income Tax Applicable to Deferred OPEB Expense at the End of Period</t>
  </si>
  <si>
    <t xml:space="preserve">  * Briefly explain any amounts reported on Line 8.</t>
  </si>
  <si>
    <t>Page 366</t>
  </si>
  <si>
    <t>MISCELLANEOUS TAX REFUNDS</t>
  </si>
  <si>
    <t>Date of Valuation Reported on Lines 1 through 6</t>
  </si>
  <si>
    <t>2.  Under type, classify them as Displacement, Current, Compound, and Fire service.</t>
  </si>
  <si>
    <t>Owned by Company</t>
  </si>
  <si>
    <t>Size</t>
  </si>
  <si>
    <t>Annual</t>
  </si>
  <si>
    <t>Seasonal</t>
  </si>
  <si>
    <t>In stock</t>
  </si>
  <si>
    <t>Mid-season</t>
  </si>
  <si>
    <t xml:space="preserve">at end of </t>
  </si>
  <si>
    <t>maximum</t>
  </si>
  <si>
    <t>year</t>
  </si>
  <si>
    <t>Page 410</t>
  </si>
  <si>
    <t>FIRE HYDRANTS</t>
  </si>
  <si>
    <t>1. Show the requested information concerning fire hydrants used in furnishing</t>
  </si>
  <si>
    <t xml:space="preserve">       L.S.                   _____________________________</t>
  </si>
  <si>
    <t>84-90,93-100</t>
  </si>
  <si>
    <t>Lane Booster</t>
  </si>
  <si>
    <t>(ww)</t>
  </si>
  <si>
    <t>(xx)</t>
  </si>
  <si>
    <t>(yy)</t>
  </si>
  <si>
    <t>(zz)</t>
  </si>
  <si>
    <t>(aaa)</t>
  </si>
  <si>
    <t>(bbb)</t>
  </si>
  <si>
    <t>(ddd)</t>
  </si>
  <si>
    <t>Hillburn</t>
  </si>
  <si>
    <t xml:space="preserve">Page 404g </t>
  </si>
  <si>
    <t>Hemion</t>
  </si>
  <si>
    <t>Cheesecote</t>
  </si>
  <si>
    <t>Highview</t>
  </si>
  <si>
    <t>Laurel Road</t>
  </si>
  <si>
    <t>duration of trust, and principal holders of beneficiary</t>
  </si>
  <si>
    <t xml:space="preserve">   4.  Furnish particulars (details) concerning any options,</t>
  </si>
  <si>
    <t>Depreciation, Depletion &amp; Amortization</t>
  </si>
  <si>
    <t>Pg 122, L 4=&gt;7 (b)</t>
  </si>
  <si>
    <t>Deferred Taxes &amp; ITCs</t>
  </si>
  <si>
    <t>Pg 122, L 8, 9 (b)</t>
  </si>
  <si>
    <t>Receivables and Inventory</t>
  </si>
  <si>
    <t>Pg 122, L 10=&gt;11 (b)</t>
  </si>
  <si>
    <t xml:space="preserve">                                    -- Other (409.1)</t>
  </si>
  <si>
    <t xml:space="preserve">       Provision for Deferred Income Taxes (410.1)</t>
  </si>
  <si>
    <t xml:space="preserve">       (Less) Provision for Deferred Income Taxes -Cr. (411.1)</t>
  </si>
  <si>
    <t xml:space="preserve">       Investment Tax Credit Adj. -- Net (411.4)</t>
  </si>
  <si>
    <t xml:space="preserve">       Misc. Adjustments of Income Taxes (411.8)</t>
  </si>
  <si>
    <t>18 &amp; 12</t>
  </si>
  <si>
    <t>Tappan</t>
  </si>
  <si>
    <t>16 &amp; 10</t>
  </si>
  <si>
    <t>Pearl River</t>
  </si>
  <si>
    <t>Town of Clarkstown</t>
  </si>
  <si>
    <t xml:space="preserve">Bardonia </t>
  </si>
  <si>
    <t>20 &amp; 14</t>
  </si>
  <si>
    <t>Germonds</t>
  </si>
  <si>
    <t>Nanuet</t>
  </si>
  <si>
    <t>14 &amp; 12</t>
  </si>
  <si>
    <t>New City</t>
  </si>
  <si>
    <t>Norge</t>
  </si>
  <si>
    <t>Pascack Road</t>
  </si>
  <si>
    <t>Elmwood</t>
  </si>
  <si>
    <t>Birchwood</t>
  </si>
  <si>
    <t>Town of Ramapo</t>
  </si>
  <si>
    <t>Monsey</t>
  </si>
  <si>
    <t>10 &amp; 8 &amp; 6</t>
  </si>
  <si>
    <t>31A</t>
  </si>
  <si>
    <t>Pomona (Camp Hill)</t>
  </si>
  <si>
    <t>4.  Enter on this page engineering, supervision, administrative, and allowance for funds used during construction, etc., which are first</t>
  </si>
  <si>
    <t xml:space="preserve">      assigned to a blanket work order and then prorated to construction jobs.</t>
  </si>
  <si>
    <t>Total Amount Charged</t>
  </si>
  <si>
    <t>Costs Incurred Internally</t>
  </si>
  <si>
    <t>Page 352-A</t>
  </si>
  <si>
    <t>Page 353-A</t>
  </si>
  <si>
    <t>DISTRIBUTION OF SALARIES AND WAGES</t>
  </si>
  <si>
    <t>TOTAL (Accounts 281, 282, 283)</t>
  </si>
  <si>
    <t xml:space="preserve">  Water</t>
  </si>
  <si>
    <t xml:space="preserve">     TOTAL</t>
  </si>
  <si>
    <t>3.  The provisions of Account 108 in the Uniform System of Accounts require that retirements of depreciable plant be recorded when such</t>
  </si>
  <si>
    <t>Village of Spring Valley</t>
  </si>
  <si>
    <t>Spring Valley Well Field Which</t>
  </si>
  <si>
    <t>Covers the Following Wells:</t>
  </si>
  <si>
    <t>Air Stripper</t>
  </si>
  <si>
    <t>#1A, #2, #3, #4, #6, #17</t>
  </si>
  <si>
    <t>Hypo Chlorinator</t>
  </si>
  <si>
    <t>(A), (B), (C)</t>
  </si>
  <si>
    <t>Poly-ortho-Phosphate</t>
  </si>
  <si>
    <t>Piermont 25 (Out Of Service)</t>
  </si>
  <si>
    <t>(B), (C)</t>
  </si>
  <si>
    <t xml:space="preserve">4. In column (i), assign a designation no. or letter to each </t>
  </si>
  <si>
    <t xml:space="preserve">   1.  Give the names and addresses of the 10 security</t>
  </si>
  <si>
    <t>explain in a footnote the circumstances</t>
  </si>
  <si>
    <t>6"</t>
  </si>
  <si>
    <t>8"</t>
  </si>
  <si>
    <t>10"</t>
  </si>
  <si>
    <t>12"</t>
  </si>
  <si>
    <t>16"</t>
  </si>
  <si>
    <t>20"</t>
  </si>
  <si>
    <t>24"</t>
  </si>
  <si>
    <t>Total Town of Clarkstown</t>
  </si>
  <si>
    <t>1"</t>
  </si>
  <si>
    <t>information will carry to other sheets in the file.</t>
  </si>
  <si>
    <t>Investments (Account 123 and 124)</t>
  </si>
  <si>
    <t>1. Report below investments greater than or equal to $100,000 in Accounts 123, Investment in Associated Companies and 124, Other Investments.</t>
  </si>
  <si>
    <t>2. Provide a subheading for each account and list thereunder the information called for, observing the instructions below.</t>
  </si>
  <si>
    <t>3. Investment in Securities - List and describe each security owned, giving name of issuer.  For bonds give also principal amount, date of issue, maturity, and interest rate.</t>
  </si>
  <si>
    <t>Financing Activities</t>
  </si>
  <si>
    <t>Report below information applicable to Account 255.  Where appropriate, segregate the balances and transactions</t>
  </si>
  <si>
    <t>Average</t>
  </si>
  <si>
    <t>Revenue Per</t>
  </si>
  <si>
    <t>Number and Title of Rate Schedule</t>
  </si>
  <si>
    <t>Gallons</t>
  </si>
  <si>
    <t>Revenue</t>
  </si>
  <si>
    <t xml:space="preserve">Number of </t>
  </si>
  <si>
    <t>Sold</t>
  </si>
  <si>
    <t xml:space="preserve">          TOTAL In Service (Enter Total of lines  21 thru 22) </t>
  </si>
  <si>
    <t>Leased to Others</t>
  </si>
  <si>
    <t xml:space="preserve">   Depreciation  (109, 119.1,  119.2)</t>
  </si>
  <si>
    <t xml:space="preserve">   Amortization  (112, 119.1,  119.2)</t>
  </si>
  <si>
    <t xml:space="preserve">          TOTAL Leased to Others (Enter Total of lines 25 and 26)</t>
  </si>
  <si>
    <t>Held for Future Use</t>
  </si>
  <si>
    <t xml:space="preserve">   Depreciation  (110, 119.1, 119.2)</t>
  </si>
  <si>
    <t xml:space="preserve">   Amortization  (113, 119.1,  119.2) </t>
  </si>
  <si>
    <t xml:space="preserve">          TOTAL Held for Future Use (Enter Total of lines 29 and 30)</t>
  </si>
  <si>
    <t xml:space="preserve">   Amort. of Plant Acquisition Adj.</t>
  </si>
  <si>
    <t>Amortization of (Gains) or Losses</t>
  </si>
  <si>
    <t>*</t>
  </si>
  <si>
    <t>8.232 acres of land-Lime Kiln Road, Ramapo</t>
  </si>
  <si>
    <t>Merge South County Water</t>
  </si>
  <si>
    <t>Spring Valley (D)</t>
  </si>
  <si>
    <t>Well</t>
  </si>
  <si>
    <t>Drilled</t>
  </si>
  <si>
    <t>8 &amp; 6</t>
  </si>
  <si>
    <t>See Note A</t>
  </si>
  <si>
    <t>Pump Pulled</t>
  </si>
  <si>
    <t>1A</t>
  </si>
  <si>
    <t>Spring Valley</t>
  </si>
  <si>
    <t>16 &amp; 12 &amp; 10</t>
  </si>
  <si>
    <t>Submersible</t>
  </si>
  <si>
    <t>4. Current and projected customer growth patterns.</t>
  </si>
  <si>
    <t xml:space="preserve">     (a) Income from Nonutility Operations (Accounts 417 and </t>
  </si>
  <si>
    <t>Give the nature and source of each miscellaneous nonoperating</t>
  </si>
  <si>
    <t>Pg 118, L 52 (c)</t>
  </si>
  <si>
    <t xml:space="preserve">          Income Available</t>
  </si>
  <si>
    <t>INTEREST CHARGES</t>
  </si>
  <si>
    <t>Interest on Long-Term Debt</t>
  </si>
  <si>
    <t>long-term debt originally issued.</t>
  </si>
  <si>
    <t xml:space="preserve">  support of research by others performed outside the company,</t>
  </si>
  <si>
    <t>1.  the identity thereof, and the employee group covered (e.g. management, non-management, executive</t>
  </si>
  <si>
    <t xml:space="preserve">     officers, etc.)</t>
  </si>
  <si>
    <t>Page 302-A</t>
  </si>
  <si>
    <t xml:space="preserve">taxable net income as if a separate return were to be filed, indicating, however, intercompany amounts to be eliminated </t>
  </si>
  <si>
    <t>number of bills rendered during the year divided by the</t>
  </si>
  <si>
    <t>"Water Operating Revenues," page 300. If the sales</t>
  </si>
  <si>
    <t>number of billing periods during the year (12 if all billings</t>
  </si>
  <si>
    <t>under any rate schedule are classified in more than one</t>
  </si>
  <si>
    <t>are made monthly).</t>
  </si>
  <si>
    <t>revenue account, list the rate schedule and sales data under</t>
  </si>
  <si>
    <t>MISCELLANEOUS GENERAL EXPENSES</t>
  </si>
  <si>
    <t>GENERAL RENTS</t>
  </si>
  <si>
    <t>EXPENSES OF DATA PROCESSING EQUIPMENT</t>
  </si>
  <si>
    <t xml:space="preserve">     TOTAL OPERATION</t>
  </si>
  <si>
    <t>MAINTENANCE OF GENERAL PLANT</t>
  </si>
  <si>
    <t>14.  If the respondent has any long-term debt securities</t>
  </si>
  <si>
    <t>and 224, Other Long-Term Debt.</t>
  </si>
  <si>
    <t>respect to the amount of bonds or other long-term debt</t>
  </si>
  <si>
    <t xml:space="preserve">       Equity in Earnings of Subsidiary Companies</t>
  </si>
  <si>
    <t xml:space="preserve">    Interest and Dividend Income (419)</t>
  </si>
  <si>
    <t>per Customer</t>
  </si>
  <si>
    <t xml:space="preserve">1.   For each fund at the end of the year, report the balance below.  </t>
  </si>
  <si>
    <t>the print range. This can be corrected by one of two methods: selecting a smaller font size</t>
  </si>
  <si>
    <t>Service Class 1,2,6,7,9,10</t>
  </si>
  <si>
    <t xml:space="preserve">        Residential</t>
  </si>
  <si>
    <t xml:space="preserve">        Commercial</t>
  </si>
  <si>
    <t xml:space="preserve">        Industrial</t>
  </si>
  <si>
    <t>Service Class 3</t>
  </si>
  <si>
    <t>Service Class 4</t>
  </si>
  <si>
    <t>AMOUNTS CHARGED IN CURRENT YEAR</t>
  </si>
  <si>
    <t>Unamortized</t>
  </si>
  <si>
    <t>Internal</t>
  </si>
  <si>
    <t>External</t>
  </si>
  <si>
    <t>Accumulation</t>
  </si>
  <si>
    <t>Page 352</t>
  </si>
  <si>
    <t xml:space="preserve">                        ii.  Other hydroelectric</t>
  </si>
  <si>
    <t>Classification</t>
  </si>
  <si>
    <t>Costs Incurred - Current Year</t>
  </si>
  <si>
    <t xml:space="preserve">  Quantity used for other than pumping</t>
  </si>
  <si>
    <t xml:space="preserve">  Quantity on hand at end of year</t>
  </si>
  <si>
    <t xml:space="preserve">  Avg. fuel or pwr. cost per ....gals.  pumped</t>
  </si>
  <si>
    <t xml:space="preserve">FIRE DATA          </t>
  </si>
  <si>
    <t xml:space="preserve">  Date of largest fire damage during year</t>
  </si>
  <si>
    <t xml:space="preserve">  Number of 250 g.p.m. fire streams used</t>
  </si>
  <si>
    <t xml:space="preserve">  Duration of maximum fire draft (hrs.)</t>
  </si>
  <si>
    <t xml:space="preserve">Signature                                        </t>
  </si>
  <si>
    <t xml:space="preserve">Subscribed and sworn to before me a </t>
  </si>
  <si>
    <t>...................................................</t>
  </si>
  <si>
    <t>1. None</t>
  </si>
  <si>
    <t>4. Reserved</t>
  </si>
  <si>
    <t xml:space="preserve">    (Excl. Preferred Stock)</t>
  </si>
  <si>
    <t>Short-Term Debt</t>
  </si>
  <si>
    <t>Pg 1, L 26, 32</t>
  </si>
  <si>
    <t>Pretax Income</t>
  </si>
  <si>
    <t>Pg 2, L 6, 10, 15 - L 16</t>
  </si>
  <si>
    <t>Interest Expense</t>
  </si>
  <si>
    <t>Pg 2, L 22</t>
  </si>
  <si>
    <t xml:space="preserve">  Maximum daily output of station (Tgals)</t>
  </si>
  <si>
    <t>Pg 122, L 15 (b)  (-)</t>
  </si>
  <si>
    <t>Equity In Loss (Earnings) Of Affiliates</t>
  </si>
  <si>
    <t>Pg 122, L 16 (b)  (-)</t>
  </si>
  <si>
    <t>Other Adjustments</t>
  </si>
  <si>
    <t>Pg 122, L 17 (b)</t>
  </si>
  <si>
    <t>Pg 122. L 18 (b)</t>
  </si>
  <si>
    <t>Pg 122, L 19=&gt;20 (b)</t>
  </si>
  <si>
    <t xml:space="preserve">   Net Cash From Operating Activities</t>
  </si>
  <si>
    <t>Cash Flows From Investing Activities</t>
  </si>
  <si>
    <t>Cash Outflows For Construction</t>
  </si>
  <si>
    <t>Pg 122, L 32 (b)</t>
  </si>
  <si>
    <t>Acquisition Of Other Non-Current Assets</t>
  </si>
  <si>
    <t>Pg 122, L 34=&gt;36 (b)</t>
  </si>
  <si>
    <t>Investments In &amp; Advances to Affiliates.</t>
  </si>
  <si>
    <t>Pg 122, L 37 (b)</t>
  </si>
  <si>
    <t>CURRENT AND ACCRUED ASSETS</t>
  </si>
  <si>
    <t>elsewhere in the report, make a reference to the schedule in</t>
  </si>
  <si>
    <t>guarantee.</t>
  </si>
  <si>
    <t>which it appears.</t>
  </si>
  <si>
    <t xml:space="preserve">   7.  Changes in articles of incorporation or amendments to</t>
  </si>
  <si>
    <t>253</t>
  </si>
  <si>
    <t>Capital Stock Expense</t>
  </si>
  <si>
    <t>254</t>
  </si>
  <si>
    <t>Notes Payable</t>
  </si>
  <si>
    <t>12-86</t>
  </si>
  <si>
    <t>255</t>
  </si>
  <si>
    <t>Long-Term Debt</t>
  </si>
  <si>
    <t>256-257</t>
  </si>
  <si>
    <t>Taxes Accrued, Prepaid and Charged During the Year</t>
  </si>
  <si>
    <t>258-260</t>
  </si>
  <si>
    <t>Other Deferred Credits</t>
  </si>
  <si>
    <t xml:space="preserve">       reported herein.  If the word "none" correctly states the facts in regard to entries for columns (f) through (k), so state.</t>
  </si>
  <si>
    <t>West Nyack, NY 10994</t>
  </si>
  <si>
    <t>TRANSMISSION AND DISTRIBUTION LINE EXPENSES</t>
  </si>
  <si>
    <t>METER EXPENSES</t>
  </si>
  <si>
    <t>CUSTOMER INSTALLATIONS EXPENSE</t>
  </si>
  <si>
    <t>MISC EXPENSES</t>
  </si>
  <si>
    <t>5.  If any person reported hereunder received compensation from more than one affiliated company or was carried on the payroll</t>
  </si>
  <si>
    <t>3.</t>
  </si>
  <si>
    <t>water shed</t>
  </si>
  <si>
    <t>Location</t>
  </si>
  <si>
    <t>construc-</t>
  </si>
  <si>
    <t>Type and</t>
  </si>
  <si>
    <t>Length</t>
  </si>
  <si>
    <t>mum</t>
  </si>
  <si>
    <t>Num-</t>
  </si>
  <si>
    <t>Kind</t>
  </si>
  <si>
    <t>Diameter</t>
  </si>
  <si>
    <t>below</t>
  </si>
  <si>
    <t>sq. miles</t>
  </si>
  <si>
    <t>(village or town)</t>
  </si>
  <si>
    <t>tion</t>
  </si>
  <si>
    <t>material</t>
  </si>
  <si>
    <t>ft.</t>
  </si>
  <si>
    <t>height</t>
  </si>
  <si>
    <t>ber</t>
  </si>
  <si>
    <t>in.</t>
  </si>
  <si>
    <t>surface</t>
  </si>
  <si>
    <t>Impounding Reservoirs</t>
  </si>
  <si>
    <t>Draft during year</t>
  </si>
  <si>
    <t>Draft during reservoir service</t>
  </si>
  <si>
    <t>Designation</t>
  </si>
  <si>
    <t>Report on line 4 the expected return on plan assets (a component of the current-year expense calculation, which should</t>
  </si>
  <si>
    <t>Other Interest Expense (Account 431)</t>
  </si>
  <si>
    <t>Page 320</t>
  </si>
  <si>
    <t>If applicable, see insert page below:</t>
  </si>
  <si>
    <t>Page 217-A</t>
  </si>
  <si>
    <t>CONSTRUCTION OVERHEADS</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</si>
  <si>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</si>
  <si>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</si>
  <si>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3. Furnish particulars (details) concerning sales, purchases, or transfers of Nonutility Property during the year.</t>
  </si>
  <si>
    <t xml:space="preserve">  Amortization of Water Plant</t>
  </si>
  <si>
    <t>209</t>
  </si>
  <si>
    <t>Investments</t>
  </si>
  <si>
    <t>224-225</t>
  </si>
  <si>
    <t>210</t>
  </si>
  <si>
    <t>Non-Utility Property</t>
  </si>
  <si>
    <t>221</t>
  </si>
  <si>
    <t>211</t>
  </si>
  <si>
    <t xml:space="preserve">  2.  Indicate in column (a) the class of plant or operating function</t>
  </si>
  <si>
    <t xml:space="preserve">  for which the project was undertaken, if payments were made in</t>
  </si>
  <si>
    <t>form a part.</t>
  </si>
  <si>
    <t>Other Taxes-Operating</t>
  </si>
  <si>
    <t>Capital Costs</t>
  </si>
  <si>
    <t xml:space="preserve">          Total</t>
  </si>
  <si>
    <t>PERCENT OF REVENUES</t>
  </si>
  <si>
    <t>Unprotected amounts are those accumulated deferred taxes that are not subject to Section 203 (e) of the Tax Reform Act of 1986.</t>
  </si>
  <si>
    <t xml:space="preserve">4. </t>
  </si>
  <si>
    <t>Excess/deficient deferred taxes result when there is a reduction/increase in the statutory income tax rate (e.g.. TRA-86 &amp; Revenue</t>
  </si>
  <si>
    <t>405</t>
  </si>
  <si>
    <t>Plant Acquisition Adjustments</t>
  </si>
  <si>
    <t>Pg 200, L 12, 13 (c)</t>
  </si>
  <si>
    <t>Accum. Gains &amp; Losses -</t>
  </si>
  <si>
    <t xml:space="preserve">      Utility Land &amp; Land Rights</t>
  </si>
  <si>
    <t>Pg 200, L 14 (c)</t>
  </si>
  <si>
    <t>Total Plant</t>
  </si>
  <si>
    <t>Property Tax Deferral per rate case</t>
  </si>
  <si>
    <t xml:space="preserve">     of the change.     State the reason for any charge-off of capital stock expense and specify the account charged.</t>
  </si>
  <si>
    <t>Class and Series of Stock</t>
  </si>
  <si>
    <t>Page 254</t>
  </si>
  <si>
    <t>NOTES PAYABLE (Account 231)</t>
  </si>
  <si>
    <t>Report the particulars indicated concerning notes payable at end of year.</t>
  </si>
  <si>
    <t>Give particulars of collateral pledged, if any.</t>
  </si>
  <si>
    <t>Furnish particulars for any formal or informal compensating balance agreements covering open lines of credit.</t>
  </si>
  <si>
    <t>Accumulated Deferred Balance Beginning of Period - [Debit / (Credit)]</t>
  </si>
  <si>
    <t>Deferral Applicable to Current Year Variation</t>
  </si>
  <si>
    <t xml:space="preserve">  2.  Furnish particulars (details) as to any significant contin-</t>
  </si>
  <si>
    <t xml:space="preserve">     other companies.  Provide a reconciliation of assets</t>
  </si>
  <si>
    <t>Changes, Important During the Year</t>
  </si>
  <si>
    <t xml:space="preserve">   - Investment Advances</t>
  </si>
  <si>
    <t>Civic, Political and Related Activies, Expenditures for</t>
  </si>
  <si>
    <t xml:space="preserve">   - In Associated Companies</t>
  </si>
  <si>
    <t>Commission Expenses, Regulatory</t>
  </si>
  <si>
    <t xml:space="preserve">   - In Securities</t>
  </si>
  <si>
    <t xml:space="preserve">   - Other</t>
  </si>
  <si>
    <t>Compensation, Officers and Directors</t>
  </si>
  <si>
    <t xml:space="preserve">      and show in column (f) only the offset to the debits or credits distributed in column (f) to primary account classifications.</t>
  </si>
  <si>
    <t xml:space="preserve">    of any item which amounts to less than 5% of income. (See General Instruction section 561.7 </t>
  </si>
  <si>
    <t>Other Sales</t>
  </si>
  <si>
    <t xml:space="preserve">     TOTAL  Long-Term Debt ( Total of Lines 16 thru 20)</t>
  </si>
  <si>
    <t>OPERATING RESERVES</t>
  </si>
  <si>
    <t>Obligations Under Capital Leases - Noncurrent</t>
  </si>
  <si>
    <t>Property Insurance Reserve (261)</t>
  </si>
  <si>
    <t xml:space="preserve">  4.  Give a concise explanation of any retained earnings</t>
  </si>
  <si>
    <t>statement except where a note is applicable to more than</t>
  </si>
  <si>
    <t xml:space="preserve">restrictions and state the amount of retained earnings </t>
  </si>
  <si>
    <t>one statement.</t>
  </si>
  <si>
    <t>affected by such restrictions.</t>
  </si>
  <si>
    <t xml:space="preserve"> Line</t>
  </si>
  <si>
    <t>Description and purpose of deposit</t>
  </si>
  <si>
    <t xml:space="preserve">  No.</t>
  </si>
  <si>
    <t xml:space="preserve">    the end of year for each projects in process, of construction.</t>
  </si>
  <si>
    <t>2. Minor projects may be grouped.</t>
  </si>
  <si>
    <t xml:space="preserve">          (Total of lines 32 thru 52)</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</si>
  <si>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</si>
  <si>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</si>
  <si>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</si>
  <si>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</si>
  <si>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</si>
  <si>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</si>
  <si>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DETAIL OF ACCUMULATED PROVISIONS FOR</t>
  </si>
  <si>
    <t>DEPRECIATION &amp;  AMORTIZATION</t>
  </si>
  <si>
    <t>substitute page in the context of a footnote.</t>
  </si>
  <si>
    <t>Particulars (Details)</t>
  </si>
  <si>
    <t>Net Income for the Year (Page 118)</t>
  </si>
  <si>
    <t>Reconciling Items for the Year</t>
  </si>
  <si>
    <t>Taxable Income Not Reported on Books</t>
  </si>
  <si>
    <t>Federal Tax Net Income</t>
  </si>
  <si>
    <t xml:space="preserve">     Include at Other (line 29) net cash outflow to acquire</t>
  </si>
  <si>
    <t xml:space="preserve">         (a) Net proceeds or payments.</t>
  </si>
  <si>
    <t>distributed to bondholders, banking institutions or security analysts, submit that.</t>
  </si>
  <si>
    <t xml:space="preserve">          TOTALS (Accounts 460.2, 461.2)</t>
  </si>
  <si>
    <t xml:space="preserve">          TOTALS (Accounts 460.3, 461.3)</t>
  </si>
  <si>
    <t>Village of Sloatsburg</t>
  </si>
  <si>
    <t xml:space="preserve">   (Liberty Rock - Post Road)</t>
  </si>
  <si>
    <t>Asset Base Difference (non - ITC)</t>
  </si>
  <si>
    <t>Other (specify)</t>
  </si>
  <si>
    <t>ITC</t>
  </si>
  <si>
    <t>Section 46(f)(1) ITC</t>
  </si>
  <si>
    <t>Other Items</t>
  </si>
  <si>
    <t>Gross-up of above amounts for income</t>
  </si>
  <si>
    <t>tax effects; etc.</t>
  </si>
  <si>
    <t>Page 267</t>
  </si>
  <si>
    <t>(Accounts 433, 436 - 439 inclusive).  Show the contra primary</t>
  </si>
  <si>
    <t>amount reserved or appropriated.  If such reservation or ap-</t>
  </si>
  <si>
    <t>account affected in column (b).</t>
  </si>
  <si>
    <t xml:space="preserve">   - Subscribed</t>
  </si>
  <si>
    <t>Income from Non-Utility Operations</t>
  </si>
  <si>
    <t>Cash Flows Statement</t>
  </si>
  <si>
    <t>Investments:</t>
  </si>
  <si>
    <t>Unrecognized Transition Obligation</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</si>
  <si>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</si>
  <si>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</si>
  <si>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</si>
  <si>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</si>
  <si>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</si>
  <si>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 xml:space="preserve">charges during the year.  With respect to long-term </t>
  </si>
  <si>
    <t>to make the necessary amendments or corrections.</t>
  </si>
  <si>
    <t>Fire Protection Service</t>
  </si>
  <si>
    <t>Pg 300, L 5, 6 (d)</t>
  </si>
  <si>
    <t>Pg 300, L 9 (d)</t>
  </si>
  <si>
    <t>Company Profile</t>
  </si>
  <si>
    <t>102-103</t>
  </si>
  <si>
    <t>12-97</t>
  </si>
  <si>
    <t>Officers and Directors and Compensation</t>
  </si>
  <si>
    <t>104-105</t>
  </si>
  <si>
    <t>income taxes of a material amount initiated by the utility.</t>
  </si>
  <si>
    <t>Give also a brief explanation of any dividends in arrears</t>
  </si>
  <si>
    <t>on cumulative preferred stock.</t>
  </si>
  <si>
    <t xml:space="preserve">  during the year.  Report also support given to others during the</t>
  </si>
  <si>
    <t xml:space="preserve">  describing the specific area of R &amp; D (such as safety,</t>
  </si>
  <si>
    <t>107, Construction Work in Progress, first.  Show in column (f)</t>
  </si>
  <si>
    <t>7.  Report separately research and related testing</t>
  </si>
  <si>
    <t xml:space="preserve">  year for jointly-sponsored projects.  (Identify recipient regardless</t>
  </si>
  <si>
    <t xml:space="preserve">  corrosion control, pollution, automation, measurement,</t>
  </si>
  <si>
    <t>the amounts related to the account charged in column (e).</t>
  </si>
  <si>
    <t>facilities operated by the respondent.</t>
  </si>
  <si>
    <t xml:space="preserve">  of affiliation.)  For any R &amp; D work carried on by the respondent</t>
  </si>
  <si>
    <t xml:space="preserve">  insulation, type of appliance, etc.).  Group items under</t>
  </si>
  <si>
    <t xml:space="preserve">  in which there is a sharing of costs with others, show separately</t>
  </si>
  <si>
    <t xml:space="preserve">       Net Interest Charges (Enter Total of lines 55 thru 62)</t>
  </si>
  <si>
    <t>Income Before Extraordinary Items (Total of lines 24, 53 and 63)</t>
  </si>
  <si>
    <t>Extraordinary Income (434)</t>
  </si>
  <si>
    <t xml:space="preserve">   5.  In column (d) specify short tons gallons, or other unit in which quantities of</t>
  </si>
  <si>
    <t xml:space="preserve">   3.  Insert the heading of column (b) preceding the abbreviation "gals." the initial</t>
  </si>
  <si>
    <t>chemicals in column (c) are expressed..</t>
  </si>
  <si>
    <t>Chemicals used</t>
  </si>
  <si>
    <t>Process</t>
  </si>
  <si>
    <t>...........gals.</t>
  </si>
  <si>
    <t>purified</t>
  </si>
  <si>
    <t>Accumulated  Deferred Income Taxes - Debit</t>
  </si>
  <si>
    <t xml:space="preserve">  - Security Holders and Voting Powers</t>
  </si>
  <si>
    <t>tingency relates and the tax effects together with an explana-</t>
  </si>
  <si>
    <t>Adjustments (Explain)</t>
  </si>
  <si>
    <t xml:space="preserve">     Aggregate all other funds.  Indicate nature of any fund included in Account 128, Other Special Funds.</t>
  </si>
  <si>
    <t>2.  Explain, for each fund, any deductions other than withdrawals for the purpose for which the fund was created.</t>
  </si>
  <si>
    <t>where cents are important.  The amounts shown on all supporting schedules shall agree with the item</t>
  </si>
  <si>
    <t>in the statement they support.</t>
  </si>
  <si>
    <t>NYPSC 347-97</t>
  </si>
  <si>
    <t>{Home}</t>
  </si>
  <si>
    <t xml:space="preserve">     listed below</t>
  </si>
  <si>
    <t>Page 106</t>
  </si>
  <si>
    <t>SECURITY HOLDERS AND VOTING POWERS (Continued)</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</si>
  <si>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</si>
  <si>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</si>
  <si>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</si>
  <si>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</si>
  <si>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</si>
  <si>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</si>
  <si>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</si>
  <si>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</si>
  <si>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</si>
  <si>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</si>
  <si>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</si>
  <si>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</si>
  <si>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</si>
  <si>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</si>
  <si>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</si>
  <si>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</si>
  <si>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</si>
  <si>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</si>
  <si>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</si>
  <si>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</si>
  <si>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</si>
  <si>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</si>
  <si>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</si>
  <si>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</si>
  <si>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</si>
  <si>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</si>
  <si>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</si>
  <si>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</si>
  <si>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Page 107</t>
  </si>
  <si>
    <t>IMPORTANT CHANGES DURING THE YEAR</t>
  </si>
  <si>
    <t xml:space="preserve">   Give particulars (details) concerning the matters indicated</t>
  </si>
  <si>
    <t>{Set "Print-Margin-Top";".5in"}</t>
  </si>
  <si>
    <t>{Set "Print-Margin-Bottom";".5in"}</t>
  </si>
  <si>
    <t>{Set "Print-Margin-Right";".5in"}</t>
  </si>
  <si>
    <t>LIST OF SCHEDULES</t>
  </si>
  <si>
    <t>Reference</t>
  </si>
  <si>
    <t>Date</t>
  </si>
  <si>
    <t>Title of Schedule</t>
  </si>
  <si>
    <t>Page No.</t>
  </si>
  <si>
    <t>Revised</t>
  </si>
  <si>
    <t>Remarks</t>
  </si>
  <si>
    <t>(a)</t>
  </si>
  <si>
    <t>(b)</t>
  </si>
  <si>
    <t>(c)</t>
  </si>
  <si>
    <t>(d)</t>
  </si>
  <si>
    <t>General Corporate Information and</t>
  </si>
  <si>
    <t>Financial Statements</t>
  </si>
  <si>
    <t>12-78</t>
  </si>
  <si>
    <t>(321)  Structures and Improvements</t>
  </si>
  <si>
    <t>(321)</t>
  </si>
  <si>
    <t>(322)  Boiler Plant  Equipment</t>
  </si>
  <si>
    <t>(322)</t>
  </si>
  <si>
    <t>(323)  Other Power Production Equipment</t>
  </si>
  <si>
    <t>(323)</t>
  </si>
  <si>
    <t>(324)  Steam  Pumping Equipment</t>
  </si>
  <si>
    <t>(324)</t>
  </si>
  <si>
    <t>(325)  Electric Pumping Equipment</t>
  </si>
  <si>
    <t>(325)</t>
  </si>
  <si>
    <t>(326)  Diesel Pumping Equipment</t>
  </si>
  <si>
    <t>(326)</t>
  </si>
  <si>
    <t>(327)  Hydraulic Pumping Equipment</t>
  </si>
  <si>
    <t>(327)</t>
  </si>
  <si>
    <t>(328)  Other Power Pumping Equipment</t>
  </si>
  <si>
    <t>(328)</t>
  </si>
  <si>
    <t xml:space="preserve">  TOTAL Pumping Equipment  (Total of lines 17 thru 25)</t>
  </si>
  <si>
    <t xml:space="preserve">          4. WATER TREATMENT PLANT</t>
  </si>
  <si>
    <t>EXTRAORDINARY ITEMS (Accounts 434 and 435)</t>
  </si>
  <si>
    <t xml:space="preserve">         Water Produced</t>
  </si>
  <si>
    <t>Sales to Irrigation Customers</t>
  </si>
  <si>
    <t>466</t>
  </si>
  <si>
    <t>Sales for Resale</t>
  </si>
  <si>
    <t>467</t>
  </si>
  <si>
    <t>Interdepartmental Sales</t>
  </si>
  <si>
    <t xml:space="preserve">     Total Sales of Water</t>
  </si>
  <si>
    <t>Report on line 14 the net asset gain or loss deferred during the reporting year for later recognition.  Do not include in this</t>
  </si>
  <si>
    <t>Pension Settlements and Curtailments, Analysis of</t>
  </si>
  <si>
    <t>Water Operating Revenues, Other</t>
  </si>
  <si>
    <t>Plant Data, Miscellaneous</t>
  </si>
  <si>
    <t>Water Purchased</t>
  </si>
  <si>
    <t>Plant Leased to Others</t>
  </si>
  <si>
    <t>Water Treatment System</t>
  </si>
  <si>
    <t>Plant, Other Utility</t>
  </si>
  <si>
    <t>Plant, Summary of</t>
  </si>
  <si>
    <t>Power Purchased for Pumping</t>
  </si>
  <si>
    <t>Premium on Capital Stock</t>
  </si>
  <si>
    <t>302-303</t>
  </si>
  <si>
    <t>Receivables, Notes and Accounts</t>
  </si>
  <si>
    <t>Reconciliation of Reported Net Income with</t>
  </si>
  <si>
    <t xml:space="preserve">    Taxable Income for Federal Income Taxes</t>
  </si>
  <si>
    <t>Research and Development</t>
  </si>
  <si>
    <t xml:space="preserve">Retained Earnings, Statement of </t>
  </si>
  <si>
    <t xml:space="preserve">  - Miscellaneous Service Revenues</t>
  </si>
  <si>
    <t xml:space="preserve">  - New York State Intrastate</t>
  </si>
  <si>
    <t xml:space="preserve">  - Operating</t>
  </si>
  <si>
    <t xml:space="preserve">  - Other</t>
  </si>
  <si>
    <t>Salaries and Wages, Distribution of</t>
  </si>
  <si>
    <t xml:space="preserve">  -  For Resale</t>
  </si>
  <si>
    <t xml:space="preserve">   - By Municipalities</t>
  </si>
  <si>
    <t xml:space="preserve">   - By Rate Schedules</t>
  </si>
  <si>
    <t>Sources of Ground Water Supply</t>
  </si>
  <si>
    <t>Sources of Surface Water Supply</t>
  </si>
  <si>
    <t>Standpipes and Reservoirs, Distribution</t>
  </si>
  <si>
    <t>Summary of Utility Plant</t>
  </si>
  <si>
    <t>B</t>
  </si>
  <si>
    <t xml:space="preserve">of officers and directors included in such list of 10 security </t>
  </si>
  <si>
    <t xml:space="preserve">  2.  Each credit and debit during the year should be iden-</t>
  </si>
  <si>
    <t>Earnings.</t>
  </si>
  <si>
    <t>tified as to the retained earnings account in which recorded</t>
  </si>
  <si>
    <t xml:space="preserve">  7.  Explain in a footnote the basis for determining the </t>
  </si>
  <si>
    <t>11.  Explain any debits and credits other than amortiza-</t>
  </si>
  <si>
    <t>Total Town of Haverstraw</t>
  </si>
  <si>
    <t>Total Town of Orangetown</t>
  </si>
  <si>
    <t>Page 408a</t>
  </si>
  <si>
    <t>total</t>
  </si>
  <si>
    <t>30"</t>
  </si>
  <si>
    <t>Total Town of Ramapo</t>
  </si>
  <si>
    <t>Total Town of Stony Point</t>
  </si>
  <si>
    <t>Than Pensions"  (Case 91-M-0890, issued and effective September 7, 1993).   The amounts reported below are to be consistent with the</t>
  </si>
  <si>
    <t>definitions and intent contained in that Statement.</t>
  </si>
  <si>
    <t>The "rate allowance"  to be reported on Line 2  is the amount which was projected to be charged to expense accounts (i.e., not charged</t>
  </si>
  <si>
    <t>answered.  Enter "none", "not applicable," or "NA" where ap-</t>
  </si>
  <si>
    <t>year or less.  Give reference to State Commission</t>
  </si>
  <si>
    <t>plicable.  If information which answers an inquiry is given</t>
  </si>
  <si>
    <t xml:space="preserve">authorization, as appropriate, and the amount of obligation or </t>
  </si>
  <si>
    <t xml:space="preserve">  Conversion, Premium on Capital Stock, and Installments</t>
  </si>
  <si>
    <t xml:space="preserve">  Received on Capital Stock</t>
  </si>
  <si>
    <t>252</t>
  </si>
  <si>
    <t>Other Paid In Capital</t>
  </si>
  <si>
    <t>Page 412b</t>
  </si>
  <si>
    <t>Page 206a</t>
  </si>
  <si>
    <t>Page 206b</t>
  </si>
  <si>
    <t xml:space="preserve">      c.  other irrevocable actions that relieved the company or the plan of primary  responsibility for a pension obligation</t>
  </si>
  <si>
    <t xml:space="preserve">Year-to-date asset gain or (loss): </t>
  </si>
  <si>
    <t>4.  If assets other than cash comprise any fund, furnish a list of the securities or other assets, giving interest or dividend</t>
  </si>
  <si>
    <t>Contributions &amp;  Advances from Affiliates</t>
  </si>
  <si>
    <t>Pg 122, L 38 (b)</t>
  </si>
  <si>
    <t>Net Proceeds - Sale Or Disposition Of:</t>
  </si>
  <si>
    <t xml:space="preserve">  Property, Plant &amp; Equipment</t>
  </si>
  <si>
    <t>No Entry</t>
  </si>
  <si>
    <t xml:space="preserve">  Investments in Affiliated Companies</t>
  </si>
  <si>
    <t xml:space="preserve">        Aggregate all other funds.</t>
  </si>
  <si>
    <t>N/A</t>
  </si>
  <si>
    <t>Pensions and Benefits</t>
  </si>
  <si>
    <t>Pg 309, L 100 (b)</t>
  </si>
  <si>
    <t xml:space="preserve">     Total Wages and Benefits</t>
  </si>
  <si>
    <t>Other Expenses</t>
  </si>
  <si>
    <t>Total O&amp;M Expenses</t>
  </si>
  <si>
    <t>3. WATER TREATMENT EXPENSES</t>
  </si>
  <si>
    <t>OPERATION</t>
  </si>
  <si>
    <t>CHEMICALS</t>
  </si>
  <si>
    <t>OPERATION AND LABOR EXPENSE</t>
  </si>
  <si>
    <t>TOTAL OPERATION</t>
  </si>
  <si>
    <t>Page 307</t>
  </si>
  <si>
    <t>MAINTENANCE OF WATER TREATMENT EQUIPMENT</t>
  </si>
  <si>
    <t>TOTAL WATER TREATMENT EXPENSES</t>
  </si>
  <si>
    <t>Page 353</t>
  </si>
  <si>
    <t xml:space="preserve">  Number of hydrants used.</t>
  </si>
  <si>
    <t xml:space="preserve">  Total head required for max. fire draft (ft.)</t>
  </si>
  <si>
    <t xml:space="preserve">  zones  designate according to zones.</t>
  </si>
  <si>
    <t>Page 403</t>
  </si>
  <si>
    <t>Page 404</t>
  </si>
  <si>
    <t>WATER TREATMENT SYSTEM</t>
  </si>
  <si>
    <t>3.  If any deposit is held by an associated company, give name of company.</t>
  </si>
  <si>
    <t xml:space="preserve">                                                               Description of Overhead</t>
  </si>
  <si>
    <t>for the Year</t>
  </si>
  <si>
    <t xml:space="preserve">                                                                                    (a)</t>
  </si>
  <si>
    <t>Page 207</t>
  </si>
  <si>
    <t>GENERAL DESCRIPTION OF CONSTRUCTION OVERHEAD PROCEDURE</t>
  </si>
  <si>
    <t xml:space="preserve">     1. For each construction overhead explain: (a) the nature</t>
  </si>
  <si>
    <t xml:space="preserve">     2. Show below the computation of allowance for funds</t>
  </si>
  <si>
    <t>NUMBER OF WATER DEPARTMENT EMPLOYEES</t>
  </si>
  <si>
    <t>1. The data on number of employees should be reported for the payroll period ending December 31, or any payroll period ending 60 days before December 31.</t>
  </si>
  <si>
    <t>Accum. Prov. - Depr. &amp; Amort.</t>
  </si>
  <si>
    <t>Pg 200, L 16 (c)</t>
  </si>
  <si>
    <t xml:space="preserve"> Net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</si>
  <si>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</si>
  <si>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</si>
  <si>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</si>
  <si>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</si>
  <si>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</si>
  <si>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</si>
  <si>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311-312</t>
  </si>
  <si>
    <t>Miscellaneous General Expenses</t>
  </si>
  <si>
    <t>328-330</t>
  </si>
  <si>
    <t>313</t>
  </si>
  <si>
    <t>Reconciliation of Reported Net Income with Taxable Income</t>
  </si>
  <si>
    <t xml:space="preserve">  for Federal Income Taxes</t>
  </si>
  <si>
    <t>314</t>
  </si>
  <si>
    <t>6.  In column(b) show the principal amount of bonds or other</t>
  </si>
  <si>
    <t>10.  Identify separate indisposed amounts applicable to</t>
  </si>
  <si>
    <t>3. Report all available information called for in section C every fifth year beginning with report year 1972, reporting annually only</t>
  </si>
  <si>
    <t>DISTRIBUTION  RESERVOIRS AND STANDPIPES</t>
  </si>
  <si>
    <t xml:space="preserve">1. Show the requested information concerning  structures employed </t>
  </si>
  <si>
    <t>3.  If any property was held at the end of the year under any title other than full</t>
  </si>
  <si>
    <t>for storage of water in connection with the distribution system.</t>
  </si>
  <si>
    <t>Taxes Applic. to Other Income and Deductions</t>
  </si>
  <si>
    <t xml:space="preserve">    Taxes Other Than Income Taxes (408.2)</t>
  </si>
  <si>
    <t xml:space="preserve">     Income Taxes -- Federal (409.2)</t>
  </si>
  <si>
    <t xml:space="preserve">     Income Taxes -- Other (409.2)</t>
  </si>
  <si>
    <t>Major operating divisions and functions are as follows:</t>
  </si>
  <si>
    <t>a. Customer Service</t>
  </si>
  <si>
    <t>b. Operations, including Water Quality, Production, Construction and Distribution</t>
  </si>
  <si>
    <t>c. Administration and Reporting</t>
  </si>
  <si>
    <t>d. Finance</t>
  </si>
  <si>
    <t>e. Legal</t>
  </si>
  <si>
    <t>f. Engineering</t>
  </si>
  <si>
    <t>a. See page 103.</t>
  </si>
  <si>
    <t>c. None</t>
  </si>
  <si>
    <t>Water Service for Domestic, Industrial and Municipal use.</t>
  </si>
  <si>
    <t xml:space="preserve">   Special Franchise</t>
  </si>
  <si>
    <t>Provide separate headings and totals for Accounts 145, Notes Receivable from Associated Companies, and 146, Accounts</t>
  </si>
  <si>
    <t>Receivable from Associated Companies, in addition to a total for the combined accounts.</t>
  </si>
  <si>
    <t>For notes receivable list each note separately and state purpose for which received.  Show also in column (a) date of note, date</t>
  </si>
  <si>
    <t>to the terms of a pension plan and based on employees' compensation and service to that date (salary progression is not</t>
  </si>
  <si>
    <t>considered in making this computation).</t>
  </si>
  <si>
    <t>PLAN</t>
  </si>
  <si>
    <t>Report on line 2 the actuarial present value of all benefits attributed to employee service up to a specific date, based on the</t>
  </si>
  <si>
    <t>Accumulated Benefit Obligation</t>
  </si>
  <si>
    <t>$</t>
  </si>
  <si>
    <t xml:space="preserve">terms of the plan including salary progression factor for final pay and career average pay plans. </t>
  </si>
  <si>
    <t>ADJUSTMENTS</t>
  </si>
  <si>
    <t xml:space="preserve">                           Debits</t>
  </si>
  <si>
    <t xml:space="preserve">                          Credits</t>
  </si>
  <si>
    <t>Debited To</t>
  </si>
  <si>
    <t>Credited To</t>
  </si>
  <si>
    <t>Acct.</t>
  </si>
  <si>
    <t>Account 410.1</t>
  </si>
  <si>
    <t>Account 411.1</t>
  </si>
  <si>
    <t xml:space="preserve">  Avg. fuel or pwr. cost per T gals.  pumped</t>
  </si>
  <si>
    <t>Page 404a</t>
  </si>
  <si>
    <t>Lake Shore</t>
  </si>
  <si>
    <t>Wesel</t>
  </si>
  <si>
    <t>Bardonia</t>
  </si>
  <si>
    <t xml:space="preserve"> Cottage</t>
  </si>
  <si>
    <t>Booster</t>
  </si>
  <si>
    <t xml:space="preserve">(h) </t>
  </si>
  <si>
    <t xml:space="preserve">(j) </t>
  </si>
  <si>
    <t xml:space="preserve">(l) </t>
  </si>
  <si>
    <t xml:space="preserve">(m) </t>
  </si>
  <si>
    <t>Page 404b</t>
  </si>
  <si>
    <t>Lake DeForest</t>
  </si>
  <si>
    <t>Filtration</t>
  </si>
  <si>
    <t>West Gate</t>
  </si>
  <si>
    <t>Grotke Road</t>
  </si>
  <si>
    <t>Rt 59</t>
  </si>
  <si>
    <t>Plant</t>
  </si>
  <si>
    <t>42A/54</t>
  </si>
  <si>
    <t xml:space="preserve">(r) </t>
  </si>
  <si>
    <t xml:space="preserve">(s) </t>
  </si>
  <si>
    <t xml:space="preserve">(v) </t>
  </si>
  <si>
    <t xml:space="preserve">(w) </t>
  </si>
  <si>
    <t>Orangetown</t>
  </si>
  <si>
    <t>Chestnut Ridge</t>
  </si>
  <si>
    <t>Ramapo</t>
  </si>
  <si>
    <t>Page 404c</t>
  </si>
  <si>
    <t>New Hempstead</t>
  </si>
  <si>
    <t>Pomona Camp</t>
  </si>
  <si>
    <t xml:space="preserve">High </t>
  </si>
  <si>
    <t xml:space="preserve">Hill Wells </t>
  </si>
  <si>
    <t>18/24</t>
  </si>
  <si>
    <t>37/38</t>
  </si>
  <si>
    <t>67/78</t>
  </si>
  <si>
    <t>(aa)</t>
  </si>
  <si>
    <t xml:space="preserve">      Plant Purchased or Sold; and Account 106, Completed Construction Not Classified.</t>
  </si>
  <si>
    <t>Page 200</t>
  </si>
  <si>
    <t>Page 201</t>
  </si>
  <si>
    <t>WATER  PLANT IN SERVICE (Accounts 101, 102, and 106)</t>
  </si>
  <si>
    <t xml:space="preserve">  the nature of items included in this account, the contra</t>
  </si>
  <si>
    <t>Report on line 27 the dollar amount included on line 26 which has been capitalized.</t>
  </si>
  <si>
    <t>Amortization of Unrecognized Prior Service Cost</t>
  </si>
  <si>
    <t>12-95</t>
  </si>
  <si>
    <t>Security Holders and Voting Powers</t>
  </si>
  <si>
    <t>106-107</t>
  </si>
  <si>
    <t>Important Changes During the Year</t>
  </si>
  <si>
    <t>108-109</t>
  </si>
  <si>
    <t>Reconciliation between PSC and Stockholders Report</t>
  </si>
  <si>
    <t>110-113</t>
  </si>
  <si>
    <t>Comparative Balance Sheet</t>
  </si>
  <si>
    <t>12-90</t>
  </si>
  <si>
    <t>114-115</t>
  </si>
  <si>
    <t>Comparative Statement of Income for the Year</t>
  </si>
  <si>
    <t>12-94</t>
  </si>
  <si>
    <t>116-119</t>
  </si>
  <si>
    <t>Comparative Statement of Retained Earnings for the Year</t>
  </si>
  <si>
    <t>118-119</t>
  </si>
  <si>
    <t>120-121</t>
  </si>
  <si>
    <t>New York State Intrastate Revenue</t>
  </si>
  <si>
    <t>121</t>
  </si>
  <si>
    <t>Statement of Cash Flows</t>
  </si>
  <si>
    <t>122-123</t>
  </si>
  <si>
    <t>Notes to the Financial Statements</t>
  </si>
  <si>
    <t>124-125</t>
  </si>
  <si>
    <t>Balance Sheet Supporting Schedules (Assets</t>
  </si>
  <si>
    <t>and Other Debits)</t>
  </si>
  <si>
    <t>which such costs were incurred. For indirect construction overheads incurred</t>
  </si>
  <si>
    <t xml:space="preserve">      plant is removed from service.  If the respondent has a significant amount of plant retired at year end which has not been recorded and/or</t>
  </si>
  <si>
    <t xml:space="preserve">      classified to the various reserve functional classifications, make preliminary closing entries to tentatively functionalize the book cost of the</t>
  </si>
  <si>
    <t>SALES OF WATER BY MUNICIPALITIES</t>
  </si>
  <si>
    <t>Donations Received from Stockholders (Account 208)</t>
  </si>
  <si>
    <t>Subtotal</t>
  </si>
  <si>
    <t>Reduction in Par or Stated Value of Common Stock (Account 209)</t>
  </si>
  <si>
    <t>Gain on Resale or Cancellation of Reacquired Capital Stock (Account 210)</t>
  </si>
  <si>
    <t>Net Periodic Pension Cost:</t>
  </si>
  <si>
    <t>10.</t>
  </si>
  <si>
    <t>On line 22, the term "Minimum Required Contribution" shall mean the payment by the employer to its employees' pension</t>
  </si>
  <si>
    <t>Service Cost</t>
  </si>
  <si>
    <t>fund necessary to meet the requirement set forth in the Employee Retirement Income Security Act of 1974.</t>
  </si>
  <si>
    <t>Interest Cost</t>
  </si>
  <si>
    <t>11.</t>
  </si>
  <si>
    <t>103 Water Plant in Process of Reclassification</t>
  </si>
  <si>
    <t>109 Accumulated Provision for Depreciation of</t>
  </si>
  <si>
    <t xml:space="preserve">    Plant Leased to Others</t>
  </si>
  <si>
    <t>104 Plant Leased to Others</t>
  </si>
  <si>
    <t>110 Accumulated Provision for Depreciation of</t>
  </si>
  <si>
    <t>105 Plant Held for Future Use</t>
  </si>
  <si>
    <t xml:space="preserve">    Plant Held for Future Use</t>
  </si>
  <si>
    <t>114 Plant Acquisition Adjustments</t>
  </si>
  <si>
    <t>The amount reported on Line 9 should be the same amount as that reported on Line 4 on Page 364.</t>
  </si>
  <si>
    <t xml:space="preserve">(b)   </t>
  </si>
  <si>
    <t>EXTERNALLY HELD OPEB DEDICATED FUNDS OR TRUSTS</t>
  </si>
  <si>
    <t>Sold To</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</si>
  <si>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</si>
  <si>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</si>
  <si>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</si>
  <si>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</si>
  <si>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Village of Pomona (Haverstraw)</t>
  </si>
  <si>
    <t>164'-6" Dia. x 31'-5" High</t>
  </si>
  <si>
    <t xml:space="preserve">          TOTAL (Account 474)</t>
  </si>
  <si>
    <t>Page 306</t>
  </si>
  <si>
    <t>Pg 115, L 3, (d)</t>
  </si>
  <si>
    <t>Other Paid-in Capital</t>
  </si>
  <si>
    <t>Pg 115, L 4=&gt;8 - L 9=&gt;10 (d)</t>
  </si>
  <si>
    <t>delivery of water from the distribution mains.  If the respondent has two or more</t>
  </si>
  <si>
    <t>Payroll Taxes Other</t>
  </si>
  <si>
    <t>TOTAL TRANSMISSION &amp; DISTRIBUTION EXPENSE</t>
  </si>
  <si>
    <t>5. CUSTOMER ACCOUNTS EXPENSES</t>
  </si>
  <si>
    <t>SUPERVISION</t>
  </si>
  <si>
    <t>METER READING EXPENSES</t>
  </si>
  <si>
    <t>CUSTOMER RECORDS AND COLLECTION EXPENSES</t>
  </si>
  <si>
    <t>UNCOLLECTIBLE ACCOUNTS</t>
  </si>
  <si>
    <t>MISC CUSTOMER ACCOUNT EXPENSES</t>
  </si>
  <si>
    <t>TOTAL CUSTOMER ACCOUNT EXPENSES</t>
  </si>
  <si>
    <t>Page 308</t>
  </si>
  <si>
    <t xml:space="preserve">          Total Other Property and Investments</t>
  </si>
  <si>
    <t>Formula</t>
  </si>
  <si>
    <t>Cash and Cash Equivalents</t>
  </si>
  <si>
    <t>Pg 114, L 16=&gt;21 (d)</t>
  </si>
  <si>
    <t>Notes and Accounts Receivables - Net</t>
  </si>
  <si>
    <t>Pg 114, L 22=&gt;24 (d) - L 25 (d)</t>
  </si>
  <si>
    <t>Pg 114, L 26, 27 (d)</t>
  </si>
  <si>
    <t>Materials and Supplies</t>
  </si>
  <si>
    <t>Pg 114, L 28 (d)</t>
  </si>
  <si>
    <t>Taxes Accrued (236)</t>
  </si>
  <si>
    <t>3.  Include in column (c) or (d), as appropriate, corrections of additions and retirements for the current or preceding year.</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</si>
  <si>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</si>
  <si>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</si>
  <si>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</si>
  <si>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shall be understood to mean the reporting utility.</t>
  </si>
  <si>
    <t xml:space="preserve">4.     If the report is made for a period other than the calendar year, the period covered must be clearly </t>
  </si>
  <si>
    <t>stated on the front cover and elsewhere throughout the report where the period covered is shown.  When</t>
  </si>
  <si>
    <t xml:space="preserve">113 Accumulated Provision for Amortization of </t>
  </si>
  <si>
    <t>compensation from the respondent.</t>
  </si>
  <si>
    <t xml:space="preserve">       in column (e) list the amounts in columns (f) through (k) with the footnotes necessary to explain the essentials of the plan,</t>
  </si>
  <si>
    <t>Subdivisions</t>
  </si>
  <si>
    <t>or other assets owned by the respondent, including prices,</t>
  </si>
  <si>
    <t xml:space="preserve">               Total Water Plant in Service</t>
  </si>
  <si>
    <t>MISCELLANEOUS PLANT DATA</t>
  </si>
  <si>
    <t>MISCELLANEOUS PLANT DATA (Continued)</t>
  </si>
  <si>
    <t>Furnish a summary statement for each of the accounts listed here if a balance was carried over at any time</t>
  </si>
  <si>
    <t>during the year.  There should be a brief description and amounts, of transactions earned through</t>
  </si>
  <si>
    <t>Page 312</t>
  </si>
  <si>
    <t>MISCELLANEOUS GENERAL EXPENSES  (Account 930)</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</si>
  <si>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</si>
  <si>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</si>
  <si>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</si>
  <si>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</si>
  <si>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</si>
  <si>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</si>
  <si>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mission authorization, if any was required.  State also the ap-</t>
  </si>
  <si>
    <t>SALES OF WATER BY MUNICIPALITIES (CONTINUED)</t>
  </si>
  <si>
    <t xml:space="preserve">  5.  Give concise explanations concerning significant</t>
  </si>
  <si>
    <t>Report on lines 19 through 21 and lines 29 through 32 the number of persons covered by the plan at the beginning of the policy</t>
  </si>
  <si>
    <t>Expected Long-Term Rate of Return on Assets</t>
  </si>
  <si>
    <t>Salary Progression Rate (if applicable)</t>
  </si>
  <si>
    <t>9.</t>
  </si>
  <si>
    <t>designate the department or departments which use the class of material.</t>
  </si>
  <si>
    <t xml:space="preserve">2.  Give an explanation of important inventory adjustments during the year (in a footnote) showing </t>
  </si>
  <si>
    <t>Tallman 26</t>
  </si>
  <si>
    <t>Catamount 42A &amp; 54A</t>
  </si>
  <si>
    <t>Camp Hill 37 &amp; 38</t>
  </si>
  <si>
    <t>Viola 28</t>
  </si>
  <si>
    <t>Clearwell for entrained air</t>
  </si>
  <si>
    <t>Viola 106</t>
  </si>
  <si>
    <t>Monsey 30</t>
  </si>
  <si>
    <t xml:space="preserve">Monsey 31A </t>
  </si>
  <si>
    <t>Carbon Filter</t>
  </si>
  <si>
    <t>Saddle River 53</t>
  </si>
  <si>
    <t>Cherry Lane 68</t>
  </si>
  <si>
    <t>Eckerson 71</t>
  </si>
  <si>
    <t>Rustic 72</t>
  </si>
  <si>
    <t>Ramapo Valley</t>
  </si>
  <si>
    <t>86, 87,88,89,90</t>
  </si>
  <si>
    <t>Blauvelt 15</t>
  </si>
  <si>
    <t>UV &amp; Carbon Filter</t>
  </si>
  <si>
    <t>Pearl River 22</t>
  </si>
  <si>
    <t>Tappan 16&amp;20</t>
  </si>
  <si>
    <t>Town  of Clarkstown</t>
  </si>
  <si>
    <t xml:space="preserve">Bardonia 19 </t>
  </si>
  <si>
    <t>TOTAL Water (Total of lines 2 through 24)</t>
  </si>
  <si>
    <t>Other (Specify) FAS 109</t>
  </si>
  <si>
    <t>Deductions Recorded on Books, Not Deducted for Return</t>
  </si>
  <si>
    <t>Income Recorded on Books, Not Included in Return</t>
  </si>
  <si>
    <t>Deductions Recorded on Return, Not Charged Against Book Income</t>
  </si>
  <si>
    <t xml:space="preserve">   9.  State briefly the status of any materially important legal</t>
  </si>
  <si>
    <t>reorganization, merger, or consolidation with other companies:</t>
  </si>
  <si>
    <t>proceedings pending at the end of the year, and the results of</t>
  </si>
  <si>
    <t>The pages in WATERAR.XLS are separated by Tabs.  The names of the Tabs are arranged by page number.  The Table of Contents in the file (Tab called Schedules) provides the Description of each Schedule and Page Number of the Schedule.</t>
  </si>
  <si>
    <t>The file includes a tab called a Data Sheet.  The completion of the Data Sheet will automatically transfer your company's name and year of the  report to each page of the annual report.  The file has not been protected.  Therefore, please refrain from inserting or deleting rows or columns.</t>
  </si>
  <si>
    <t>If applicable, see insert pages below:</t>
  </si>
  <si>
    <t>Page 264-A</t>
  </si>
  <si>
    <t>Page 265-A</t>
  </si>
  <si>
    <t>Excess/Deficient Deferred Federal Income Tax Balances*</t>
  </si>
  <si>
    <t xml:space="preserve">1. </t>
  </si>
  <si>
    <t>Report below the specified excess/deficient accumulated deferred Federal income taxes as of December 31 of the reporting year.</t>
  </si>
  <si>
    <t xml:space="preserve">2. </t>
  </si>
  <si>
    <t>Report on Line 9 the expected long-term return on plan assets.</t>
  </si>
  <si>
    <t>Unrecognized Gains or (Losses)</t>
  </si>
  <si>
    <t>7.</t>
  </si>
  <si>
    <t>Other Cash Flows - Investing Activities</t>
  </si>
  <si>
    <t>Report the requested data concerning Postretirement Benefits Other than Pensions</t>
  </si>
  <si>
    <t xml:space="preserve">    Assigned to - Construction (Estimated)</t>
  </si>
  <si>
    <t xml:space="preserve">    Assigned to - Operations and Maintenance</t>
  </si>
  <si>
    <t xml:space="preserve">      Production Plant (Estimated)</t>
  </si>
  <si>
    <t xml:space="preserve">      Transmission Plant (Estimated) </t>
  </si>
  <si>
    <t xml:space="preserve">  417.1) - Describe each nonutility operation, maintenance,</t>
  </si>
  <si>
    <t>income, and the amount thereof for the year.  Minor items may be</t>
  </si>
  <si>
    <t xml:space="preserve">  depreciation, rents, amortization and net income, before</t>
  </si>
  <si>
    <t>grouped.</t>
  </si>
  <si>
    <t>Income from Nonutility Operations (Accounts 417 and 417.1)</t>
  </si>
  <si>
    <t>Miscellaneous Nonoperating Income (Account 421)</t>
  </si>
  <si>
    <t>Page 316</t>
  </si>
  <si>
    <t>GAIN OR LOSS ON DISPOSITION OF PROPERTY  (Accounts421.1 and 421.2)</t>
  </si>
  <si>
    <t>1. Give a brief description of property creating the gain or</t>
  </si>
  <si>
    <t>6. SALES EXPENSES</t>
  </si>
  <si>
    <t>SALES EXPENSES</t>
  </si>
  <si>
    <t>7. ADMINISTRATIVE AND GENERAL EXPENSES</t>
  </si>
  <si>
    <t>ADMINISTRATION &amp; GENERAL SALARIES</t>
  </si>
  <si>
    <t>OFFICE SUPPLIES &amp; OTHER EXPENSES</t>
  </si>
  <si>
    <t xml:space="preserve">     climatological conditions, etc.  Well yields are also affected by these conditions.</t>
  </si>
  <si>
    <t>(B) Approximate ground surface elevations.</t>
  </si>
  <si>
    <t xml:space="preserve">  (See definition of research, development, and demonstration in</t>
  </si>
  <si>
    <t>Capital Stock Subscribed, Capital Stock Liability for</t>
  </si>
  <si>
    <t>Interest Rate Applied to NYS Jurisdiction Internal Reserve Balance</t>
  </si>
  <si>
    <t>NET PERIODIC OPEB COST</t>
  </si>
  <si>
    <t>Actual Return on Plan Assets [ (Gain) or Loss ]</t>
  </si>
  <si>
    <t>Amortization of (Gains) or Losses from Earlier Periods</t>
  </si>
  <si>
    <t>Net Periodic OPEB Cost</t>
  </si>
  <si>
    <t>Page 364</t>
  </si>
  <si>
    <t>ANALYSIS OF OPEB COSTS, FUNDING AND DEFERRALS (Continued)</t>
  </si>
  <si>
    <t>DeForest</t>
  </si>
  <si>
    <t>Town of</t>
  </si>
  <si>
    <t>Pg 123, L 47=&gt;49 (b)</t>
  </si>
  <si>
    <t>Pg 123, L 50=&gt;52 (b)</t>
  </si>
  <si>
    <t>tion , and reference to Commission authorization.</t>
  </si>
  <si>
    <t xml:space="preserve">     Sec. 186 (Gross Earnings)</t>
  </si>
  <si>
    <t xml:space="preserve">     Sec. 186 (Excess Dividends)</t>
  </si>
  <si>
    <t xml:space="preserve">   MTA Surcharge</t>
  </si>
  <si>
    <t xml:space="preserve">   Unemployment Insurance</t>
  </si>
  <si>
    <t xml:space="preserve">   Disability Insurance</t>
  </si>
  <si>
    <t xml:space="preserve">   Sales and Use</t>
  </si>
  <si>
    <t xml:space="preserve">   Petroleum Business Tax - New York</t>
  </si>
  <si>
    <t>Local:</t>
  </si>
  <si>
    <t xml:space="preserve">   Real Estate</t>
  </si>
  <si>
    <t>Net Income (after taxes)</t>
  </si>
  <si>
    <t>Page 315</t>
  </si>
  <si>
    <t>PARTICULARS CONCERNING CERTAIN OTHER INCOME ACCOUNTS</t>
  </si>
  <si>
    <t xml:space="preserve">  Report the information specified below, in the order</t>
  </si>
  <si>
    <t xml:space="preserve">    State balance and purpose of each appropriated retained earnings amount at end of year and give </t>
  </si>
  <si>
    <t>Total Operation and Maintenance</t>
  </si>
  <si>
    <t xml:space="preserve">          TOTAL Oper. and Maint.  (Total of lines 19 thru 25)</t>
  </si>
  <si>
    <t>Construction (By Utility Departments)</t>
  </si>
  <si>
    <t xml:space="preserve">     Water Plant</t>
  </si>
  <si>
    <t xml:space="preserve">     Other</t>
  </si>
  <si>
    <t xml:space="preserve">          TOTAL Construction (Total of lines 29 thru 30)</t>
  </si>
  <si>
    <t>Plant Removal (By Utility Departments)</t>
  </si>
  <si>
    <t xml:space="preserve">          TOTAL Plant Removal (Total of lines 33 thru 34)</t>
  </si>
  <si>
    <t xml:space="preserve">          TOTAL Salaries and Wages</t>
  </si>
  <si>
    <t>Page 354</t>
  </si>
  <si>
    <t>CHARGES FOR OUTSIDE PROFESSIONAL AND OTHER CONSULTATIVE SERVICES</t>
  </si>
  <si>
    <t>Total Village of Grandview</t>
  </si>
  <si>
    <t>Village of Kaser</t>
  </si>
  <si>
    <t>Total Village of  Kaser</t>
  </si>
  <si>
    <t>Page 408b</t>
  </si>
  <si>
    <t>1/2"</t>
  </si>
  <si>
    <t>Total Village of Haverstraw</t>
  </si>
  <si>
    <t>Payroll Taxes Capitalized</t>
  </si>
  <si>
    <t>Sales Tax Charged to Operations</t>
  </si>
  <si>
    <t>specified by beginning and ending dates, and (5) amount of the current year's amortization.</t>
  </si>
  <si>
    <t>Total Number of Company Employees at Beginning of Policy Year</t>
  </si>
  <si>
    <t xml:space="preserve"> *  Specify in the space below the reason(s) for any difference between the amounts reported</t>
  </si>
  <si>
    <t xml:space="preserve">     on lines 23(b) and 24(b).</t>
  </si>
  <si>
    <t>Page 359</t>
  </si>
  <si>
    <t>Page 360</t>
  </si>
  <si>
    <t>If required, see insert page below.</t>
  </si>
  <si>
    <t>Page 359-A</t>
  </si>
  <si>
    <t xml:space="preserve">     Changes (Identify by prescribed retained earnings accounts)</t>
  </si>
  <si>
    <t xml:space="preserve">  amortization of amounts deferred in previous years.</t>
  </si>
  <si>
    <t xml:space="preserve">  amortization.</t>
  </si>
  <si>
    <t>plant, or other accounts.</t>
  </si>
  <si>
    <t>Account 410.2</t>
  </si>
  <si>
    <t>curtailments or suspensions of pensions or pension obligations during the year.  If none have occurred, state "none" on line 5.  If</t>
  </si>
  <si>
    <t>ESTIMATE OF SETTLEMENT GAIN OR LOSS</t>
  </si>
  <si>
    <t xml:space="preserve">they qualified as "small settlements" under SFAS-88 and the company elected not to recognize the gain or loss, state "none" on </t>
  </si>
  <si>
    <t xml:space="preserve">                                                  TOTALS</t>
  </si>
  <si>
    <t>Balance End</t>
  </si>
  <si>
    <t>Deficient Deferred FIT Balance</t>
  </si>
  <si>
    <t>208</t>
  </si>
  <si>
    <t xml:space="preserve">Accumulated Provision for Depreciation and </t>
  </si>
  <si>
    <t>217</t>
  </si>
  <si>
    <t>1. Give below a brief description of each item included in accounts 434, Extraordinary Income and 435,</t>
  </si>
  <si>
    <t xml:space="preserve">    Extraordinary Deductions.</t>
  </si>
  <si>
    <t>2. Give reference to Commission approval, including date of approval, for extraordinary treatment</t>
  </si>
  <si>
    <t>Affected</t>
  </si>
  <si>
    <t>UNAPPROPRIATED RETAINED EARNINGS (Account 216)</t>
  </si>
  <si>
    <t>Balance -- Beginning of Year</t>
  </si>
  <si>
    <t>Pg 123, L 58, 61, 62, 70, 73, 74 (b)</t>
  </si>
  <si>
    <t xml:space="preserve">  Common Stock</t>
  </si>
  <si>
    <t>Pg 123, L 60+72 (b)</t>
  </si>
  <si>
    <t xml:space="preserve">  Preferred Stock</t>
  </si>
  <si>
    <t>Pg 123, L 59+71 (b)</t>
  </si>
  <si>
    <t xml:space="preserve">  Short-Term Debt</t>
  </si>
  <si>
    <t>Pg 123, L 63, 75 (b)</t>
  </si>
  <si>
    <t>Dividends Paid</t>
  </si>
  <si>
    <t>Pg 123, L 77, 78 (b)</t>
  </si>
  <si>
    <t>Other Cash Flows - Financing Activities</t>
  </si>
  <si>
    <t>Pg 123, L 64=&gt;66, 76 (b)</t>
  </si>
  <si>
    <t xml:space="preserve">   Net Cash From Financing Activities</t>
  </si>
  <si>
    <t>Net Increase/(Decrease) In Cash Equivalents</t>
  </si>
  <si>
    <t>Cash &amp; Cash Equivalents At Beginning Of Year</t>
  </si>
  <si>
    <t xml:space="preserve">12.  In a footnote, give explanatory </t>
  </si>
  <si>
    <t>15.  If interest expense was incurred during the year on</t>
  </si>
  <si>
    <t xml:space="preserve">          TOTAL Operation (Enter Total of lines 3 thru 9)</t>
  </si>
  <si>
    <t>Maintenance</t>
  </si>
  <si>
    <t xml:space="preserve">          TOTAL Maint. (Total of lines 12 thru 16)</t>
  </si>
  <si>
    <t>Customer Main Extension Surcharge</t>
  </si>
  <si>
    <t>Average Number of Customers</t>
  </si>
  <si>
    <t>Account Title</t>
  </si>
  <si>
    <t>for</t>
  </si>
  <si>
    <t>SALES OF WATER</t>
  </si>
  <si>
    <t>460.1, 461.1</t>
  </si>
  <si>
    <t>Residential Sales</t>
  </si>
  <si>
    <t>460.2, 461.2</t>
  </si>
  <si>
    <t>Commercial Sales</t>
  </si>
  <si>
    <t>460.3, 461.3</t>
  </si>
  <si>
    <t>Industrial Sales</t>
  </si>
  <si>
    <t>462</t>
  </si>
  <si>
    <t>Private Fire Protection Service</t>
  </si>
  <si>
    <t>463</t>
  </si>
  <si>
    <t>Accumulated Deferred Income Taxes (281 - 283)</t>
  </si>
  <si>
    <t>4.  Enclose in parentheses credit adjustments of plant accounts to indicate the negative effect of such accounts.</t>
  </si>
  <si>
    <t xml:space="preserve">    Nonutility Operating Income</t>
  </si>
  <si>
    <t>14.</t>
  </si>
  <si>
    <t>Pretax gain recognizable in current income: (13) x (14)</t>
  </si>
  <si>
    <t>15.</t>
  </si>
  <si>
    <t xml:space="preserve">Attach herein (following this page) the respondent's latest annual report to stockholders. If such a report is not prepared, but if audited annual financial statements on which a certified public accountant expresses an opinion are regularly prepared and </t>
  </si>
  <si>
    <t>Indicate with an asterisk (*) in column (a) those directors who were members of the executive committee, if any,</t>
  </si>
  <si>
    <t xml:space="preserve">       an affiliated company, details shall be given in a note.</t>
  </si>
  <si>
    <t xml:space="preserve">     of an affiliated company, details shall be given in a note.</t>
  </si>
  <si>
    <t>securities give particulars (details) in a footnote</t>
  </si>
  <si>
    <t>concerning long-term debt included in Accounts 221, Bonds, 222,</t>
  </si>
  <si>
    <t>DISTRIBUTION OF WATER REVENUES</t>
  </si>
  <si>
    <t>Sales (Thousands of Gallons)</t>
  </si>
  <si>
    <t>Income Taxes-Operating</t>
  </si>
  <si>
    <t>revenues received or costs incurred for water pur-</t>
  </si>
  <si>
    <t>allocations and apportionments from those used in the preceding</t>
  </si>
  <si>
    <t>utility column (i, k, m, o) in a similar manner to a utility depart-</t>
  </si>
  <si>
    <t>WATER OPERATING REVENUES (Account 400)</t>
  </si>
  <si>
    <t>1.  Report below water operating revenues for the year for each account.</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</si>
  <si>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</si>
  <si>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</si>
  <si>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3.  Purchase or sale of an operating unit or system:  Give a </t>
  </si>
  <si>
    <t>an officer, director, security holder reported on page 106, voting</t>
  </si>
  <si>
    <t xml:space="preserve">  Water pumps with slip (.....gals.)</t>
  </si>
  <si>
    <t xml:space="preserve">  Water pumps without slip (.....gals.)</t>
  </si>
  <si>
    <t xml:space="preserve">  Water pumps by sta. mass (.....gals.)</t>
  </si>
  <si>
    <t xml:space="preserve">  How measured</t>
  </si>
  <si>
    <t xml:space="preserve">  Average daily for each pump  (gals...........)</t>
  </si>
  <si>
    <t>Above Sea Level</t>
  </si>
  <si>
    <t>-Total PW, Fuel and Chemicals</t>
  </si>
  <si>
    <t>-Wages and Benefits</t>
  </si>
  <si>
    <t xml:space="preserve">     Other Expenses</t>
  </si>
  <si>
    <t>Depreciation and Amortization</t>
  </si>
  <si>
    <t>Depreciation Exp</t>
  </si>
  <si>
    <t xml:space="preserve">     Total Depre and Amort</t>
  </si>
  <si>
    <t>Income Taxes- Operating</t>
  </si>
  <si>
    <t>COMPARATIVE STATEMENT OF UTILITY PLANT AND SELECTED RATIOS</t>
  </si>
  <si>
    <t>Plant in Service</t>
  </si>
  <si>
    <t>operations cease during the year because of the disposition of property the balance sheet and sup-</t>
  </si>
  <si>
    <t>MAINTENANCE OF LAKE, RIVER &amp; OTHER INTAKES</t>
  </si>
  <si>
    <t>MAINTENANCE OF WELLS &amp; SPRINGS</t>
  </si>
  <si>
    <t>MAINTENANCE OF INFILTRATION GALLERIES &amp; TUNNELS</t>
  </si>
  <si>
    <t>MAINTENANCE OF SUPPLY MAINS</t>
  </si>
  <si>
    <t>MAINTENANCE OF MISCELLANEOUS WATER RESOURCE PLANT</t>
  </si>
  <si>
    <t>TOTAL MAINTENANCE</t>
  </si>
  <si>
    <t>Page 313</t>
  </si>
  <si>
    <t>Investments in Associated Companies (123)</t>
  </si>
  <si>
    <t>Investment in Subsidiary Companies (123.1)</t>
  </si>
  <si>
    <t>Other Investments (124)</t>
  </si>
  <si>
    <t>Sinking Funds (125)</t>
  </si>
  <si>
    <t>Depreciation Funds (126)</t>
  </si>
  <si>
    <t>Other Special Funds (128)</t>
  </si>
  <si>
    <t xml:space="preserve">     TOTAL Other Property and Investments (Total of lines 6 thru 13)</t>
  </si>
  <si>
    <t>Prov. for Uncollectibles for Year</t>
  </si>
  <si>
    <t>RECEIVABLES FROM ASSOCIATED COMPANIES (Accounts 145, 146)</t>
  </si>
  <si>
    <t>of Retained Earnings for the year, Statement of Cash</t>
  </si>
  <si>
    <t>tion of amounts as plant adjustments and requirements as</t>
  </si>
  <si>
    <t xml:space="preserve">         Cash Provided by Outside Sources (Total of lines 58 thru 66)</t>
  </si>
  <si>
    <t xml:space="preserve">   Payments for Retirement of:</t>
  </si>
  <si>
    <t xml:space="preserve">         Long-term Debt (b)</t>
  </si>
  <si>
    <t>to construction, depreciation, nor the rate base allowance related to capitalized OPEB costs) in the company's latest rate proceeding,</t>
  </si>
  <si>
    <t>adjusted to actual applicable sales as per the above Policy Statement.</t>
  </si>
  <si>
    <t>The amount reported on Line 9 less the amount on Line 10 should total the amount reported on Line 5 of Page 364.</t>
  </si>
  <si>
    <t>Construction Work in Progress (107)</t>
  </si>
  <si>
    <t>Plant Acquisition Adjustments  (114)</t>
  </si>
  <si>
    <t>Other Plant Adjustments  (116)</t>
  </si>
  <si>
    <t>Accumulated Gains and Losses from Disposition of Utility Land and Land Rights (117)</t>
  </si>
  <si>
    <t>MAINTENANCE OF DISTRIBUTION RESERVOIRS AND STANDPIPES</t>
  </si>
  <si>
    <t>MAINTENANCE OF TRANSMISSION AND DISTRIBUTION MAINS</t>
  </si>
  <si>
    <t>MAINTENANCE OF  FIRE MAINS</t>
  </si>
  <si>
    <t>MAINTENANCE OF  SERVICES</t>
  </si>
  <si>
    <t>MAINTENANCE OF  METERS</t>
  </si>
  <si>
    <t>MAINTENANCE OF  HYDRANTS</t>
  </si>
  <si>
    <t>(349)  Other Transmission &amp; Distribution Plant</t>
  </si>
  <si>
    <t>(349)</t>
  </si>
  <si>
    <t xml:space="preserve">  Total Transmission &amp; Distribution Plant  (sum lines 33  thru 42)</t>
  </si>
  <si>
    <t>Page 202</t>
  </si>
  <si>
    <t>Page 203</t>
  </si>
  <si>
    <t xml:space="preserve">  body, or cases in which such a body was a party.  </t>
  </si>
  <si>
    <t>5.  Minor items may be grouped.</t>
  </si>
  <si>
    <t>Expenses Incurred During Year</t>
  </si>
  <si>
    <t>Amortized During Year</t>
  </si>
  <si>
    <t>(Furnish name of regulatory commission or body</t>
  </si>
  <si>
    <t>Assessed by</t>
  </si>
  <si>
    <t>Expenses</t>
  </si>
  <si>
    <t>Deferred in</t>
  </si>
  <si>
    <t>Charged Currently to</t>
  </si>
  <si>
    <t>Ramapo Valley TPW-1</t>
  </si>
  <si>
    <t>Ramapo Valley TPW-3</t>
  </si>
  <si>
    <t>Ramapo Valley Well A</t>
  </si>
  <si>
    <t>Ramapo Valley Well AB</t>
  </si>
  <si>
    <t>Ramapo Valley Well B</t>
  </si>
  <si>
    <t xml:space="preserve">   TOTAL Net Chrgs. for Plant Ret.</t>
  </si>
  <si>
    <t xml:space="preserve"> Report on line lines 21 and 32 the numbers of persons having vested pension rights but who are no longer employed by the</t>
  </si>
  <si>
    <t>(OPEB).  For these schedules, the measurement date, calculation of the data requested, and separate reporting for</t>
  </si>
  <si>
    <t>1. Show the requested information concerning surface water supply.  In column (b) indicate</t>
  </si>
  <si>
    <t>Page 359a</t>
  </si>
  <si>
    <t>Page 361a</t>
  </si>
  <si>
    <t xml:space="preserve">such holder held in trust, give in a footnote the known </t>
  </si>
  <si>
    <t xml:space="preserve">in determination of corporate action by any method, explain </t>
  </si>
  <si>
    <t xml:space="preserve">particulars of the trust (whether voting trust, etc.), </t>
  </si>
  <si>
    <t>briefly in a footnote.</t>
  </si>
  <si>
    <t>2.  If any deposit consists of assets other than cash, give a brief description of such assets.</t>
  </si>
  <si>
    <t xml:space="preserve">   Losses</t>
  </si>
  <si>
    <t xml:space="preserve">               General</t>
  </si>
  <si>
    <t xml:space="preserve">                   Public*</t>
  </si>
  <si>
    <t xml:space="preserve">         Respondent</t>
  </si>
  <si>
    <t>Un-</t>
  </si>
  <si>
    <t>Pump</t>
  </si>
  <si>
    <t>Trans</t>
  </si>
  <si>
    <t>Distri</t>
  </si>
  <si>
    <t>accounted</t>
  </si>
  <si>
    <t xml:space="preserve">  Insurance; 426.3, Penalties; 426.4, Expenditures for Certain</t>
  </si>
  <si>
    <t>particulars (details) including the amount and interest rate</t>
  </si>
  <si>
    <t>Report on Line 15 the expected long-term return on plan assets reported on Line 4.</t>
  </si>
  <si>
    <t>Pg 309, L 113 (b)</t>
  </si>
  <si>
    <t xml:space="preserve">          Total O &amp; M Expense</t>
  </si>
  <si>
    <t>MATERIALS AND SUPPLIES (Account 150)</t>
  </si>
  <si>
    <t>1.  For Account 150, report the amount of plant materials and operating supplies under the primary functional</t>
  </si>
  <si>
    <t>Total Village of Upper Nyack</t>
  </si>
  <si>
    <t>Village of South Nyack</t>
  </si>
  <si>
    <t>Total Village of South Nyack</t>
  </si>
  <si>
    <t>Grand Total</t>
  </si>
  <si>
    <t>Page 408e</t>
  </si>
  <si>
    <t xml:space="preserve">   Net Increase (Decrease) in  Payables and Accrued Expenses</t>
  </si>
  <si>
    <t xml:space="preserve">   Other:</t>
  </si>
  <si>
    <t xml:space="preserve">   Net Cash Provided by (Used in) Investing Activities</t>
  </si>
  <si>
    <t xml:space="preserve">  2.  For Other (Specify), include deferrals relating to other income and deductions.</t>
  </si>
  <si>
    <t>CHANGES DURING YEAR</t>
  </si>
  <si>
    <t xml:space="preserve">  state the name of the person or organization to whom such</t>
  </si>
  <si>
    <t xml:space="preserve">  payments were made.</t>
  </si>
  <si>
    <t xml:space="preserve">                         i.  Recreation, fish, and wildlife</t>
  </si>
  <si>
    <t>Pg 123, L 85 (b)</t>
  </si>
  <si>
    <t>Cash &amp; Cash Equivalents At End Of Year</t>
  </si>
  <si>
    <t>SALES FOR RESALE AND PURCHASED WATER (Account 466 and 602)</t>
  </si>
  <si>
    <t>Report below particulars of sales or purchases for redistribution during the year.</t>
  </si>
  <si>
    <t>Average per</t>
  </si>
  <si>
    <t xml:space="preserve">Thousand </t>
  </si>
  <si>
    <t>Short-Term Interest</t>
  </si>
  <si>
    <t>Preferred Stock</t>
  </si>
  <si>
    <t>Common Equity</t>
  </si>
  <si>
    <t>Total Capitalization</t>
  </si>
  <si>
    <t>Average Construction</t>
  </si>
  <si>
    <t>Work in Progress Balance</t>
  </si>
  <si>
    <t xml:space="preserve">2. Gross Rate for Borrowed Funds           </t>
  </si>
  <si>
    <t>=&gt;</t>
  </si>
  <si>
    <t xml:space="preserve">3. Rate for Other Funds             </t>
  </si>
  <si>
    <t>4. Weighted Average Rate Actually Used for the Year:</t>
  </si>
  <si>
    <t xml:space="preserve">     a. Rate for Borrowed Funds - </t>
  </si>
  <si>
    <t xml:space="preserve">     b. Rate for Other Funds -</t>
  </si>
  <si>
    <t>Page 208</t>
  </si>
  <si>
    <t>If applicable, see insert page below</t>
  </si>
  <si>
    <t>FERC FORM NO.1 (ED. 12- 87)</t>
  </si>
  <si>
    <t>NYSPSC Modified</t>
  </si>
  <si>
    <t>Page 218-A</t>
  </si>
  <si>
    <t xml:space="preserve"> ACCUMULATED PROVISION FOR DEPR. AND AMORT. OF WATER PLANT (A/C 108 and 111)</t>
  </si>
  <si>
    <t>1.  Explain in a footnote any important adjustments during year.</t>
  </si>
  <si>
    <t xml:space="preserve">2.  Explain in a footnote any difference between the amount for book cost of plant retired, line 11, column (c), and that reported for </t>
  </si>
  <si>
    <t xml:space="preserve">    TOTAL (Account 281)(Total of 8 and 9)</t>
  </si>
  <si>
    <t>Liberalized Depreciation (Account 282)</t>
  </si>
  <si>
    <t xml:space="preserve">    TOTAL  WATER (Enter Total of lines 12 thru 16)</t>
  </si>
  <si>
    <t xml:space="preserve">    TOTAL (Account 282)(Total of 17 and 18)</t>
  </si>
  <si>
    <t>Other (Account 283)</t>
  </si>
  <si>
    <t>Disclose separately by footnote any capital stock subscriptions received included in  Account 143, Other</t>
  </si>
  <si>
    <t>Accounts Receivable.</t>
  </si>
  <si>
    <t>Beginning</t>
  </si>
  <si>
    <t>LINE</t>
  </si>
  <si>
    <t xml:space="preserve">3.     All accounting terms and phrases used in this form are to be interpreted in accordance with the </t>
  </si>
  <si>
    <t xml:space="preserve">   Net Cash From Investing Activities</t>
  </si>
  <si>
    <t>Cash Flows From Financing Activities</t>
  </si>
  <si>
    <t>Net Proceeds (Payments) - Issuing &amp; Retiring:</t>
  </si>
  <si>
    <t xml:space="preserve">  Long-Term Debt</t>
  </si>
  <si>
    <t xml:space="preserve">          TOTALS (Account 462)</t>
  </si>
  <si>
    <t xml:space="preserve">          TOTALS (Account 463)</t>
  </si>
  <si>
    <t xml:space="preserve">          TOTALS (Account 464)</t>
  </si>
  <si>
    <t xml:space="preserve">          TOTALS (Account 465)</t>
  </si>
  <si>
    <t>Page 301</t>
  </si>
  <si>
    <t>SALES OF ELECTRICITY BY RATE SCHEDULES</t>
  </si>
  <si>
    <t>Average Number</t>
  </si>
  <si>
    <t>KWh of Sales</t>
  </si>
  <si>
    <t>Revenue per</t>
  </si>
  <si>
    <t>MWh Sold</t>
  </si>
  <si>
    <t>of Customers</t>
  </si>
  <si>
    <t>SERVICE PIPES</t>
  </si>
  <si>
    <t>CAPITAL STOCK SUBSCRIBED, CAPITAL STOCK LIABILITY FOR CONVERSION,</t>
  </si>
  <si>
    <t>PREMIUM ON CAPITAL STOCK, AND INSTALLMENTS RECEIVED ON CAPITAL STOCK</t>
  </si>
  <si>
    <t>(Accounts 202 and 205, 203 and 206, 207, 212)</t>
  </si>
  <si>
    <t xml:space="preserve">1. Show for each of the above accounts the amounts </t>
  </si>
  <si>
    <t>answer may be used.  The annual report should be complete in itself.  Reference to reports of previous</t>
  </si>
  <si>
    <t>years or to any paper or document should not be made in lieu of required entries except as</t>
  </si>
  <si>
    <t>specifically outlined.</t>
  </si>
  <si>
    <t>6.     Upon filing, the report may, if desired, be permanently bound.  If it is so bound, the  requirement for page by</t>
  </si>
  <si>
    <t>Collection of Accounts Written Off</t>
  </si>
  <si>
    <t>Balance End of Year</t>
  </si>
  <si>
    <t>4. Summarize the collection and write-off practices applied to overdue customers' accounts.</t>
  </si>
  <si>
    <t>Page 213</t>
  </si>
  <si>
    <t xml:space="preserve">   (c) basis of charges,</t>
  </si>
  <si>
    <t>(330)  Land and Land Rights</t>
  </si>
  <si>
    <t>(330)</t>
  </si>
  <si>
    <t>(331)  Structures and Improvements</t>
  </si>
  <si>
    <t>(331)</t>
  </si>
  <si>
    <t>(332)  Water Treatment Equipment</t>
  </si>
  <si>
    <t>(332)</t>
  </si>
  <si>
    <t xml:space="preserve">  TOTAL Water Treatment Plant (Enter Total of lines 28 thru 30)</t>
  </si>
  <si>
    <t xml:space="preserve">          5. TRANSMISSION &amp; DISTRIBUTION PLANT</t>
  </si>
  <si>
    <t>(340)  Land and Land Rights</t>
  </si>
  <si>
    <t>(340)</t>
  </si>
  <si>
    <t>(341)  Structures and Improvements</t>
  </si>
  <si>
    <t>(341)</t>
  </si>
  <si>
    <t>(342)  Distribution Reservoirs &amp; Standpipes</t>
  </si>
  <si>
    <t>(342)</t>
  </si>
  <si>
    <t>(343)  Transmission &amp; Distribution Mains</t>
  </si>
  <si>
    <t>(343)</t>
  </si>
  <si>
    <t>(344)  Fire Mains</t>
  </si>
  <si>
    <t>(344)</t>
  </si>
  <si>
    <t>(345)  Services</t>
  </si>
  <si>
    <t>(345)</t>
  </si>
  <si>
    <t>(346)  Meters</t>
  </si>
  <si>
    <t>(346)</t>
  </si>
  <si>
    <t>(348)  Hydrants</t>
  </si>
  <si>
    <t>(348)</t>
  </si>
  <si>
    <t>2.  Number of customers, columns (h) and (i), should be reported on the number of meters, plus number of flat rate accounts, except that where separate meter readings are added for</t>
  </si>
  <si>
    <t xml:space="preserve">     billing purposes, one customer should be counted for each group of meters so added.  The average number of customers means the average of twelve figures at the close of each month. </t>
  </si>
  <si>
    <t xml:space="preserve">   Property Under Capital Leases  </t>
  </si>
  <si>
    <t>brief description of the property, and of the transactions relating</t>
  </si>
  <si>
    <t>trustee, associated company or known associate of any of these</t>
  </si>
  <si>
    <t>thereto, and reference to Commission authorization, if any was</t>
  </si>
  <si>
    <t>is no taxable income for the year.  Indicate clearly the nature of each reconciling amount.</t>
  </si>
  <si>
    <t>2.  On page 208 furnish information concerning construction overheads.</t>
  </si>
  <si>
    <t>3.  A respondent should not report "none" to this page if no overhead apportionments are made, but rather should explain on page 208,</t>
  </si>
  <si>
    <t xml:space="preserve">      the accounting procedures employed and the amounts of engineering, supervision and administrative costs, etc., which are directly</t>
  </si>
  <si>
    <t xml:space="preserve">      charged to construction.</t>
  </si>
  <si>
    <t>Section 415 of the Internal Revenue Code.</t>
  </si>
  <si>
    <t>Particulars Concerning Certain Income Deduction and</t>
  </si>
  <si>
    <t xml:space="preserve">  Interest Charges Accounts</t>
  </si>
  <si>
    <t>340</t>
  </si>
  <si>
    <t>318-320</t>
  </si>
  <si>
    <t>Extraordinary Items</t>
  </si>
  <si>
    <t>321</t>
  </si>
  <si>
    <t>General Section</t>
  </si>
  <si>
    <t>Regulatory Commission Expenses</t>
  </si>
  <si>
    <t>350-351</t>
  </si>
  <si>
    <t>Research, Development and Demostration Activities</t>
  </si>
  <si>
    <t>352-353</t>
  </si>
  <si>
    <t>Distribution of Salaries and Wages</t>
  </si>
  <si>
    <t>354</t>
  </si>
  <si>
    <t>Charges of Outside Professional Services and Other</t>
  </si>
  <si>
    <t xml:space="preserve">  Consultative Services</t>
  </si>
  <si>
    <t>355-356</t>
  </si>
  <si>
    <t>Employee Protective Plans</t>
  </si>
  <si>
    <t>357-358</t>
  </si>
  <si>
    <t>Analysis of Pension Costs</t>
  </si>
  <si>
    <t>359-360</t>
  </si>
  <si>
    <t>Analysis of Pension Settlements, Curtailments and</t>
  </si>
  <si>
    <t xml:space="preserve">  Terminations</t>
  </si>
  <si>
    <t>361-362</t>
  </si>
  <si>
    <t>Analysis of OPEB Costs, Funding and Deferrals</t>
  </si>
  <si>
    <t>363-366</t>
  </si>
  <si>
    <t>Miscellaneous Tax Refunds</t>
  </si>
  <si>
    <t>354-355</t>
  </si>
  <si>
    <t>367</t>
  </si>
  <si>
    <t>Statistical Data</t>
  </si>
  <si>
    <t>Water Production and Consumption</t>
  </si>
  <si>
    <t>400</t>
  </si>
  <si>
    <t>Sources of Supply</t>
  </si>
  <si>
    <t>401-402</t>
  </si>
  <si>
    <t>Pumping Station and Fire Service Statistics</t>
  </si>
  <si>
    <t>403-404</t>
  </si>
  <si>
    <t>Protected amounts are accumulated deferred taxes that are depreciation related and are protected from rapid write-back by</t>
  </si>
  <si>
    <t>Section 203 (e) of the Tax Reform Act of 1986.</t>
  </si>
  <si>
    <t xml:space="preserve">3. </t>
  </si>
  <si>
    <t>Portion of amount on line 15 allocated to reporting company</t>
  </si>
  <si>
    <t>16.</t>
  </si>
  <si>
    <t>adjusted by the year-to-date amortization.</t>
  </si>
  <si>
    <t>Tax-affected gain:</t>
  </si>
  <si>
    <t xml:space="preserve">     Tax rate</t>
  </si>
  <si>
    <t>17.</t>
  </si>
  <si>
    <t>Report on line 3 the actual return on plan assets (the sum of investment income and appreciation).</t>
  </si>
  <si>
    <t xml:space="preserve">     Gain or (loss) after provision for income tax: 16 x [100% - (17)]</t>
  </si>
  <si>
    <t>18.</t>
  </si>
  <si>
    <t>Explain the basis of allocation used to derive the amount reported on line 16 from that reported on line 15:</t>
  </si>
  <si>
    <t xml:space="preserve"> ACCUMULATED PROVISION FOR UNCOLLECTIBLE ACCOUNTS-CR. (Account 144)</t>
  </si>
  <si>
    <t xml:space="preserve">                                  1.  Report below the information called for concerning this accumulated provision.</t>
  </si>
  <si>
    <t xml:space="preserve">                                  2.  Explain any important adjustments of subaccounts.</t>
  </si>
  <si>
    <t xml:space="preserve">                                  3.  Entries with respect to officers and employees shall not include items for utility services.</t>
  </si>
  <si>
    <t>Merchandising,</t>
  </si>
  <si>
    <t>Officers</t>
  </si>
  <si>
    <t>Utility</t>
  </si>
  <si>
    <t>Jobbing and</t>
  </si>
  <si>
    <t>and</t>
  </si>
  <si>
    <t>Customers</t>
  </si>
  <si>
    <t>Contract Work</t>
  </si>
  <si>
    <t>(Gain) or Loss Due to a Temporary Deviation From a Substantive Plan (Enhanced Severance Program)</t>
  </si>
  <si>
    <t>(Gain) or Loss Due to a Temporary Deviation From a Substantive Plan (Early Retirement Window)</t>
  </si>
  <si>
    <t xml:space="preserve">number of customers, average thousand gallons sold per customer, </t>
  </si>
  <si>
    <t xml:space="preserve">                                            (Here insert exact identification of the sections and pages comprising this report)</t>
  </si>
  <si>
    <t xml:space="preserve">  internally and in column (d) those items performed</t>
  </si>
  <si>
    <t xml:space="preserve">          Depreciation and Depletion</t>
  </si>
  <si>
    <t xml:space="preserve">  1.  Report all changes in appropriated retained earnings,</t>
  </si>
  <si>
    <t xml:space="preserve">  5.  Show dividends for each class and series of capital stock.</t>
  </si>
  <si>
    <t>unappropriated retained earnings, and unappropriated un-</t>
  </si>
  <si>
    <t xml:space="preserve">  6.  Show separately the State and Federal income tax effect</t>
  </si>
  <si>
    <t>distributed subsidiary earnings for the year.</t>
  </si>
  <si>
    <t>of items shown in account 439, Adjustments to Retained</t>
  </si>
  <si>
    <t xml:space="preserve">     PBO at settlement date</t>
  </si>
  <si>
    <t>each reportable event having occurred since the company's adoption of SFAS-87 and include those forms in the current</t>
  </si>
  <si>
    <t>of a list of stockholders, some other class of security has</t>
  </si>
  <si>
    <t>expiration dates, and other material information relating to</t>
  </si>
  <si>
    <t xml:space="preserve">become vested with voting rights, then show such 10 </t>
  </si>
  <si>
    <t>Pg 307, L 41 (b)</t>
  </si>
  <si>
    <t xml:space="preserve">     Total PW, Fuel and Chemicals</t>
  </si>
  <si>
    <t>Salaries</t>
  </si>
  <si>
    <t>Pg 114, L 29 (d)</t>
  </si>
  <si>
    <t>Accrued Utility Revenue</t>
  </si>
  <si>
    <t>Pg 114, L 32 (d)</t>
  </si>
  <si>
    <t>Matured Interest (240)</t>
  </si>
  <si>
    <t>Tax Collections Payable (241)</t>
  </si>
  <si>
    <t>Miscellaneous Current and Accrued Liabilities (242)</t>
  </si>
  <si>
    <t xml:space="preserve">6.  Show in column (f) reclassifications or transfers within utility plant accounts.  Include also in column (f) the additions or reductions of </t>
  </si>
  <si>
    <t xml:space="preserve">      primary account classifications arising from distribution of amounts initially recorded in Account 102.  In showing the clearance of</t>
  </si>
  <si>
    <t>2.  In addition to Account 101, Water Plant in Service (Classified), this page and the next include Account 102, Water</t>
  </si>
  <si>
    <t>3. Insert in the column headings preceding the abbreviation "gals." the initial</t>
  </si>
  <si>
    <t xml:space="preserve">letter of Thousand, Million or Billion to indicate the unit in which the </t>
  </si>
  <si>
    <t xml:space="preserve">2. If respondent has two or more major plants, show the information called for in this  </t>
  </si>
  <si>
    <t>quantities are expressed.</t>
  </si>
  <si>
    <t xml:space="preserve">     TOTAL Current and Accrued Liabilities ( Total of lines 30 thru 42)</t>
  </si>
  <si>
    <t>DEFERRED CREDITS</t>
  </si>
  <si>
    <t>Customer Advances for Construction (252)</t>
  </si>
  <si>
    <t>Other Deferred Credits (253)</t>
  </si>
  <si>
    <t>Accumulated Deferred Investment Tax Credits (255)</t>
  </si>
  <si>
    <t>Deferred Gains from Disposition of Utility Plant</t>
  </si>
  <si>
    <t>Unamortized Gain on Reacquired Debt</t>
  </si>
  <si>
    <t>Any demand notes should be designated as such in Column (c).</t>
  </si>
  <si>
    <t xml:space="preserve">  1.  Give date of the latest closing of the stock book prior</t>
  </si>
  <si>
    <t>in Account 188, Research, Development, and Demonstration</t>
  </si>
  <si>
    <t>Class and Series of Stock and</t>
  </si>
  <si>
    <t>or Stated</t>
  </si>
  <si>
    <t>this ..............  day of ...................................  .......</t>
  </si>
  <si>
    <t xml:space="preserve">       (Less) Gains from Disp. of Utility Plant</t>
  </si>
  <si>
    <t xml:space="preserve">       Losses from Disp. of Utility Plant</t>
  </si>
  <si>
    <t xml:space="preserve">           TOTAL Utility Operating Expenses (Enter Total of lines 4 thru 21)</t>
  </si>
  <si>
    <t>LONG-TERM DEBT (Accounts 221, 222, 223, and 224)</t>
  </si>
  <si>
    <t xml:space="preserve">   1.  Report by balance sheet account the particulars (details) </t>
  </si>
  <si>
    <t>MISCELLANEOUS SERVICE REVENUES AND OTHER WATER REVENUES (ACCOUNT 471, 474)</t>
  </si>
  <si>
    <t>Shares</t>
  </si>
  <si>
    <t>Cost</t>
  </si>
  <si>
    <t xml:space="preserve">                    (Decrease) Increase in Current Income Taxes and Other Taxes Payable</t>
  </si>
  <si>
    <t xml:space="preserve">       Taxes Other Than Income Taxes (408.1)</t>
  </si>
  <si>
    <t xml:space="preserve">2. If respondent gives fire protection without direct charge, the hydrants used for </t>
  </si>
  <si>
    <t>such purpose should be so designated by appropriate footnotes.</t>
  </si>
  <si>
    <t>Size Hydrant</t>
  </si>
  <si>
    <t>Hose Connections</t>
  </si>
  <si>
    <t>Steamer Connections</t>
  </si>
  <si>
    <t>Number of Hydrants in Service</t>
  </si>
  <si>
    <t>Average Consumption per Customer (T.Gal)</t>
  </si>
  <si>
    <t xml:space="preserve">Average Revenue per T Gallons Sold </t>
  </si>
  <si>
    <t>COMMERCIAL/INDUSTRIAL SALES</t>
  </si>
  <si>
    <t>OPERATION AND MAINTENANCE EXPENSES</t>
  </si>
  <si>
    <t>Pg 307, L 19 (b)</t>
  </si>
  <si>
    <t>Pg 307, L 37 (b)</t>
  </si>
  <si>
    <t>Pg 308, L 51 (b)</t>
  </si>
  <si>
    <t>Pg 308, L 74 (b)</t>
  </si>
  <si>
    <t>Customer Accounting and Collecting</t>
  </si>
  <si>
    <t>Pg 308, L 87 (b)</t>
  </si>
  <si>
    <t>Sales</t>
  </si>
  <si>
    <t>Pg 309, L 90 (b)</t>
  </si>
  <si>
    <t>Administrative and General</t>
  </si>
  <si>
    <t>*NOTE:  Do not include deferred Federal income taxes recorded purely from the implementation of FAS-109, Accounting for Income Taxes</t>
  </si>
  <si>
    <t>Page 266</t>
  </si>
  <si>
    <t xml:space="preserve">    TOTAL  WATER (Enter Total of lines 22 thru 29)</t>
  </si>
  <si>
    <t xml:space="preserve">    TOTAL (Account 283)(Total of 30 and 31)</t>
  </si>
  <si>
    <t xml:space="preserve">   </t>
  </si>
  <si>
    <t>Net Charges for Plant Retired:</t>
  </si>
  <si>
    <t xml:space="preserve">  Book Cost of Plant Retired</t>
  </si>
  <si>
    <t xml:space="preserve">  Cost of Removal</t>
  </si>
  <si>
    <t xml:space="preserve">  Salvage (Credit)</t>
  </si>
  <si>
    <t>propriation is to be recurrent, state the number and annual</t>
  </si>
  <si>
    <t xml:space="preserve">  3.  State the purpose and amount of each reservation or ap-</t>
  </si>
  <si>
    <t>amounts to be reserved or appropriated as well as the totals</t>
  </si>
  <si>
    <t>propriation of retained earnings.</t>
  </si>
  <si>
    <t>eventually to be accumulated.</t>
  </si>
  <si>
    <t>the sources of my information and the grounds for my belief are as follows: ....................................................................…</t>
  </si>
  <si>
    <t>If composite depreciation accounting is used, report available information called for in columns (b) through (g) on this basis.</t>
  </si>
  <si>
    <t>4. If provisions for depreciation were made during the year in addition to depreciation provided by application of reported rates, state</t>
  </si>
  <si>
    <t>Name of Stock Exchange</t>
  </si>
  <si>
    <t>Value</t>
  </si>
  <si>
    <t>issues which were redeemed in prior years.</t>
  </si>
  <si>
    <t>including name of pledgee and purpose of the pledge.</t>
  </si>
  <si>
    <t>Reacquired Bonds, 223, Advances from Associated Companies,</t>
  </si>
  <si>
    <t>7.  In column (c) show the expense, premium or discount with</t>
  </si>
  <si>
    <t xml:space="preserve">   6.  Obligations incurred as a result of issuance of securities</t>
  </si>
  <si>
    <t>For the amount reported on line 16 specify:</t>
  </si>
  <si>
    <t xml:space="preserve"> 6.  Enter all adjustments of the accrued and prepaid tax accounts in column (f) and explain each adjustment in a footnote.  Designate</t>
  </si>
  <si>
    <t xml:space="preserve">     actual amounts.</t>
  </si>
  <si>
    <t xml:space="preserve">      debit adjustments by parentheses.</t>
  </si>
  <si>
    <t>Reconciliation Act of 1993) &amp; the deferred tax balances provided are greater/less than the enacted tax rate, all calculated on a</t>
  </si>
  <si>
    <t>vintage year basis.</t>
  </si>
  <si>
    <t>Account 190</t>
  </si>
  <si>
    <t>Account 281</t>
  </si>
  <si>
    <t>Account 282</t>
  </si>
  <si>
    <t>Account 283</t>
  </si>
  <si>
    <t>Excess Deferred Taxes</t>
  </si>
  <si>
    <t>Protected Excess Deferred Taxes</t>
  </si>
  <si>
    <t>5. If electricity was used, specify on lines 23 to 38 the requested</t>
  </si>
  <si>
    <t xml:space="preserve">   [ use an im-</t>
  </si>
  <si>
    <t xml:space="preserve">  pression seal ]                                     (Signature of officer authorized to administer oaths)</t>
  </si>
  <si>
    <t>(This space for use of the Public Service Commission)</t>
  </si>
  <si>
    <t>Computed    ...............      ............</t>
  </si>
  <si>
    <t>Examined    ...............      ............</t>
  </si>
  <si>
    <t>Reviewed    ...............       ............</t>
  </si>
  <si>
    <t>INDEX TO WATER SCHEDULES</t>
  </si>
  <si>
    <t>Name of Schedule</t>
  </si>
  <si>
    <t>Control:</t>
  </si>
  <si>
    <t>Accounts Receivable</t>
  </si>
  <si>
    <t xml:space="preserve">  - Corps Controlled by Respondent</t>
  </si>
  <si>
    <t>1st</t>
  </si>
  <si>
    <t>2nd</t>
  </si>
  <si>
    <t>3rd</t>
  </si>
  <si>
    <t>DAF</t>
  </si>
  <si>
    <t>576 ea</t>
  </si>
  <si>
    <t>10 MGD</t>
  </si>
  <si>
    <t>Letchworth</t>
  </si>
  <si>
    <t>543 ea.</t>
  </si>
  <si>
    <t>1.0 MGD</t>
  </si>
  <si>
    <t>Dual Media Filters</t>
  </si>
  <si>
    <t>130 ea.</t>
  </si>
  <si>
    <t>Clearwell</t>
  </si>
  <si>
    <t>Polyaluminum Chloride</t>
  </si>
  <si>
    <t xml:space="preserve">112 Accumulated Provision for Amortization of </t>
  </si>
  <si>
    <t>116 Other Water Plant Adjustments</t>
  </si>
  <si>
    <t>the date of Commission authorization to use Account 182</t>
  </si>
  <si>
    <t>of Loss</t>
  </si>
  <si>
    <t>During Year</t>
  </si>
  <si>
    <t>and period of amortization (mo, yr to mo, yr.).]</t>
  </si>
  <si>
    <t>Charged</t>
  </si>
  <si>
    <t xml:space="preserve">          TOTAL</t>
  </si>
  <si>
    <t>MISCELLANEOUS DEFERRED DEBITS (Account 186)</t>
  </si>
  <si>
    <t xml:space="preserve">Report on line 6 the Pension Benefit Obligation (PBO) updated from the previous year-end figure to the settlement date. </t>
  </si>
  <si>
    <t xml:space="preserve">  a. the amount recorded as income for the current year</t>
  </si>
  <si>
    <t>Construc-</t>
  </si>
  <si>
    <t>or</t>
  </si>
  <si>
    <t>Capacity</t>
  </si>
  <si>
    <t>elevation</t>
  </si>
  <si>
    <t>yield</t>
  </si>
  <si>
    <t>Avg.</t>
  </si>
  <si>
    <t>Daily</t>
  </si>
  <si>
    <t>Minimum Daily</t>
  </si>
  <si>
    <t>Artificial</t>
  </si>
  <si>
    <t>dry year</t>
  </si>
  <si>
    <t>daily</t>
  </si>
  <si>
    <t>(r)</t>
  </si>
  <si>
    <t>(s)</t>
  </si>
  <si>
    <t>(t)</t>
  </si>
  <si>
    <t>(u)</t>
  </si>
  <si>
    <t>(v)</t>
  </si>
  <si>
    <t>(w)</t>
  </si>
  <si>
    <t>(x)</t>
  </si>
  <si>
    <t>(y)</t>
  </si>
  <si>
    <t>willing seller, other than in a forced or liquidation sale.</t>
  </si>
  <si>
    <t>Unrecognized Transition Amount</t>
  </si>
  <si>
    <t xml:space="preserve">      water plant in service, pages 202-205, column (d), excluding retirements of non-depreciable property.</t>
  </si>
  <si>
    <t>lines and columns provided.  In determining this segregation</t>
  </si>
  <si>
    <t xml:space="preserve">  for the year.  Segregate amounts originally charged to clearing</t>
  </si>
  <si>
    <t>of salaries and wages originally charged to clearing accounts,</t>
  </si>
  <si>
    <t>Instructions for this sheet:</t>
  </si>
  <si>
    <t>Fill in your name, address and appropriate dates in the designated area below so that this</t>
  </si>
  <si>
    <t xml:space="preserve">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submitted. </t>
  </si>
  <si>
    <t>WATERFORM.XLS File</t>
  </si>
  <si>
    <t>LIWATER.XLS</t>
  </si>
  <si>
    <t>NYAWATER.XLS</t>
  </si>
  <si>
    <t>NYWWATER.XLS</t>
  </si>
  <si>
    <t>SCWATER.XLS</t>
  </si>
  <si>
    <t>Hertitage Hills Waterworks</t>
  </si>
  <si>
    <t>HHWATER.XLS</t>
  </si>
  <si>
    <t>Valley</t>
  </si>
  <si>
    <t>Low</t>
  </si>
  <si>
    <t>Designation of Station (C)</t>
  </si>
  <si>
    <t>Well Field</t>
  </si>
  <si>
    <t>16/20</t>
  </si>
  <si>
    <t xml:space="preserve">(e) </t>
  </si>
  <si>
    <t xml:space="preserve">(f) </t>
  </si>
  <si>
    <t xml:space="preserve">(g) </t>
  </si>
  <si>
    <t xml:space="preserve">  Elevation above sea level (ft.) (A)</t>
  </si>
  <si>
    <t>(F)</t>
  </si>
  <si>
    <t>(D)</t>
  </si>
  <si>
    <t xml:space="preserve">  Water pumps by sta. mass (T gals.)</t>
  </si>
  <si>
    <t>o/s</t>
  </si>
  <si>
    <t xml:space="preserve">  Average daily for each pump  (T gals)</t>
  </si>
  <si>
    <t>2,600 ea</t>
  </si>
  <si>
    <t>Clear Water Storage</t>
  </si>
  <si>
    <t>Norge 64</t>
  </si>
  <si>
    <t>Pascack 65</t>
  </si>
  <si>
    <t>Elmwood 66</t>
  </si>
  <si>
    <t>MSDBA</t>
  </si>
  <si>
    <t>OTHER</t>
  </si>
  <si>
    <t>Birchwood 70</t>
  </si>
  <si>
    <t>Lake Shore 73</t>
  </si>
  <si>
    <t xml:space="preserve">     2.    Provide a subheading and total for each prescribed</t>
  </si>
  <si>
    <t xml:space="preserve">       4.   The average number of customers should be the</t>
  </si>
  <si>
    <t xml:space="preserve">   4.  State the classes of utility and other services furnished by respondent during the year</t>
  </si>
  <si>
    <t>in each State in which the respondent operated.</t>
  </si>
  <si>
    <t xml:space="preserve">   5.  Have you engaged as the principal accountant to audit your financial statements an accountant who </t>
  </si>
  <si>
    <t>213</t>
  </si>
  <si>
    <t>206</t>
  </si>
  <si>
    <t>Description of Item</t>
  </si>
  <si>
    <t>Page 367</t>
  </si>
  <si>
    <t>each applicable revenue account subheading.</t>
  </si>
  <si>
    <t>Thousand</t>
  </si>
  <si>
    <t>COMPARATIVE BALANCE SHEET</t>
  </si>
  <si>
    <t>Annual Report Source</t>
  </si>
  <si>
    <t>Page, Line (Column)</t>
  </si>
  <si>
    <t>Net Utility Plant</t>
  </si>
  <si>
    <t>amount of any refunds made or received during the year</t>
  </si>
  <si>
    <t>(Ref.)</t>
  </si>
  <si>
    <t>TOTAL</t>
  </si>
  <si>
    <t>Water Utility</t>
  </si>
  <si>
    <t>Other Utility</t>
  </si>
  <si>
    <t>Other  Utility</t>
  </si>
  <si>
    <t>Account</t>
  </si>
  <si>
    <t>Page</t>
  </si>
  <si>
    <t>Current Year</t>
  </si>
  <si>
    <t xml:space="preserve">    Previous Year</t>
  </si>
  <si>
    <t xml:space="preserve"> Current Year</t>
  </si>
  <si>
    <t>Previous Year</t>
  </si>
  <si>
    <t>Report on line 2 the actuarial gains and losses that occurred in prior fiscal years</t>
  </si>
  <si>
    <t>following compliance with SFAS-87 but have not yet been amortized.  The amount should be</t>
  </si>
  <si>
    <t>Construction Work in</t>
  </si>
  <si>
    <t xml:space="preserve"> Description of Each Project</t>
  </si>
  <si>
    <t>Progress (Account 107)</t>
  </si>
  <si>
    <t>Page 206</t>
  </si>
  <si>
    <t>(393)  Stores Equipment</t>
  </si>
  <si>
    <t>(393)</t>
  </si>
  <si>
    <t>(394)  Tools Shop &amp; Garage Equipment</t>
  </si>
  <si>
    <t>(394)</t>
  </si>
  <si>
    <t>(395)  Laboratory Equipment</t>
  </si>
  <si>
    <t>(395)</t>
  </si>
  <si>
    <t>(396)  Power Operated Equipment</t>
  </si>
  <si>
    <t>(396)</t>
  </si>
  <si>
    <t>(397)  Communications Equipment</t>
  </si>
  <si>
    <t xml:space="preserve">       lines 1, 9, 14, 15, and 16)</t>
  </si>
  <si>
    <t>Report on Line 4 the amount the OPEB plan(s) could expect to receive for investments in a sale between a</t>
  </si>
  <si>
    <t>AFUDC - Equity Component - Plant</t>
  </si>
  <si>
    <t>Other Net of Tax Items (specify)</t>
  </si>
  <si>
    <t>Prior Flow-Through Items</t>
  </si>
  <si>
    <t>Depreciation</t>
  </si>
  <si>
    <t xml:space="preserve">(separately by accounts) the operating revenues from sources within this State, the operating revenue </t>
  </si>
  <si>
    <t>deductions applicable thereto and the plant investment as of the end of the year within this State.</t>
  </si>
  <si>
    <t>8.     All entries shall be made in black or dark blue except those of a contrary or opposite nature, which</t>
  </si>
  <si>
    <t>privileges in the election of directors, trustees or managers, or</t>
  </si>
  <si>
    <t>RECONCILIATION OF REPORTED NET INCOME WITH TAXABLE INCOME FOR FEDERAL INCOME TAXES</t>
  </si>
  <si>
    <t>Report on Lines 5 and 6 , the amounts applicable to OPEB that are recorded in internal reserves, net of their related deferred</t>
  </si>
  <si>
    <t>persons was a party or in which any such person had a material</t>
  </si>
  <si>
    <t>required.  Give date journal entries called for by the Uniform</t>
  </si>
  <si>
    <t>interest.</t>
  </si>
  <si>
    <t>Convert the basis points and percentages reported on line 7 and 8 to their decimal equivalents before entering them in the</t>
  </si>
  <si>
    <t xml:space="preserve">Briefly describe the event (e.g., settlement, curtailment or termination with short description of the change) and the date of </t>
  </si>
  <si>
    <t xml:space="preserve">formula on line 9. </t>
  </si>
  <si>
    <t>its occurrence.</t>
  </si>
  <si>
    <t>Total Interest on Debt to Associated Companies</t>
  </si>
  <si>
    <t>Call</t>
  </si>
  <si>
    <t xml:space="preserve">   OUTSTANDING PER BALANCE SHEET</t>
  </si>
  <si>
    <t>of Shares</t>
  </si>
  <si>
    <t>Price at</t>
  </si>
  <si>
    <t xml:space="preserve">        (Total amount outstanding without</t>
  </si>
  <si>
    <t>Authorized</t>
  </si>
  <si>
    <t xml:space="preserve">          reduction for amounts held by</t>
  </si>
  <si>
    <t xml:space="preserve">                AS REACQUIRED STOCK</t>
  </si>
  <si>
    <t>by Charter</t>
  </si>
  <si>
    <t xml:space="preserve">                           (Account 217)</t>
  </si>
  <si>
    <t xml:space="preserve">WATER TREATMENT SYSTEM </t>
  </si>
  <si>
    <t>35' High x 30' Dia</t>
  </si>
  <si>
    <t>Depreciation - Gross up</t>
  </si>
  <si>
    <t>5. None</t>
  </si>
  <si>
    <t xml:space="preserve">     The total water pumped from the sources of supply is the sum of the pumpage from </t>
  </si>
  <si>
    <t>Tuxedo</t>
  </si>
  <si>
    <t>NYU Well</t>
  </si>
  <si>
    <t>Sterling</t>
  </si>
  <si>
    <t>Lake Booster</t>
  </si>
  <si>
    <t>(jjj)</t>
  </si>
  <si>
    <t>(kkk)</t>
  </si>
  <si>
    <t>Tuxedo (Orange Co)</t>
  </si>
  <si>
    <t>MapleBrook Well</t>
  </si>
  <si>
    <t>Soda Ash</t>
  </si>
  <si>
    <t>Filter media</t>
  </si>
  <si>
    <t>Membrane Filter</t>
  </si>
  <si>
    <t>Town of Tuxedo</t>
  </si>
  <si>
    <t>Tuxedo (Indian Kill)</t>
  </si>
  <si>
    <t>(Orange County)</t>
  </si>
  <si>
    <t>Total Town of Warwick</t>
  </si>
  <si>
    <t>Total Town of Tuxedo</t>
  </si>
  <si>
    <t>Town of Warwick (Orange Co)</t>
  </si>
  <si>
    <t>Town of Tuxedo (Orange Co)</t>
  </si>
  <si>
    <t xml:space="preserve">                                                                                                Page 404i</t>
  </si>
  <si>
    <t>Page 405e</t>
  </si>
  <si>
    <t>Page 405f</t>
  </si>
  <si>
    <t>Commuter Transp Mobility Tax</t>
  </si>
  <si>
    <t>Report below particulars concerning all tax refunds received or used as a reduction of taxes payable during the year</t>
  </si>
  <si>
    <t>which are not more than $1,500,000 and do not exceed $1,000 or 0.2% of the utility's operating revenues.</t>
  </si>
  <si>
    <t xml:space="preserve">This information is requested in compliance with Section 89.3, Notification Concerning Tax Refunds, of 16NYCRR. </t>
  </si>
  <si>
    <t>This report shall be inapplicable to ordinary operating refunds  negotiation or to new legislation, adjudication, or rulemaking</t>
  </si>
  <si>
    <t>( such as refunds for overpayment of estimated taxes, and carrybacks of net operating losses and investment tax credits).</t>
  </si>
  <si>
    <t xml:space="preserve">In determining whether a refund exceeds 0.2% of operating revenues for purposes of this report, in the case of a gas, </t>
  </si>
  <si>
    <t>electric, steam, or combination utility, operating revenues shall be reduced by the amounts properly chargeable to</t>
  </si>
  <si>
    <t>the functional group of Production Operation and Maintenance expense accounts; in the case of a combination utility</t>
  </si>
  <si>
    <t xml:space="preserve">the refund shall be deemed to exceed 0.2% of operating revenues if, after the refund is allocated among the gas, </t>
  </si>
  <si>
    <t xml:space="preserve">electric and steam departments in a manner reflecting insofar as possible the extent to which the refund is related to </t>
  </si>
  <si>
    <t>each department's activities, one or more of the portions thus allocated exceeds 0.2% of the operating revenues of</t>
  </si>
  <si>
    <t>the department to which it is allocated.</t>
  </si>
  <si>
    <t>In determining whether a refund meets the criteria stated in Instruction 1 above, multiple refunds shall be treated as a single</t>
  </si>
  <si>
    <t>refund if they share a common cause such as a common act of negotiation legislation, adjudication or rulemaking.</t>
  </si>
  <si>
    <t>In this report, the utility also shall either propose a method of distributing to its customers the entire amount refunded,</t>
  </si>
  <si>
    <t xml:space="preserve"> or show why it should not make such a distribution.</t>
  </si>
  <si>
    <t>SUBTOTAL</t>
  </si>
  <si>
    <t>Provision for Income Tax</t>
  </si>
  <si>
    <t>not used</t>
  </si>
  <si>
    <t>Sparkill 8 &amp; 11</t>
  </si>
  <si>
    <t xml:space="preserve">Nanuet 13 &amp; 14 </t>
  </si>
  <si>
    <t xml:space="preserve">Garnerville 46 </t>
  </si>
  <si>
    <t>Arsenic Treatment</t>
  </si>
  <si>
    <t>Deaeration Membrane</t>
  </si>
  <si>
    <t xml:space="preserve">should be </t>
  </si>
  <si>
    <t>difference</t>
  </si>
  <si>
    <t>Deferred Sludge Reconciliation</t>
  </si>
  <si>
    <t xml:space="preserve">                    Unamortized Debt Expense increase</t>
  </si>
  <si>
    <t xml:space="preserve"> M gals</t>
  </si>
  <si>
    <t>M gals</t>
  </si>
  <si>
    <t>Booster Station</t>
  </si>
  <si>
    <t>(74 &amp; 75)</t>
  </si>
  <si>
    <t>Page 363a</t>
  </si>
  <si>
    <t>50 Years</t>
  </si>
  <si>
    <t>Industry Association Dues</t>
  </si>
  <si>
    <t>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</si>
  <si>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</si>
  <si>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</si>
  <si>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$1,000 or more in this column showing the (1) purpose, (2) recipient</t>
  </si>
  <si>
    <t>and (3) amount of such items. Group amounts of less than $1,000 by classes if the number of items so</t>
  </si>
  <si>
    <t>grouped is shown).</t>
  </si>
  <si>
    <t>Miscellaneous Expense</t>
  </si>
  <si>
    <t>Amortization of OPEB Costs - Rate Case: 09-W-0731</t>
  </si>
  <si>
    <t>Amort of AFUDC Equity GU - Rate Case: 09-W-0731</t>
  </si>
  <si>
    <t>Bank charges</t>
  </si>
  <si>
    <t>Amortization of Rate Case Expense</t>
  </si>
  <si>
    <t>Comprehensive Health Insurance Plan</t>
  </si>
  <si>
    <t>This plan provides, through a Plan Administrator on a self funded</t>
  </si>
  <si>
    <t>basis, a choice of comprehensive or managed care insurance coverage.</t>
  </si>
  <si>
    <t>The plan provides coverage for all employees and dependents, and</t>
  </si>
  <si>
    <t>supplemental (to Medicare) coverage for all employees over 65, and</t>
  </si>
  <si>
    <t>dependents.</t>
  </si>
  <si>
    <t>Dental Plan</t>
  </si>
  <si>
    <t>The Plan provides, through an insurance carrier, for regular full</t>
  </si>
  <si>
    <t>time employees and their dependents, benefits for dental care.</t>
  </si>
  <si>
    <t>Group Life Insurance</t>
  </si>
  <si>
    <t>The Group Life Insurance Plan provides, through an insurance carrier</t>
  </si>
  <si>
    <t>term life insurance for all employees with accidental death and</t>
  </si>
  <si>
    <t>dismemberment coverage for all bargaining unit employees.</t>
  </si>
  <si>
    <t>Accident and Sickness Benefits</t>
  </si>
  <si>
    <t>time employees, disability benefits according to the New York</t>
  </si>
  <si>
    <t>State Statutory Plan.</t>
  </si>
  <si>
    <t>Sick Leave</t>
  </si>
  <si>
    <t>Sick leave is granted in accordance with Labor Agreement between</t>
  </si>
  <si>
    <t>Long Term Disability</t>
  </si>
  <si>
    <t>Through an insurance carrier, a Long Term Disability Plan covers</t>
  </si>
  <si>
    <t>executive, supervisory, and confidential employees not covered by a</t>
  </si>
  <si>
    <t>bargaining agreement.</t>
  </si>
  <si>
    <t>Retirement Plan</t>
  </si>
  <si>
    <t>The Company provides a non-contributory, qualified Retirement</t>
  </si>
  <si>
    <t>Retirement Income Security Act (ERISA) and is funded through a</t>
  </si>
  <si>
    <t>Postretirement Benefits Other Than Pension (OPEB)</t>
  </si>
  <si>
    <t>O/S</t>
  </si>
  <si>
    <t>Sparkill  (D)</t>
  </si>
  <si>
    <t>Westgate</t>
  </si>
  <si>
    <t>Monsey (D)</t>
  </si>
  <si>
    <t>8&amp;6</t>
  </si>
  <si>
    <t>(C) Well units #2 #25 and #44 converted to observation wells.</t>
  </si>
  <si>
    <t>Piermont (C,D)</t>
  </si>
  <si>
    <t>36&amp;20</t>
  </si>
  <si>
    <t>Thiells (D)</t>
  </si>
  <si>
    <t>Fairmont (C)</t>
  </si>
  <si>
    <t>Not used</t>
  </si>
  <si>
    <t>Ramapo (River Road) (D)</t>
  </si>
  <si>
    <t>Maplebrook (fka #4)</t>
  </si>
  <si>
    <t>(C) Well units, #2,#25 and #44  converted to observation wells.</t>
  </si>
  <si>
    <t>(lll)</t>
  </si>
  <si>
    <t>Monsey 31A</t>
  </si>
  <si>
    <t>Gal</t>
  </si>
  <si>
    <t>Pomona 37 &amp; 38</t>
  </si>
  <si>
    <t>Eckerson 82</t>
  </si>
  <si>
    <t>Nanuet 13 &amp; 14</t>
  </si>
  <si>
    <t>Wesel 32</t>
  </si>
  <si>
    <t>Valley Cottage Ground Tank</t>
  </si>
  <si>
    <t>DeForest WTP</t>
  </si>
  <si>
    <t>Liquid Alum</t>
  </si>
  <si>
    <t>Tons</t>
  </si>
  <si>
    <t>Lb</t>
  </si>
  <si>
    <t>Polymer</t>
  </si>
  <si>
    <t>CO2</t>
  </si>
  <si>
    <t>DeForest Reservoir</t>
  </si>
  <si>
    <t>Sparkill 8</t>
  </si>
  <si>
    <t>Tappan 16 &amp; 20</t>
  </si>
  <si>
    <t>Bardonia 19</t>
  </si>
  <si>
    <t>Piermont 25</t>
  </si>
  <si>
    <t>Piermont Booster Station</t>
  </si>
  <si>
    <t>Clausland Tank</t>
  </si>
  <si>
    <t>Stony Point Filtration Plant</t>
  </si>
  <si>
    <t xml:space="preserve">Stony Point Reservoir </t>
  </si>
  <si>
    <t>Cartwright Interconnection</t>
  </si>
  <si>
    <t>Fairmont 44</t>
  </si>
  <si>
    <t>Garnerville 46</t>
  </si>
  <si>
    <t>Thiells 48 &amp; 49</t>
  </si>
  <si>
    <t>Thiells 50 &amp; 51</t>
  </si>
  <si>
    <t>Spring Valley 1A, 3, 4, 17,6</t>
  </si>
  <si>
    <t>Viola 28 &amp; 106</t>
  </si>
  <si>
    <t>Indian Kill Water Treatment Plant</t>
  </si>
  <si>
    <t>Lb.</t>
  </si>
  <si>
    <t>PACL 900S</t>
  </si>
  <si>
    <t xml:space="preserve">OrthoPhasphate </t>
  </si>
  <si>
    <t>KMNO4</t>
  </si>
  <si>
    <t>Blue Lake Water Treatment Plant</t>
  </si>
  <si>
    <t>Carbon</t>
  </si>
  <si>
    <t>Sterling Lake Water Treatment Plant</t>
  </si>
  <si>
    <t>Maple Brook Well</t>
  </si>
  <si>
    <t>New York University Well</t>
  </si>
  <si>
    <t>a</t>
  </si>
  <si>
    <t>Actual Cost</t>
  </si>
  <si>
    <t>Long term</t>
  </si>
  <si>
    <t>Short Term</t>
  </si>
  <si>
    <t>Customers funds</t>
  </si>
  <si>
    <t xml:space="preserve">     (a)  Payroll - benefits on direct time charged to construction</t>
  </si>
  <si>
    <t xml:space="preserve">            Local - administrative and engineering time and expenses on construction related work</t>
  </si>
  <si>
    <t xml:space="preserve">            Corporate - time and benefits of corporate office spent on construction related work</t>
  </si>
  <si>
    <t xml:space="preserve">            Corporate/Local - time cards</t>
  </si>
  <si>
    <t>Corporate/Local total capitalized dollars/ total construction equals loading factor.</t>
  </si>
  <si>
    <t>the time a project reaches the construction amount of $50,000 (retroactive to</t>
  </si>
  <si>
    <t>the time actual construction was started).</t>
  </si>
  <si>
    <t>Equity Gross up</t>
  </si>
  <si>
    <t>Plan for qualified employees.  The Plan fully complies with the Employee</t>
  </si>
  <si>
    <t>New York State Office of Parks</t>
  </si>
  <si>
    <t>Purchased Water Deferral</t>
  </si>
  <si>
    <t>Revenue Reconciliation/Deferrals</t>
  </si>
  <si>
    <t>Late Payment Charges</t>
  </si>
  <si>
    <t>Meter Estimating Fees</t>
  </si>
  <si>
    <t>Unbilled Revenue</t>
  </si>
  <si>
    <t>Jan</t>
  </si>
  <si>
    <t>Feb</t>
  </si>
  <si>
    <t>Mar</t>
  </si>
  <si>
    <t>Apr</t>
  </si>
  <si>
    <t>May</t>
  </si>
  <si>
    <t>Jun</t>
  </si>
  <si>
    <t>Jul</t>
  </si>
  <si>
    <t>Aug</t>
  </si>
  <si>
    <t>Sep</t>
  </si>
  <si>
    <t>Oct</t>
  </si>
  <si>
    <t>Nov</t>
  </si>
  <si>
    <t>Dec</t>
  </si>
  <si>
    <t>Test Well #106 Viola Ramapo</t>
  </si>
  <si>
    <t>Indian Kill*</t>
  </si>
  <si>
    <t>Town of Ramapo (Monsey) (Out of Service)</t>
  </si>
  <si>
    <t>50' Dia x 35' High</t>
  </si>
  <si>
    <t>60' Dia x 25' High</t>
  </si>
  <si>
    <t>none</t>
  </si>
  <si>
    <t>1)</t>
  </si>
  <si>
    <t>2)</t>
  </si>
  <si>
    <t>3)</t>
  </si>
  <si>
    <t>Meter Fees</t>
  </si>
  <si>
    <t>Misc Charges</t>
  </si>
  <si>
    <t>Turn on Charges</t>
  </si>
  <si>
    <t>BLUE LAKE</t>
  </si>
  <si>
    <t>INDIAN KILL</t>
  </si>
  <si>
    <t>MAPLE BROOK</t>
  </si>
  <si>
    <t>STERLING LAKE</t>
  </si>
  <si>
    <t>Town of CLARKSTOWN</t>
  </si>
  <si>
    <t>Town of HAVERSTRAW</t>
  </si>
  <si>
    <t>Town of ORANGETOWN</t>
  </si>
  <si>
    <t>Town of RAMAPO</t>
  </si>
  <si>
    <t>Town of STONY POINT</t>
  </si>
  <si>
    <t>VILLAGE OF AIRMONT</t>
  </si>
  <si>
    <t>VILLAGE OF CHESTNUT RIDGE</t>
  </si>
  <si>
    <t>VILLAGE OF HAVERSTRAW</t>
  </si>
  <si>
    <t>VILLAGE OF HILLBURN</t>
  </si>
  <si>
    <t>VILLAGE OF KASER</t>
  </si>
  <si>
    <t>VILLAGE OF MONTEBELLO</t>
  </si>
  <si>
    <t>VILLAGE OF NEW SQUARE</t>
  </si>
  <si>
    <t>VILLAGE OF PIERMONT</t>
  </si>
  <si>
    <t>VILLAGE OF POMONA-RAMAPO</t>
  </si>
  <si>
    <t>VILLAGE OF POTHAT</t>
  </si>
  <si>
    <t>VILLAGE OF SLOATSBURG</t>
  </si>
  <si>
    <t>VILLAGE OF SPRING VALLEY</t>
  </si>
  <si>
    <t>VILLAGE OF SV-CLARKSTOWN</t>
  </si>
  <si>
    <t>VILLAGE OF TUXEDO</t>
  </si>
  <si>
    <t>VILLAGE OF UPPER NYACK</t>
  </si>
  <si>
    <t>VILLAGE OF W. HAVERSTRAW</t>
  </si>
  <si>
    <t>VILLAGE OF WESTLEY HILLS</t>
  </si>
  <si>
    <t xml:space="preserve">   program outreach.</t>
  </si>
  <si>
    <t xml:space="preserve">   losses and theft of service. 2) Further develop DMA's and pressure districts. 3) Continue with leak finding through </t>
  </si>
  <si>
    <t>Reflects plan participant contributions made during the year.</t>
  </si>
  <si>
    <t>M&amp;S Agreement</t>
  </si>
  <si>
    <r>
      <t xml:space="preserve">Other </t>
    </r>
    <r>
      <rPr>
        <vertAlign val="superscript"/>
        <sz val="12"/>
        <rFont val="Arial"/>
        <family val="2"/>
      </rPr>
      <t>3</t>
    </r>
  </si>
  <si>
    <r>
      <t xml:space="preserve">Metered </t>
    </r>
    <r>
      <rPr>
        <vertAlign val="superscript"/>
        <sz val="12"/>
        <rFont val="Arial"/>
        <family val="2"/>
      </rPr>
      <t>1</t>
    </r>
  </si>
  <si>
    <r>
      <t xml:space="preserve">Metered </t>
    </r>
    <r>
      <rPr>
        <vertAlign val="superscript"/>
        <sz val="12"/>
        <rFont val="Arial"/>
        <family val="2"/>
      </rPr>
      <t>2</t>
    </r>
  </si>
  <si>
    <t>Langshur</t>
  </si>
  <si>
    <t>Concrete &amp; Earth Fill</t>
  </si>
  <si>
    <t>Warwick Tuxedo (Blue Lake)</t>
  </si>
  <si>
    <t>Warwick Tuxedo (Sterling Lake)</t>
  </si>
  <si>
    <t>6. None</t>
  </si>
  <si>
    <t>VILLAGE  OF GRANDVIEW INC.</t>
  </si>
  <si>
    <t>VILLAGE POMONA-HAVERSTRAW</t>
  </si>
  <si>
    <t>PBOP Liability - Trustee</t>
  </si>
  <si>
    <t>Section 46(f)(2) ITC - Gross up</t>
  </si>
  <si>
    <t>Page 259</t>
  </si>
  <si>
    <t>Office Exp</t>
  </si>
  <si>
    <t>Per Month</t>
  </si>
  <si>
    <t>Other fees</t>
  </si>
  <si>
    <t>Deferred Tank Painting Expense</t>
  </si>
  <si>
    <t>Deferred AFUDC Equity Gross Up</t>
  </si>
  <si>
    <t>Deferred Chemical Costs</t>
  </si>
  <si>
    <t>PLAN:  Suez Water Resources Inc. Retirement Plan</t>
  </si>
  <si>
    <t>PLAN:  Suez Water Resources Inc. Retirement Plan - New York Non Bargaining Unit</t>
  </si>
  <si>
    <t xml:space="preserve">          This value is estimated based on AWWA recommendations.</t>
  </si>
  <si>
    <t xml:space="preserve">2.       (Respondent/Metered Category)  This represents any authorized unbilled consumption used by the company for activities including Plant/Production Use and House Meters.  </t>
  </si>
  <si>
    <t xml:space="preserve">          This is a measured value based on fixed meters and/or field-calibrated flow rates.                                           </t>
  </si>
  <si>
    <t xml:space="preserve">3.       (Respondent/Un-Metered Category)  This represents any authorized unbilled consumption used by the company for activities including Flushing and Distribution System Maintenance Activities.  </t>
  </si>
  <si>
    <t xml:space="preserve">          This is an estimated value based on Volumes recorded during field activities.                                                                                                                                             </t>
  </si>
  <si>
    <t xml:space="preserve">           This is an estimated value based on AWWA methodology.   </t>
  </si>
  <si>
    <t>1.       (Public/Un-Metered Category)  This represents any authorized unbilled consumption including fire-fighting, street sweeping and other types of public use.   </t>
  </si>
  <si>
    <t>4.        (Losses Accounted For/Distribution Category)  This represents losses that are accounted for through activities related to main break and service leak repairs.      </t>
  </si>
  <si>
    <t>Net Change</t>
  </si>
  <si>
    <t>461 From Road</t>
  </si>
  <si>
    <t>Paramus, NJ 07652</t>
  </si>
  <si>
    <t>Orange &amp; Rockland Utilities, ConEd, &amp; GDF Suez</t>
  </si>
  <si>
    <t>Sale of Land Parcel in Town of Clarkstown (Asset ID 000000013432, Year 1985)</t>
  </si>
  <si>
    <t>Sale of Land Parcel in Town of Clarkstown (Asset ID 000000013432, Year 1994)</t>
  </si>
  <si>
    <t xml:space="preserve">Sale of Land by Condemnation to State </t>
  </si>
  <si>
    <t>of New York for route 304 Project (Asset ID 000000013433, Year 1977)</t>
  </si>
  <si>
    <t>Sale of Land Parcel-Town of Ramapo (Asset ID 000000013434, Year 1979)</t>
  </si>
  <si>
    <t>State of New York</t>
  </si>
  <si>
    <t>County of Rockland</t>
  </si>
  <si>
    <t xml:space="preserve">Christopher Graziano makes oath and    </t>
  </si>
  <si>
    <t>Current projected growth rate is &lt; 0.5%.</t>
  </si>
  <si>
    <t>b. Compliance with the Ground Water Rule, Disinfection byproducts rule, and Cyanotoxin management</t>
  </si>
  <si>
    <t>e. Web site improvements and continue expanding on-line offerings and  e-billing</t>
  </si>
  <si>
    <t xml:space="preserve">   data logger deployment and leak noise correlation.   4) Continue to raise awareness around theft of service.</t>
  </si>
  <si>
    <t xml:space="preserve">   5) Continue with find to fix reductions.   6) Infrastructure replacement and or rehabilitation. </t>
  </si>
  <si>
    <t xml:space="preserve">   7) Potential for pressure reduction to impact UARL. 8) Accounting for water use under §566.3 and §567 section 927.</t>
  </si>
  <si>
    <t>Cartridge Filtration</t>
  </si>
  <si>
    <t>Fishing Program</t>
  </si>
  <si>
    <t>Flow Test</t>
  </si>
  <si>
    <t>New York-Water Lead Testing Credit</t>
  </si>
  <si>
    <t>Return Check Fee - New York</t>
  </si>
  <si>
    <t>Town of Haverstraw (Garnerville) (Demolished)</t>
  </si>
  <si>
    <t>Tuxedo (MapleBrook) - (Demolished)</t>
  </si>
  <si>
    <t>Regulatory Asset  - FAS 109</t>
  </si>
  <si>
    <t>Deferred Pension/OPEB</t>
  </si>
  <si>
    <t>Deferred TSA tax</t>
  </si>
  <si>
    <t>Deferred Property Taxes</t>
  </si>
  <si>
    <t xml:space="preserve">37 Only </t>
  </si>
  <si>
    <t>Deaeration membrane</t>
  </si>
  <si>
    <t>(Out of service)</t>
  </si>
  <si>
    <t>(D) Raw water treated with primary chemicals- alum, chlorine and activated carbon.  The super-chlorinated water flows through the aerator and</t>
  </si>
  <si>
    <t>Earthtec</t>
  </si>
  <si>
    <t>a/c 427</t>
  </si>
  <si>
    <t>a/c 428</t>
  </si>
  <si>
    <t>a/c 224</t>
  </si>
  <si>
    <r>
      <t xml:space="preserve">Metered </t>
    </r>
    <r>
      <rPr>
        <vertAlign val="superscript"/>
        <sz val="12"/>
        <rFont val="Arial"/>
        <family val="2"/>
      </rPr>
      <t>3</t>
    </r>
  </si>
  <si>
    <r>
      <t xml:space="preserve">bution </t>
    </r>
    <r>
      <rPr>
        <vertAlign val="superscript"/>
        <sz val="12"/>
        <rFont val="Arial"/>
        <family val="2"/>
      </rPr>
      <t>4</t>
    </r>
  </si>
  <si>
    <t>Hydrant Fees</t>
  </si>
  <si>
    <t>d. Complete well redevelopment projects, and well upgrades.</t>
  </si>
  <si>
    <t>Sales &amp; Use Audit Savings</t>
  </si>
  <si>
    <t>Other Misc Taxes (Tax Law Change) 70200</t>
  </si>
  <si>
    <t>Other (Specify) Tax Reform</t>
  </si>
  <si>
    <t>Reconciliation</t>
  </si>
  <si>
    <t>SWATERNR.XLS</t>
  </si>
  <si>
    <t>SWATERNY.XLS</t>
  </si>
  <si>
    <t>SWATEROS.XLS</t>
  </si>
  <si>
    <t>Christopher Graziano</t>
  </si>
  <si>
    <t>PBOP Liability - Internal Reserve</t>
  </si>
  <si>
    <t xml:space="preserve">  21% of Taxable Income</t>
  </si>
  <si>
    <t>p115</t>
  </si>
  <si>
    <t>p215</t>
  </si>
  <si>
    <t>p116</t>
  </si>
  <si>
    <t>UNITED WAY</t>
  </si>
  <si>
    <t>Village of Warwick</t>
  </si>
  <si>
    <t>.</t>
  </si>
  <si>
    <t>unreconciled</t>
  </si>
  <si>
    <t xml:space="preserve"> Total Income Tax Expense</t>
  </si>
  <si>
    <t xml:space="preserve">  Amortization of Investment Tax Credit (411.4)</t>
  </si>
  <si>
    <t xml:space="preserve">  Current Income Taxes (409.1)</t>
  </si>
  <si>
    <t xml:space="preserve">Customers’ bills are due on the 23rd day after the bill date. On day 28, a late payment fee is assessed </t>
  </si>
  <si>
    <t xml:space="preserve">(additional 5 day grace period). A final termination notice is sent 25 days from the bill date. If the balance remains </t>
  </si>
  <si>
    <t>Finaled accounts follow the same due date process as any other bill. If balance remains outstanding after 33 days</t>
  </si>
  <si>
    <t>of the original bill date, it is sent to a collection agency. After 120 days of the original bill date, the balance is written off.</t>
  </si>
  <si>
    <t xml:space="preserve">unpaid 18 days after the final termination is sent and the customer does not enter into a payment plan, </t>
  </si>
  <si>
    <t>a technician will attempt to collect the balance and if unsuccessful, the water is terminated.</t>
  </si>
  <si>
    <t>No access fees</t>
  </si>
  <si>
    <t>DEWBERRY ENGINEERS INC</t>
  </si>
  <si>
    <t>GMG PUBLIC RELATIONS INC</t>
  </si>
  <si>
    <t>MAHOPAC</t>
  </si>
  <si>
    <t>Surcharges</t>
  </si>
  <si>
    <t>Potake</t>
  </si>
  <si>
    <t>Earth &amp; Rock</t>
  </si>
  <si>
    <t>Letchworth **</t>
  </si>
  <si>
    <t>Blue Lake ***</t>
  </si>
  <si>
    <t>Sterling Lake ***</t>
  </si>
  <si>
    <t>* Ownership shared with the Palisades Interstate Park Commission and Orange County NY.</t>
  </si>
  <si>
    <t>** Owned and maintained by Palisades Interstate Park Commission</t>
  </si>
  <si>
    <t xml:space="preserve">The company's funding policy requires that sufficient contributions be made to meet the Minimum </t>
  </si>
  <si>
    <t>Required Contribution under ERISA for the Plan.   The company has the option to make additional</t>
  </si>
  <si>
    <t>contributions in order to avoid additional funding charges in future years. If available, the plan will</t>
  </si>
  <si>
    <t>offset any minimum required contributions with prefunding balance that results in actual cash</t>
  </si>
  <si>
    <t>contributions that are lower than the minimum required.</t>
  </si>
  <si>
    <t>Amortization of Gains or Losses</t>
  </si>
  <si>
    <t>REPORTING COMPANY - Bargaining</t>
  </si>
  <si>
    <t>*  Specify in the space below the reason(s) for any difference between the amounts reported</t>
  </si>
  <si>
    <t xml:space="preserve">    on lines 23(b) and 24(b).</t>
  </si>
  <si>
    <t>ANALYSIS OF PENSION SETTLEMENTS, CURTAILMENTS AND TERMINATIONS</t>
  </si>
  <si>
    <t>c.Continue Comprehensive Conservation Plan including fixture rebates.</t>
  </si>
  <si>
    <t xml:space="preserve">Hillburn Pump Station                          </t>
  </si>
  <si>
    <t>BI WORLDWIDE</t>
  </si>
  <si>
    <t>CDM SMITH INC</t>
  </si>
  <si>
    <t>Interest Pension/PBOP Reserve</t>
  </si>
  <si>
    <t>Interest on Finance Lease</t>
  </si>
  <si>
    <t>C14D303_200 INV 13025 SMK - ERIE SUBDIV</t>
  </si>
  <si>
    <t>C19B101_200 Lake DeForest WTP Improvements</t>
  </si>
  <si>
    <t>C19B101_200 LDF WTP Impr - Phase 2</t>
  </si>
  <si>
    <t>Kaser</t>
  </si>
  <si>
    <t>C08D301_200 INV 11263, X-11009 - PHILLIPS</t>
  </si>
  <si>
    <t>New Square</t>
  </si>
  <si>
    <t>Orangeburg</t>
  </si>
  <si>
    <t>C14C575_200 SCADA FERDON</t>
  </si>
  <si>
    <t>Upper Nyack</t>
  </si>
  <si>
    <t>Valley Cottage</t>
  </si>
  <si>
    <t>Warwick</t>
  </si>
  <si>
    <t>Wesley Hills</t>
  </si>
  <si>
    <t>West Nyack</t>
  </si>
  <si>
    <t>C19D503_200 Blanket common</t>
  </si>
  <si>
    <t>OVERHEA_200 GENERAL OVERHEAD</t>
  </si>
  <si>
    <t>Other Reg Assets- Acquisitions</t>
  </si>
  <si>
    <t>BROWN &amp; CALDWELL</t>
  </si>
  <si>
    <t>BUCK SEIFERT &amp; JOST INC</t>
  </si>
  <si>
    <t>CULLEN AND DYKMAN LLP</t>
  </si>
  <si>
    <t>CIVIL DESIGN WORKS LLC</t>
  </si>
  <si>
    <t>SIMPLE ENERGY INC</t>
  </si>
  <si>
    <t>SUBSURFACE TECHNOLOGIES INC</t>
  </si>
  <si>
    <t>DRAPER ASSOCIATES INC</t>
  </si>
  <si>
    <t>JCO INC</t>
  </si>
  <si>
    <t>Accumulated Provision for Depreciation and Amortization  of Other Utility Plant (119.2)</t>
  </si>
  <si>
    <t>Other Utility Plant (118.2)</t>
  </si>
  <si>
    <t>Right of Use assets as a result of the implementation of ASC 842:</t>
  </si>
  <si>
    <t>Forest Park - Displacement</t>
  </si>
  <si>
    <t xml:space="preserve">opinion of management, none of these matters will have a material adverse impact on the Company's financial Position </t>
  </si>
  <si>
    <t>or results of operations.</t>
  </si>
  <si>
    <t>Michael Algranati</t>
  </si>
  <si>
    <t>Mahopac</t>
  </si>
  <si>
    <t>FOREST PARK</t>
  </si>
  <si>
    <t>Country Hills (Sta 1)</t>
  </si>
  <si>
    <t>Elevated</t>
  </si>
  <si>
    <t xml:space="preserve">Geymer  </t>
  </si>
  <si>
    <t xml:space="preserve">London Bridge   </t>
  </si>
  <si>
    <t>Reservoir</t>
  </si>
  <si>
    <t xml:space="preserve">Mahopac Tank  </t>
  </si>
  <si>
    <t>glass lined</t>
  </si>
  <si>
    <t>19.6' Dia x 15.4'High</t>
  </si>
  <si>
    <t>Forest Park</t>
  </si>
  <si>
    <t>(Putnam County)</t>
  </si>
  <si>
    <t>Total Forest Park</t>
  </si>
  <si>
    <t>Page 364.  Use a separate insert sheet if more space is necessary.</t>
  </si>
  <si>
    <t>4)</t>
  </si>
  <si>
    <t xml:space="preserve">    influence of surface water, PFAS compliance</t>
  </si>
  <si>
    <t xml:space="preserve">         Other:  Increase in Paid Capital</t>
  </si>
  <si>
    <t>C20B119_200 Tallman 26 PFAS</t>
  </si>
  <si>
    <t>C20B110_200 PFOA treatment Archer</t>
  </si>
  <si>
    <t>C20B116_200 PFOA Treatment Mahopac</t>
  </si>
  <si>
    <t>C21D605_200 Suffern La County work</t>
  </si>
  <si>
    <t>C21D615_200 Hillside Ave</t>
  </si>
  <si>
    <t xml:space="preserve">C20K509_200 Hillburn Switchgear </t>
  </si>
  <si>
    <t xml:space="preserve">C20B105_200 Ramapo 27 PFOA </t>
  </si>
  <si>
    <t xml:space="preserve">C20B104_200 Pascack 65 PFOA </t>
  </si>
  <si>
    <t>C20D652_200 Piermont area WM repalcement</t>
  </si>
  <si>
    <t>C21D624_200 Lowland Hill</t>
  </si>
  <si>
    <t>SUBTOTAL PAGE 206c</t>
  </si>
  <si>
    <t>West Haverstraw</t>
  </si>
  <si>
    <t>SUBTOTAL PAGE 206d</t>
  </si>
  <si>
    <t>Haverstraw Water Supply Project</t>
  </si>
  <si>
    <t>Note:</t>
  </si>
  <si>
    <t>Assets located at 360 West Nyack Rd, West Nyack, NY 10994</t>
  </si>
  <si>
    <t>360 West Nyack Rd. to 162 Old Mill Rd, West Nyack, NY 10994</t>
  </si>
  <si>
    <t>Properties in the West Nyack location were excluded</t>
  </si>
  <si>
    <t>from rate base  effective 10/1/2020 per Case 19-W-0168.</t>
  </si>
  <si>
    <t>Prepaid Other</t>
  </si>
  <si>
    <t>428</t>
  </si>
  <si>
    <t>Deferred Purchased Water</t>
  </si>
  <si>
    <t>Deferred Power Costs</t>
  </si>
  <si>
    <t>Deferred Revenue-Levelizing</t>
  </si>
  <si>
    <t>Deferred AFUDC Equity</t>
  </si>
  <si>
    <t>Deferred Pension FAS158</t>
  </si>
  <si>
    <t>Deferred PBOP FAS158</t>
  </si>
  <si>
    <t>Regulatory Deferred Tank Painting - Amortization</t>
  </si>
  <si>
    <t>Deferred Rate Charges</t>
  </si>
  <si>
    <t>Customer Side Lead Service Line (CSLSL) Replacement Program</t>
  </si>
  <si>
    <t>Deferred Revenue Reconciliation</t>
  </si>
  <si>
    <t>Cost of Removal Regulatory Liabilities</t>
  </si>
  <si>
    <t>Deferred TCJA - surcredit adjustment</t>
  </si>
  <si>
    <t>Deferred Interest on Pension/PBOP Reserve</t>
  </si>
  <si>
    <t>Deferred Regulatory Liability-Tax Law Changes</t>
  </si>
  <si>
    <t>Regulatory Liability-TCJA - EADIT</t>
  </si>
  <si>
    <t>Regulatory Liability-TCJA 2018 Portion</t>
  </si>
  <si>
    <t>Deferred Regulatory Liability  F71/F109-Federal:ITC</t>
  </si>
  <si>
    <t>West Nyack Building Non-Utility  Depreciation</t>
  </si>
  <si>
    <t>23 MARKETING GROUP LLC</t>
  </si>
  <si>
    <t>aa</t>
  </si>
  <si>
    <t>Interest on Revenue Reconciliation Surcharge</t>
  </si>
  <si>
    <t>Annual PSC Assessment</t>
  </si>
  <si>
    <t>TSA Adjustment*</t>
  </si>
  <si>
    <t>VILLAGE OF NEW HEMPSTEAD</t>
  </si>
  <si>
    <t>FOREST PARK ***</t>
  </si>
  <si>
    <t>See pages 404a-404k</t>
  </si>
  <si>
    <t>Archer</t>
  </si>
  <si>
    <t>Capri</t>
  </si>
  <si>
    <t>Capri Estates</t>
  </si>
  <si>
    <t>Chateau</t>
  </si>
  <si>
    <t xml:space="preserve">Country Hill </t>
  </si>
  <si>
    <t>Hillsdale</t>
  </si>
  <si>
    <t xml:space="preserve">Hilltop </t>
  </si>
  <si>
    <t xml:space="preserve"> Ridge</t>
  </si>
  <si>
    <t>Meadows</t>
  </si>
  <si>
    <t xml:space="preserve">                                                                                                Page 404j</t>
  </si>
  <si>
    <t>Southeast</t>
  </si>
  <si>
    <t>London</t>
  </si>
  <si>
    <t xml:space="preserve">Mahopac </t>
  </si>
  <si>
    <t xml:space="preserve">Union Valley </t>
  </si>
  <si>
    <t>Bridge</t>
  </si>
  <si>
    <t>Misty Hills</t>
  </si>
  <si>
    <t>Soundview</t>
  </si>
  <si>
    <t xml:space="preserve">Woodhill </t>
  </si>
  <si>
    <t>Carmel</t>
  </si>
  <si>
    <t>Lewisboro</t>
  </si>
  <si>
    <t>Knolls</t>
  </si>
  <si>
    <t xml:space="preserve">Spring </t>
  </si>
  <si>
    <t>Various, FOREST PARK</t>
  </si>
  <si>
    <t>Durkin Water Co</t>
  </si>
  <si>
    <t>Covid19 related incremental costs deferred</t>
  </si>
  <si>
    <t>Amort Exp-Tax Reform Reg Liab</t>
  </si>
  <si>
    <t>Amort of Dfrrd Exp-Misc Gen-A&amp;G</t>
  </si>
  <si>
    <t>page 116</t>
  </si>
  <si>
    <t>1966?</t>
  </si>
  <si>
    <t>1972-96</t>
  </si>
  <si>
    <t>&gt;1972</t>
  </si>
  <si>
    <t>&gt;1966</t>
  </si>
  <si>
    <t>&lt;1979</t>
  </si>
  <si>
    <t>Geymer</t>
  </si>
  <si>
    <t>&lt;1965</t>
  </si>
  <si>
    <t>&lt;1971</t>
  </si>
  <si>
    <t>&lt;1968</t>
  </si>
  <si>
    <t>&gt;1968</t>
  </si>
  <si>
    <t>1959?</t>
  </si>
  <si>
    <t>&gt;1978&lt;1988</t>
  </si>
  <si>
    <t>&lt;1960</t>
  </si>
  <si>
    <t>2 (fka 3)</t>
  </si>
  <si>
    <t>1962?</t>
  </si>
  <si>
    <t>1988?</t>
  </si>
  <si>
    <t>3a</t>
  </si>
  <si>
    <t>*** FOREST PARK information regarding Wells is still being investigated, some data reported, some confirmed.</t>
  </si>
  <si>
    <t>Page 402c</t>
  </si>
  <si>
    <t>HERITAGE HILLS</t>
  </si>
  <si>
    <t>Somers, NY</t>
  </si>
  <si>
    <t>Gravel Packed</t>
  </si>
  <si>
    <t>Somers</t>
  </si>
  <si>
    <t>Heritage</t>
  </si>
  <si>
    <t>Hills</t>
  </si>
  <si>
    <t>Glass Line Steel</t>
  </si>
  <si>
    <t>90' Dia</t>
  </si>
  <si>
    <t>25.18' Dia</t>
  </si>
  <si>
    <t>High &amp; Low Press</t>
  </si>
  <si>
    <t>Heritage Hills</t>
  </si>
  <si>
    <t>Heritage Hills - Displacement</t>
  </si>
  <si>
    <t>162 Old Mill Road</t>
  </si>
  <si>
    <t>LEGAL</t>
  </si>
  <si>
    <t>ENGINEERING SERVICE</t>
  </si>
  <si>
    <t>ALTUS GROUP US INC</t>
  </si>
  <si>
    <t>MANAGEMENT</t>
  </si>
  <si>
    <t>BLACK &amp; VEATCH CORP</t>
  </si>
  <si>
    <t>CONSULTANTS</t>
  </si>
  <si>
    <t>BLACK ELECTRIC INC</t>
  </si>
  <si>
    <t>CEMCO WATER &amp; WASTEWATER SPECIALISTS</t>
  </si>
  <si>
    <t>PRINTING</t>
  </si>
  <si>
    <t>GANNETT FLEMING INC</t>
  </si>
  <si>
    <t>GMLV LLC</t>
  </si>
  <si>
    <t xml:space="preserve">DESIGN &amp; MARKETING </t>
  </si>
  <si>
    <t>GOMEZ &amp; SULLIVAN ENGINEERS PC</t>
  </si>
  <si>
    <t>SMARTECH SYSTEMS INC</t>
  </si>
  <si>
    <t>SUBURBAN ENGINEERING</t>
  </si>
  <si>
    <t>TROUTMAN PEPPER HAMILTON SANDERS LLP</t>
  </si>
  <si>
    <t>UHP LLC</t>
  </si>
  <si>
    <t>WATER MANAGEMENT INC</t>
  </si>
  <si>
    <t>WSP USA INC</t>
  </si>
  <si>
    <t xml:space="preserve">Corporate Shared Services </t>
  </si>
  <si>
    <t xml:space="preserve">Union </t>
  </si>
  <si>
    <t xml:space="preserve">Valley </t>
  </si>
  <si>
    <t>SUEZ Water Westchester Inc.</t>
  </si>
  <si>
    <t>SUEZ Water Owego-Nichols Inc.</t>
  </si>
  <si>
    <t>5/8" x 3/4"</t>
  </si>
  <si>
    <t xml:space="preserve">    SUB TOTALS</t>
  </si>
  <si>
    <t>Total Heritage Hills</t>
  </si>
  <si>
    <t>Village of Owego</t>
  </si>
  <si>
    <t>Total Village of Owego</t>
  </si>
  <si>
    <t>Town of Owego</t>
  </si>
  <si>
    <t>Total Town of Owego</t>
  </si>
  <si>
    <t>Village of Nichols</t>
  </si>
  <si>
    <t>Town of Nichols</t>
  </si>
  <si>
    <t>Total Town of Nichols</t>
  </si>
  <si>
    <t>page total</t>
  </si>
  <si>
    <t>Owego sutbotal</t>
  </si>
  <si>
    <t>Owego</t>
  </si>
  <si>
    <t>Westchester</t>
  </si>
  <si>
    <t>Eckerson #</t>
  </si>
  <si>
    <t xml:space="preserve">   control the plant effluent chlorine residual and poly-ortho-phosphate to eliminate the corrosive characteristics.  From</t>
  </si>
  <si>
    <t xml:space="preserve">   this clear water storage, the high lift pumps discharge water to the distribution system.</t>
  </si>
  <si>
    <t>VILLAGE OF OWEGO</t>
  </si>
  <si>
    <t>WELL 1</t>
  </si>
  <si>
    <t>DRIVEN</t>
  </si>
  <si>
    <t>Deep well pump</t>
  </si>
  <si>
    <t>WELL 3</t>
  </si>
  <si>
    <t>WELL 4</t>
  </si>
  <si>
    <t>VILLAGE OF NICHOLS</t>
  </si>
  <si>
    <t>WELL 2</t>
  </si>
  <si>
    <t>George</t>
  </si>
  <si>
    <t>Wiiliam</t>
  </si>
  <si>
    <t>Main</t>
  </si>
  <si>
    <t>Halstead</t>
  </si>
  <si>
    <t>W River Rd</t>
  </si>
  <si>
    <t>E River Rd</t>
  </si>
  <si>
    <t>Nichols</t>
  </si>
  <si>
    <t>NA</t>
  </si>
  <si>
    <t>system pressure</t>
  </si>
  <si>
    <t>Sodium Hypochlrite</t>
  </si>
  <si>
    <t>32'</t>
  </si>
  <si>
    <t>32'X64'</t>
  </si>
  <si>
    <t>52' X 10'</t>
  </si>
  <si>
    <t>4"-6"</t>
  </si>
  <si>
    <t>Owego Total</t>
  </si>
  <si>
    <t>Difference</t>
  </si>
  <si>
    <t>Check</t>
  </si>
  <si>
    <t>Rockland subtotal</t>
  </si>
  <si>
    <t>Archer, Mahopac</t>
  </si>
  <si>
    <t>Capri, Mahopac</t>
  </si>
  <si>
    <t>Chateau, Mahopac</t>
  </si>
  <si>
    <t>Country Hill House 1, Carmel</t>
  </si>
  <si>
    <t>Country Hill House 2, Carmel</t>
  </si>
  <si>
    <t>Geymer, Mahopac</t>
  </si>
  <si>
    <t>Hillsdale, Mahopac</t>
  </si>
  <si>
    <t>Hilltop, Brewster</t>
  </si>
  <si>
    <t>London Bridge, Mahopac</t>
  </si>
  <si>
    <t>Mahopac, Mahopac</t>
  </si>
  <si>
    <t>Misty Hills, Carmel</t>
  </si>
  <si>
    <t>Soundview, South Salem</t>
  </si>
  <si>
    <t>Spring Knolls, Brewster</t>
  </si>
  <si>
    <t>Union Valley, Mahopac</t>
  </si>
  <si>
    <t>Woodhill, Mahopac</t>
  </si>
  <si>
    <t>Turbine</t>
  </si>
  <si>
    <t>Prospectus</t>
  </si>
  <si>
    <t>Westchester Subtotal</t>
  </si>
  <si>
    <t>Total Rockland</t>
  </si>
  <si>
    <t>Meter</t>
  </si>
  <si>
    <t>Caustic pH Adjust</t>
  </si>
  <si>
    <t>gallons</t>
  </si>
  <si>
    <t>Lbs.</t>
  </si>
  <si>
    <t>3. None</t>
  </si>
  <si>
    <t>Def. Federal Inc Taxes- Other</t>
  </si>
  <si>
    <t>Def. State Income Taxes- Other</t>
  </si>
  <si>
    <t>Def. FIT-FAS109 ITC</t>
  </si>
  <si>
    <t>Def. FIT-F71/F109 G/U ITC</t>
  </si>
  <si>
    <t>Def.SIT-FAS109 ITC</t>
  </si>
  <si>
    <t>Def. SIT-F71/F109 G/U ITC</t>
  </si>
  <si>
    <t>Def FIT - ROU Assets</t>
  </si>
  <si>
    <t>Def SIT - ROU Assets</t>
  </si>
  <si>
    <t>Def Fed NOL Tax Benefit</t>
  </si>
  <si>
    <t>Def FIT - MMSD Liab OPEB</t>
  </si>
  <si>
    <t>Def SIT - MMSD Liab OPEB</t>
  </si>
  <si>
    <t>NONE</t>
  </si>
  <si>
    <t>Federal Tax Expense</t>
  </si>
  <si>
    <t>State Tax Expense</t>
  </si>
  <si>
    <t>See attachment</t>
  </si>
  <si>
    <t>PLAN:  Suez Water Resources Inc. Retirement Plan - Owego Non Bargaining Unit</t>
  </si>
  <si>
    <t>Page 359b</t>
  </si>
  <si>
    <t>Page 360b</t>
  </si>
  <si>
    <t>Page 359-B</t>
  </si>
  <si>
    <t>3.75% - 4.00%</t>
  </si>
  <si>
    <t>Page 361b</t>
  </si>
  <si>
    <t>Page 362b</t>
  </si>
  <si>
    <t>company, report under the column heading "Total Company" the data applicable to the total plan (i.e., that of the</t>
  </si>
  <si>
    <t>parent or holding company).  The column heading "New York State Jurisdiction" refers to the New York State</t>
  </si>
  <si>
    <t>Report on Lines 1 - 3 the actuarial present value of benefits attributed to employees' service rendered to the date reported</t>
  </si>
  <si>
    <t>willing buyer and a willing seller, other than in a forced or liquidation sale.</t>
  </si>
  <si>
    <t>OPEB" (issued September 7, 1993).</t>
  </si>
  <si>
    <t>Page 364b</t>
  </si>
  <si>
    <t>Page 363b</t>
  </si>
  <si>
    <t>Page 365b</t>
  </si>
  <si>
    <t>PLAN:  Suez Water Resources Inc. Retirement Plan - New York Bargaining Unit</t>
  </si>
  <si>
    <t>Page 200 line 15 + line 38</t>
  </si>
  <si>
    <t>Balance sheet line #2</t>
  </si>
  <si>
    <t>Page 200 line 23 + line 40</t>
  </si>
  <si>
    <t>Balance sheet line #3</t>
  </si>
  <si>
    <t xml:space="preserve">     Credit:  </t>
  </si>
  <si>
    <t xml:space="preserve">     Debit:  Net Income</t>
  </si>
  <si>
    <t xml:space="preserve">     Debit: </t>
  </si>
  <si>
    <t>Common Stock Dividend</t>
  </si>
  <si>
    <t>117- Amount related to sale of Pocantico Land</t>
  </si>
  <si>
    <t xml:space="preserve">Adjustments </t>
  </si>
  <si>
    <t>C15B702_046 WELL #4 FILTER BACKWASH DRAIN</t>
  </si>
  <si>
    <t>C15K501_046 BUILDING IMPROVEMENTS</t>
  </si>
  <si>
    <t>C20B109_046 Well 2 PFOA</t>
  </si>
  <si>
    <t>C20D301_046 Owego Grdns 2 WM and Tank</t>
  </si>
  <si>
    <t>C21B504_046 Upgrade Valve &amp; Vault</t>
  </si>
  <si>
    <t>OVERHEA_046 Overhead Projects</t>
  </si>
  <si>
    <t>Minor Projects</t>
  </si>
  <si>
    <t>C21K105_200 Lagoon Generator Containment</t>
  </si>
  <si>
    <t>C21B109_200 Pilot Testing</t>
  </si>
  <si>
    <t>C21D613_200 Eagle Ct  Glenmere  New City</t>
  </si>
  <si>
    <t>C21D613_200 Ardsley Dr  New City WM Repl</t>
  </si>
  <si>
    <t>C21D616_200 Joan  Hemptor  Cairngorm  Heat</t>
  </si>
  <si>
    <t>C21B111_200 Bench Testing</t>
  </si>
  <si>
    <t>C21C104_200 FP - Install Instruments</t>
  </si>
  <si>
    <t>CYYD502_200 Hilltop Meadows Repl Sh Main</t>
  </si>
  <si>
    <t>C21B110_200 Bench Testing</t>
  </si>
  <si>
    <t>C20D619_200 N Main St  Middletown Rd  Seve</t>
  </si>
  <si>
    <t>C21D618_200 Parkway Dr  Bluefields La Butt</t>
  </si>
  <si>
    <t>C21D619_200 Independence  Lester  Dogwood</t>
  </si>
  <si>
    <t>C21D606_200 Lodi Lane &amp; Lycrest Drive</t>
  </si>
  <si>
    <t>MJ_AR21_200 MJs for 2021</t>
  </si>
  <si>
    <t>C21G901_200 Hillburn PS Replace Flow Meter</t>
  </si>
  <si>
    <t>C20D618_200 Ardsley Dr  Hillman Rd WM Repl</t>
  </si>
  <si>
    <t>C20D650_200 Ethan Allen  Franklin A WM Rep</t>
  </si>
  <si>
    <t>C20D655_200 Dover  Crown  Dunhill La Stony</t>
  </si>
  <si>
    <t>Suffern</t>
  </si>
  <si>
    <t>CYYD502_200 Indian Kill Repl Short Mains V</t>
  </si>
  <si>
    <t>CYYF501_200 Indian Kill Repl Dom Services</t>
  </si>
  <si>
    <t>C20D632_200 Charlotte  Deerwood WM repl</t>
  </si>
  <si>
    <t>C20D638_200 Bridge St and Church St replac</t>
  </si>
  <si>
    <t xml:space="preserve">C21D614_200 Chapel Rd Alice St Cinder Rd </t>
  </si>
  <si>
    <t>C21D617_200 Bloom  Ridge  Morton  Harrison</t>
  </si>
  <si>
    <t>C21K511_200 LDF Boat Ramp Replacement</t>
  </si>
  <si>
    <t>SUBTOTAL PAGE 206e</t>
  </si>
  <si>
    <t>Page 206e</t>
  </si>
  <si>
    <t>Page 206d</t>
  </si>
  <si>
    <t>Page 206c</t>
  </si>
  <si>
    <t>Cost of Removal regulatory asset / liability</t>
  </si>
  <si>
    <t>391-H</t>
  </si>
  <si>
    <t>391-L</t>
  </si>
  <si>
    <t>391-S</t>
  </si>
  <si>
    <t>312-C</t>
  </si>
  <si>
    <t>312-D</t>
  </si>
  <si>
    <t>332-L</t>
  </si>
  <si>
    <t>Amortization Exp on FIN Lease (accnt 70122405)</t>
  </si>
  <si>
    <t xml:space="preserve">Total </t>
  </si>
  <si>
    <t xml:space="preserve">Deferred Pwr Costs </t>
  </si>
  <si>
    <t>Revenue Decoupling Receivable</t>
  </si>
  <si>
    <t>Deferred State Tax Charges</t>
  </si>
  <si>
    <t>COVID19 Cost Deferral</t>
  </si>
  <si>
    <t>Forest Park Acquisition Costs and Amortization</t>
  </si>
  <si>
    <t>Haverstraw Cost Deferral and Amortization</t>
  </si>
  <si>
    <t>Deferred Heritage Hills Acquisition costs</t>
  </si>
  <si>
    <t>Deferred Conservation Cost</t>
  </si>
  <si>
    <t>Deferred Employee Retention Credit</t>
  </si>
  <si>
    <t>Deferred Forest Park Regulatory Liability</t>
  </si>
  <si>
    <t>Deferred Escheats and Others</t>
  </si>
  <si>
    <t>Inventory Items</t>
  </si>
  <si>
    <t>GOOD SAMARITAN HOSPITAL FOUNDA</t>
  </si>
  <si>
    <t>HAVERSTRAW STONY POINT CENTRAL</t>
  </si>
  <si>
    <t>LEADERSHIP ROCKLAND INC</t>
  </si>
  <si>
    <t>MONTEFIORE NYACK HOSPITAL FOUN</t>
  </si>
  <si>
    <t>NON SERVICE COMPONENT - PENSION/PBOP EXPENSE</t>
  </si>
  <si>
    <t>MERCURY PUBLIC AFFAIRS LLC</t>
  </si>
  <si>
    <t>SHARED SERVICES - CORPORATE</t>
  </si>
  <si>
    <t>VARIOUS OTHER DEDUCTIONS</t>
  </si>
  <si>
    <t>Interest on Customer Side Lead Service Line Replacement Program</t>
  </si>
  <si>
    <t>Interest on Property Tax</t>
  </si>
  <si>
    <t xml:space="preserve">Allocation of Interest Expense to SWR Subs </t>
  </si>
  <si>
    <t>Deductions Recorded on Books Not Deducted for Return</t>
  </si>
  <si>
    <t>AMORTIZATION OF DEFERRED UNAMORTIZED DEBT EXPENSE</t>
  </si>
  <si>
    <t>Contributions from parent company</t>
  </si>
  <si>
    <t xml:space="preserve">          Amortization of deferred unamortized debt expense</t>
  </si>
  <si>
    <t xml:space="preserve">          Provision for bad debts</t>
  </si>
  <si>
    <t>NEW YORK STATE ELECTRIC AND GAS (NYSEG)</t>
  </si>
  <si>
    <t>Heritage Hills Water</t>
  </si>
  <si>
    <t>Caustic Soda</t>
  </si>
  <si>
    <t>CL2 Gas</t>
  </si>
  <si>
    <t>Accrual/Adjustments</t>
  </si>
  <si>
    <t>CCR / Waterway inserts / Customer Communication</t>
  </si>
  <si>
    <t>Miscellaneous service revenue</t>
  </si>
  <si>
    <t>TOWN OF OWEGO #1</t>
  </si>
  <si>
    <t>TOWN OF OWEGO #5</t>
  </si>
  <si>
    <t>TOWN OF OWEGO</t>
  </si>
  <si>
    <t>TOWN OF TIOGA</t>
  </si>
  <si>
    <t>PUBLIC AUTHORITIES</t>
  </si>
  <si>
    <t>SALES FOR RESALE</t>
  </si>
  <si>
    <t>consists of Pages 101 - 412e.</t>
  </si>
  <si>
    <t>ACI PAYMENTS INC</t>
  </si>
  <si>
    <t>COMMUNICATION/PHONE BILL PROCESSING</t>
  </si>
  <si>
    <t>ARCADIS US INC</t>
  </si>
  <si>
    <t>ATZL NASHER &amp; ZIGLER ENGINEERING AND</t>
  </si>
  <si>
    <t>BLEAKLEY PLATT &amp; SCHMIDT LLP</t>
  </si>
  <si>
    <t>CDM CONSTRUCTORS INC</t>
  </si>
  <si>
    <t>EPIQ EDISCOVERY SOLUTIONS</t>
  </si>
  <si>
    <t>HUNT ENGINEERS ARCHITECTS &amp; LAND</t>
  </si>
  <si>
    <t>ICF RESOURCES LLC</t>
  </si>
  <si>
    <t>KIRKPATRICK LAW LLC</t>
  </si>
  <si>
    <t>LITCHFIELD CAVO LLP</t>
  </si>
  <si>
    <t>PUBLIC AFFAIRS</t>
  </si>
  <si>
    <t>OPTIMUM CONTROLS CORP</t>
  </si>
  <si>
    <t>SCADATEK INC</t>
  </si>
  <si>
    <t>VRI ENVIRONMENTAL SERVICES INC</t>
  </si>
  <si>
    <t>PROJECT MANAGEMENT</t>
  </si>
  <si>
    <t>Page 402d</t>
  </si>
  <si>
    <t xml:space="preserve">                                                                                                Page 404k</t>
  </si>
  <si>
    <t>Page 404n</t>
  </si>
  <si>
    <t>Page 405g</t>
  </si>
  <si>
    <t>Page 406a</t>
  </si>
  <si>
    <t>Page 408f</t>
  </si>
  <si>
    <t>Page 410a</t>
  </si>
  <si>
    <t>Page 412e</t>
  </si>
  <si>
    <t xml:space="preserve">Veolia Water New York was founded as Spring Valley Water Works and Supply Company in 1893.  </t>
  </si>
  <si>
    <t>Veolia Water New York - Company Goals are:</t>
  </si>
  <si>
    <t>b. Veolia Utility Resources LLC has 100% direct ownership of the Company, effective January 2022.  All indirect</t>
  </si>
  <si>
    <t xml:space="preserve"> ownership is shown on page 103 and is 100% unless otherwise specified.</t>
  </si>
  <si>
    <t xml:space="preserve">Veolia Water New York, Inc. </t>
  </si>
  <si>
    <t>Rodolphe Bouichou</t>
  </si>
  <si>
    <t>John Hollenbach</t>
  </si>
  <si>
    <t>Bryant Gonzalez</t>
  </si>
  <si>
    <t>Veolia Utility Resources LLC</t>
  </si>
  <si>
    <t>Effective 1/01/2021 the following subsidiaries merged into SUEZ Water New York Inc. (now known as Veolia Water New York, Inc.):</t>
  </si>
  <si>
    <t xml:space="preserve"> Effective 1/01/2021 the following subsidiaries merged into SUEZ Water New York Inc.:  SUEZ Water Westchester Inc. </t>
  </si>
  <si>
    <t xml:space="preserve"> and SUEZ Water Owego-Nichols Inc.</t>
  </si>
  <si>
    <t xml:space="preserve">In 2022 SUEZ and Veolia merged at the parent level approved in Case #21-W-0338 </t>
  </si>
  <si>
    <t>Deferred Credits-Other</t>
  </si>
  <si>
    <t>Regulated Liabilities - Non Tax</t>
  </si>
  <si>
    <t>Other Regulatory Assets</t>
  </si>
  <si>
    <t>AFUDC Avoided Interest</t>
  </si>
  <si>
    <t>Accrued Pension - Internal Reserve</t>
  </si>
  <si>
    <t>Current Regulatory Assets</t>
  </si>
  <si>
    <t>Current Regulatory Liabilities</t>
  </si>
  <si>
    <t>Deferred Interest on Pension / PBOP Internal Reserve</t>
  </si>
  <si>
    <t>COR Regulatory Liabilities</t>
  </si>
  <si>
    <t>Amortization - Reg Def Tank Painting</t>
  </si>
  <si>
    <t>Deferred Unamort Debt Exp</t>
  </si>
  <si>
    <t>Accrued Injuries and Damages Reserve</t>
  </si>
  <si>
    <t>Accrued Sludge Removal</t>
  </si>
  <si>
    <t>AFUDC Equity Gross Up</t>
  </si>
  <si>
    <t>Rate Case Expenses</t>
  </si>
  <si>
    <t>ROU Lease Assets - Accumulated Amortization</t>
  </si>
  <si>
    <t>Tank Painting</t>
  </si>
  <si>
    <t>Prepaid Franchise</t>
  </si>
  <si>
    <t>Accrued Medical Insurance</t>
  </si>
  <si>
    <t>Lease Liability - Current</t>
  </si>
  <si>
    <t>Accrued LTIP</t>
  </si>
  <si>
    <t>Capitalized Depreciation</t>
  </si>
  <si>
    <t>Tax Repairs</t>
  </si>
  <si>
    <t>Cost of Removal</t>
  </si>
  <si>
    <t>Tax vs. Book Depreciation</t>
  </si>
  <si>
    <t>Reversal of Accrued Pension</t>
  </si>
  <si>
    <t>Reg Liability Gross Up Reclass - Remeasurement</t>
  </si>
  <si>
    <t>Tax vs. Book Gain/Loss on Disposal of Assets</t>
  </si>
  <si>
    <t>Tax vs. Book Bad Debts</t>
  </si>
  <si>
    <t>Accrued Other</t>
  </si>
  <si>
    <t>CSLSL Replacement Program</t>
  </si>
  <si>
    <t>Accrued Taxes - Other</t>
  </si>
  <si>
    <t>Other Deferred Charges</t>
  </si>
  <si>
    <t>COR Regulatory Assets</t>
  </si>
  <si>
    <t>Injury and Damage expenses</t>
  </si>
  <si>
    <t>Lease Liability - Noncurrent</t>
  </si>
  <si>
    <t>Prepaid Real Estate Taxes</t>
  </si>
  <si>
    <t>Deferred Revenue - Levelizing A/R</t>
  </si>
  <si>
    <t>Accrued Medical IBNR</t>
  </si>
  <si>
    <t>Accrued Vacation Accrual</t>
  </si>
  <si>
    <t>Cloud Computing Arrangements</t>
  </si>
  <si>
    <t>Temporary State Tax Asessment</t>
  </si>
  <si>
    <t>Copper, Lead</t>
  </si>
  <si>
    <t>Copper</t>
  </si>
  <si>
    <t>Copper, Ductile Iron</t>
  </si>
  <si>
    <t>Rockland, Forest Park &amp; Heritage Hills Total</t>
  </si>
  <si>
    <t>Mahopac Hamlet, Town of Carmel, NY</t>
  </si>
  <si>
    <t>Archer System, Well</t>
  </si>
  <si>
    <t>Geymer System, Well</t>
  </si>
  <si>
    <t>WoodhIll System, Well</t>
  </si>
  <si>
    <t>Hillsdale System, Well</t>
  </si>
  <si>
    <t>London Bridge System, Well</t>
  </si>
  <si>
    <t>Chateau System, Well</t>
  </si>
  <si>
    <t>Mahopac System, Well</t>
  </si>
  <si>
    <t>Town of Carmel, NY</t>
  </si>
  <si>
    <t>Capri System, Well</t>
  </si>
  <si>
    <t>Union Valley System, Well</t>
  </si>
  <si>
    <t>Country Hill System, Well</t>
  </si>
  <si>
    <t>Town of South East, NY</t>
  </si>
  <si>
    <t>Hilltop System, Well</t>
  </si>
  <si>
    <t>Spring Knolls System, Well</t>
  </si>
  <si>
    <t>Town of Patterson, NY</t>
  </si>
  <si>
    <t>Misty Hills System, Well</t>
  </si>
  <si>
    <t xml:space="preserve">Rockland </t>
  </si>
  <si>
    <t>Forest</t>
  </si>
  <si>
    <t>Veolia Environnement</t>
  </si>
  <si>
    <t>Veolia Water Pennsylvania</t>
  </si>
  <si>
    <t>Veolia Water Delaware</t>
  </si>
  <si>
    <t>Veolia Water New Jersey</t>
  </si>
  <si>
    <t>Veolia Water Idaho</t>
  </si>
  <si>
    <t>Veolia Water Rhode Island</t>
  </si>
  <si>
    <t>Veolia Water M&amp;S (Paramus)</t>
  </si>
  <si>
    <t>Veolia Merger Commission Order Low Income Program</t>
  </si>
  <si>
    <t>Veolia Merger Commission Order NY Refund</t>
  </si>
  <si>
    <t>Other Regulatory Liability</t>
  </si>
  <si>
    <t>284, 408</t>
  </si>
  <si>
    <t>461,462, various</t>
  </si>
  <si>
    <t>BRIDGES</t>
  </si>
  <si>
    <t>HABITAT FOR HUMANITY OF ROCKLA</t>
  </si>
  <si>
    <t>HAVERSTRAW, TOWN OF</t>
  </si>
  <si>
    <t>HAVERSTRAW, VILLAGE OF</t>
  </si>
  <si>
    <t>HISTORIC OWEGO MARKETPLACE</t>
  </si>
  <si>
    <t>MEALS ON WHEELS PROGRAMS &amp; SER</t>
  </si>
  <si>
    <t>ROCKLAND COMMUNITY FOUNDATION</t>
  </si>
  <si>
    <t>TIOGA COUNTY AGRICULTURAL SOCI</t>
  </si>
  <si>
    <t>WEST NYACK FIRE DEPARTMENT</t>
  </si>
  <si>
    <t>NATIONAL ASSOC OF WATER COMPANY</t>
  </si>
  <si>
    <t>Anupa Jacob</t>
  </si>
  <si>
    <r>
      <t>(2) __</t>
    </r>
    <r>
      <rPr>
        <u/>
        <sz val="12"/>
        <rFont val="Arial"/>
        <family val="2"/>
      </rPr>
      <t>X</t>
    </r>
    <r>
      <rPr>
        <sz val="12"/>
        <rFont val="Arial"/>
        <family val="2"/>
      </rPr>
      <t xml:space="preserve">_  No. </t>
    </r>
  </si>
  <si>
    <t>VP, Controller and Chief Accounting Officer.</t>
  </si>
  <si>
    <t>&gt;500</t>
  </si>
  <si>
    <t>408/930</t>
  </si>
  <si>
    <t>ALLIANCE CONSULTING GROUP</t>
  </si>
  <si>
    <t xml:space="preserve">CONSULTANTS </t>
  </si>
  <si>
    <t>BLACK &amp; VEATCH MANAGEMENT CONSULTING LLC</t>
  </si>
  <si>
    <t>BLACKHAWK ENGAGEMENT SOLUTIONS INC</t>
  </si>
  <si>
    <t>ERM CONSULTING &amp; ENGINEERING INC</t>
  </si>
  <si>
    <t>GANNETT FLEMMING ENGINEERS AND</t>
  </si>
  <si>
    <t>LITTLER MENDELSON PC</t>
  </si>
  <si>
    <t>MAGNIT APC I LLC</t>
  </si>
  <si>
    <t>MOTT MACDONALD LLC</t>
  </si>
  <si>
    <t xml:space="preserve">SCADA UPGRADE </t>
  </si>
  <si>
    <t>RAMBOLL AMERICAS ENGINEERING SOLUTIONS</t>
  </si>
  <si>
    <t xml:space="preserve">ADVERTISING </t>
  </si>
  <si>
    <t xml:space="preserve">          Impairment of Assets</t>
  </si>
  <si>
    <t>Annual Report of Veolia Water Owego</t>
  </si>
  <si>
    <t>C23D002_200 Default- New Short Mains</t>
  </si>
  <si>
    <t>C19D304_200 Trailing Ridge Subdivision Che</t>
  </si>
  <si>
    <t>C21C105_200 Exec-Grotke Pitless Booster Pu</t>
  </si>
  <si>
    <t>C22D604_200 Exec-S. Lexow St. Nanuet WM Re</t>
  </si>
  <si>
    <t>C22D605_200 Exec-N. Park Ave WM Replacemen</t>
  </si>
  <si>
    <t>C22D606_200 Exec-N. Lexow St. WM Repl</t>
  </si>
  <si>
    <t>C22D607_200 Exec-Singer Ave WM Replacement</t>
  </si>
  <si>
    <t>C23D502_200 Default-Replace Short Mains Va</t>
  </si>
  <si>
    <t>C23D503_200 Valve Replacement Program</t>
  </si>
  <si>
    <t>C23F501_200 default- Repl Dom Services</t>
  </si>
  <si>
    <t>CYYF001_200 Default- New Domestic Services</t>
  </si>
  <si>
    <t>C22K118_200 Property Purchase</t>
  </si>
  <si>
    <t>CYYF501_200 Soundview Repl Service</t>
  </si>
  <si>
    <t>C21D677_200 Exec-Constr -Grassy Pt Bridge</t>
  </si>
  <si>
    <t>C22D310_200 NBR 15711 Admirals Cove Subdiv</t>
  </si>
  <si>
    <t>C22B513_200 New Hempstead Deaeration Conta</t>
  </si>
  <si>
    <t>C22D609_200 Tate &amp; Elm Piermont WM offset</t>
  </si>
  <si>
    <t>CYYF003_200 Pomona   Ramapo New Fire Serv</t>
  </si>
  <si>
    <t>C20D662_200 Crestview Terr Langeris Dr Mon</t>
  </si>
  <si>
    <t>C22A512_200 Potake Low Level Outlet Valve</t>
  </si>
  <si>
    <t>C22D308_200 NBR 13824 - 64 Post Rd Subdiv</t>
  </si>
  <si>
    <t>MJ_AR21_200 XX12</t>
  </si>
  <si>
    <t>MJ_AR21_200 XX16</t>
  </si>
  <si>
    <t>OVERHED_201 General Overhead</t>
  </si>
  <si>
    <t>South Salem</t>
  </si>
  <si>
    <t>C21A108_200 Dam Inspection Ambrey</t>
  </si>
  <si>
    <t>C21A108_200 Dam Inspection Potake</t>
  </si>
  <si>
    <t>C21B510_200 LDF VFD Replacement</t>
  </si>
  <si>
    <t>C21C521_200 Exec-LDF Phase 3</t>
  </si>
  <si>
    <t>C21K502_200 162 Old Mill Slate Roof Repair</t>
  </si>
  <si>
    <t>C22A510_200 LDF Sluice Gate Repair</t>
  </si>
  <si>
    <t>C22C512_200 Potat SCADA Cabinet</t>
  </si>
  <si>
    <t>C22C512_200 WO#005</t>
  </si>
  <si>
    <t>C22C520_200 GMP 6</t>
  </si>
  <si>
    <t>C22K119_200 LDF Ph 1 Safety &amp; Security</t>
  </si>
  <si>
    <t>Total PAGE 206</t>
  </si>
  <si>
    <t xml:space="preserve">     </t>
  </si>
  <si>
    <t>Veolia Water New York has moved its principle office from</t>
  </si>
  <si>
    <t>The West Nyack office building was demolished in 2022.</t>
  </si>
  <si>
    <t>Pg 116 Line 8</t>
  </si>
  <si>
    <t>Amortization of Right of Use assets</t>
  </si>
  <si>
    <t>Pg 311 Line 8 column d</t>
  </si>
  <si>
    <t>312</t>
  </si>
  <si>
    <t>325</t>
  </si>
  <si>
    <t>326</t>
  </si>
  <si>
    <t>328</t>
  </si>
  <si>
    <t>331</t>
  </si>
  <si>
    <t>341</t>
  </si>
  <si>
    <t>342</t>
  </si>
  <si>
    <t>343</t>
  </si>
  <si>
    <t>345</t>
  </si>
  <si>
    <t>346</t>
  </si>
  <si>
    <t>348</t>
  </si>
  <si>
    <t>390</t>
  </si>
  <si>
    <t>391</t>
  </si>
  <si>
    <t>392</t>
  </si>
  <si>
    <t>393</t>
  </si>
  <si>
    <t>394</t>
  </si>
  <si>
    <t>395</t>
  </si>
  <si>
    <t>396</t>
  </si>
  <si>
    <t>397</t>
  </si>
  <si>
    <t>398</t>
  </si>
  <si>
    <t>Other Accounts (Specify):Acct.  146, 186</t>
  </si>
  <si>
    <t xml:space="preserve">Other </t>
  </si>
  <si>
    <t>Miscellaneous</t>
  </si>
  <si>
    <t>Adjust Nyack assets in Non-utility</t>
  </si>
  <si>
    <t>Page 314-A</t>
  </si>
  <si>
    <t>Page 314-B</t>
  </si>
  <si>
    <t>says:   I am the Vice President and General Manager of Veolia Water New York, Inc.</t>
  </si>
  <si>
    <t>PLAN:  SUEZ Water Resources Inc. Postretirement Medical &amp; Life Plan - Owego Non Bargaining Unit</t>
  </si>
  <si>
    <t>PLAN:  SUEZ Water Resources Inc. Postretirement Medical &amp; Life Plan - New York Non Bargaining Unit</t>
  </si>
  <si>
    <t>PLAN:  SUEZ Water Resources Inc. Postretirement Medical &amp; Life Plan - New York Bargaining Unit</t>
  </si>
  <si>
    <t>162 Old Mill Road, West Nyack, New York (845) 623 - 1500</t>
  </si>
  <si>
    <t xml:space="preserve"> George Graham  - Director Finance</t>
  </si>
  <si>
    <t xml:space="preserve"> Contact e-mail: George.Graham@veolia.com</t>
  </si>
  <si>
    <t>Page 206g</t>
  </si>
  <si>
    <t xml:space="preserve">5.        Exported Water volumes are included within General Metered Consumption for the purposes of this report for VWNY and VWON.  </t>
  </si>
  <si>
    <t xml:space="preserve">6.        Purchased Water Volume for VWWC Companies excludes water exported to neighboring utilities.  </t>
  </si>
  <si>
    <t>*** Veolia Water New York, Inc. has water rights for these impoundments.</t>
  </si>
  <si>
    <t>(1) _____Yes……..Enter the date when such independent accountant was initially engaged: ________</t>
  </si>
  <si>
    <t>January 1, 2023</t>
  </si>
  <si>
    <t>December 31, 2023</t>
  </si>
  <si>
    <t>Note: VWNY's 2023 financial statements are not certified by an independent accountant.</t>
  </si>
  <si>
    <t xml:space="preserve">The Company is involved in various litigations and disputes routine to the nature of its business. In the </t>
  </si>
  <si>
    <t>2. Veolia North America (Paramus), Inc. and its subsidiaries, including Veolia Water New York, Inc., were moved under</t>
  </si>
  <si>
    <t xml:space="preserve">Veolia North America, Inc., following an internal reorganization on  May 1, 2023.  Veolia North America, Inc. is now the </t>
  </si>
  <si>
    <t>indirect owner of Veolia Water New York, Inc.</t>
  </si>
  <si>
    <t>7. None</t>
  </si>
  <si>
    <t>8. A wage increase of 3%, of  base pay, was given to all Rockland Bargaining Unit employees, effective October 1, 2023</t>
  </si>
  <si>
    <t>Bond Discount - BU 00100 NJ and 00200 NY Only</t>
  </si>
  <si>
    <t>Prepaid Regulatory Assessment</t>
  </si>
  <si>
    <t>Deductions on Return Not Charged Against Book Income</t>
  </si>
  <si>
    <t>COR Regulatory Assets-Offset</t>
  </si>
  <si>
    <t xml:space="preserve">Total 2023 Water Utility Revenues </t>
  </si>
  <si>
    <t>Lake Tiorati</t>
  </si>
  <si>
    <t>Deferred Chemical</t>
  </si>
  <si>
    <t>Deferred Sludge Cost</t>
  </si>
  <si>
    <t>Deferred Tax Reconciliation</t>
  </si>
  <si>
    <t>VWON Stay out Regulatory Liability</t>
  </si>
  <si>
    <t>Deferred Rate Case Cost</t>
  </si>
  <si>
    <t>ARC FOUNDATION OF ROCKLAND INC</t>
  </si>
  <si>
    <t>BIG BROTHERS BIG SISTERS OF RO</t>
  </si>
  <si>
    <t>CATHOLIC CHARITIES COMMUNITY</t>
  </si>
  <si>
    <t>GREATER NANUET CHAMBER OF COMM</t>
  </si>
  <si>
    <t>HELEN HAYES HOSPITAL FOUNDATION</t>
  </si>
  <si>
    <t>HISPANIC WOMEN</t>
  </si>
  <si>
    <t>JCC ROCKLAND INC</t>
  </si>
  <si>
    <t>MADDEN, BILL HENRY</t>
  </si>
  <si>
    <t>PITONZO, JOANNA</t>
  </si>
  <si>
    <t>PUTNAM HOSPITAL CENTER FOUNDAT</t>
  </si>
  <si>
    <t>ROCKLAND BUSINESS WOMEN'S NETW</t>
  </si>
  <si>
    <t>ROCKLAND COUNTY VOLUNTEER FIRE</t>
  </si>
  <si>
    <t>ROCKLAND ROAD RUNNERS ASSOCIAT</t>
  </si>
  <si>
    <t>TOUCH - TOGETHER OUR UNITY CAN</t>
  </si>
  <si>
    <t>WEST HAVERSTRAW</t>
  </si>
  <si>
    <t>TIOGA COUNTY PUBLIC HEALTH DEPT.</t>
  </si>
  <si>
    <t xml:space="preserve">BECKERLE </t>
  </si>
  <si>
    <t>ROCKLAND  BUSINESS ASSOCIATION</t>
  </si>
  <si>
    <t>BETTER GRAPHICS</t>
  </si>
  <si>
    <t xml:space="preserve">EMPLOYEE RELATED PAYMENT </t>
  </si>
  <si>
    <t>Interest on customer deposit</t>
  </si>
  <si>
    <t>Veolia Water New Jersey-BU100</t>
  </si>
  <si>
    <t xml:space="preserve">          Others</t>
  </si>
  <si>
    <t>Veolia Sewer Operations NY</t>
  </si>
  <si>
    <t>Veolia Water New York (WC)</t>
  </si>
  <si>
    <t>Veolia Sewer New York Inc</t>
  </si>
  <si>
    <t>Veolia Water Operations</t>
  </si>
  <si>
    <t>Veolia Water Contract Ops USA</t>
  </si>
  <si>
    <t>Veolia Water USA Inc.</t>
  </si>
  <si>
    <t>930/474</t>
  </si>
  <si>
    <t>Deferred Unamortized Debt Expense</t>
  </si>
  <si>
    <t xml:space="preserve">* Amount reported in column C is the current year's </t>
  </si>
  <si>
    <t>amortization of amounts recovered in current year's rates.</t>
  </si>
  <si>
    <t xml:space="preserve">                                                        Year Ended  December 31, 2023</t>
  </si>
  <si>
    <t>The following assumptions were changed in respect to the 2023 Net Periodic Pension Cost (NPBC):</t>
  </si>
  <si>
    <t>Discount rate increased from 3.15% to 5.71% resulting in a decrease in NPBC of $44,027</t>
  </si>
  <si>
    <t>The following assumptions were changed in respect to the 12/31/2023 Projected Benefit Obligation (PBO):</t>
  </si>
  <si>
    <t>Discount rate decreased from 5.71% to 5.40% resulting in an increase in PBO of $42,256</t>
  </si>
  <si>
    <t>The following assumptions were changed with respect to the 2023 Net Periodic OPEB Cost:</t>
  </si>
  <si>
    <t>Inclusion of unused HRA notional balances resulting in an increase in expense of $1,434</t>
  </si>
  <si>
    <t>Discount rate increased from 3.16% to 5.71% resulting in a decrease in expense of $23,478</t>
  </si>
  <si>
    <t>Per capita claims costs based on updated claims experience resulting in a decrease in expense of $232</t>
  </si>
  <si>
    <t>Pre-65 trend rates were increased by 25 basis points for each year between 2024-2028 resulting in an increase in expense of $447</t>
  </si>
  <si>
    <t>The following assumptions were changed with respect to the 12/31/2023 Accumulated Post-Retirement Benefit Obligation (APBO):</t>
  </si>
  <si>
    <t>Updated HRA notional balances resulting in a decrease in APBO of $9,569</t>
  </si>
  <si>
    <t>Discount rate decreased from 5.71% to 5.41% resulting in an increase in APBO of $20,157</t>
  </si>
  <si>
    <t>The initial Pre-65 trend rate was increased by 100 basis points to 6.75% and decreases by 25 basis points between 2025-2033 resulting in</t>
  </si>
  <si>
    <t>an increase in APBO of $10,018</t>
  </si>
  <si>
    <t>Per capita claims costs based on updated claims experience resulting in an increase in APBO of $7,078</t>
  </si>
  <si>
    <t>Discount rate increased from 3.15% to 5.71% resulting in a decrease in NPBC of $418,839</t>
  </si>
  <si>
    <t>Discount rate decreased from 5.71% to 5.40% resulting in an increase in PBO of $442,704</t>
  </si>
  <si>
    <t>Discount rate increased from 3.15% to 5.71% resulting in a decrease in NPBC of $1,213,918</t>
  </si>
  <si>
    <t>Discount rate decreased from 5.71% to 5.40% resulting in an increase in PBO of $970,698</t>
  </si>
  <si>
    <t>Inclusion of unused HRA notional balances resulting in an increase in expense of $11,008</t>
  </si>
  <si>
    <t>Discount rate increased from 3.16% to 5.71% resulting in a decrease in expense of $80,057</t>
  </si>
  <si>
    <t>Per capita claims costs based on updated claims experience resulting in a decrease in expense of $584</t>
  </si>
  <si>
    <t>Pre-65 trend rates were increased by 25 basis points for each year between 2024-2028 resulting in an increase in expense of $1,029</t>
  </si>
  <si>
    <t>Updated HRA notional balances resulting in a decrease in APBO of $59,600</t>
  </si>
  <si>
    <t>Discount rate decreased from 5.71% to 5.41% resulting in an increase in APBO of $84,819</t>
  </si>
  <si>
    <t>The initial Pre-65 trend rates was increased by 100 basis points to 6.75% and decreases by 25 basis points between 2025-2033 resulting in</t>
  </si>
  <si>
    <t>an increase in APBO of $23,128</t>
  </si>
  <si>
    <t>Per capita claims costs based on updated claims experience resulting in an increase in APBO of $15,755</t>
  </si>
  <si>
    <t>Inclusion of unused HRA notional balances resulting in an increase in expense of $20,483</t>
  </si>
  <si>
    <t>Discount rate increased from 3.16% to 5.71% resulting in a decrease in expense of $225,699</t>
  </si>
  <si>
    <t>Per capita claims costs based on updated claims experience resulting in a decrease in expense of $1,849</t>
  </si>
  <si>
    <t>Pre-65 trend rates were increased by 25 basis points for each year between 2024-2028 resulting in an increase in expense of $3,310</t>
  </si>
  <si>
    <t>Updated HRA notional balances resulting in a decrease in APBO of $135,843</t>
  </si>
  <si>
    <t>Discount rate decreased from 5.71% to 5.41% resulting in an increase in APBO of $188,429</t>
  </si>
  <si>
    <t>an increase in APBO of $62,286</t>
  </si>
  <si>
    <t>Per capita claims costs based on updated claims experience resulting in an increase in APBO of $43,768</t>
  </si>
  <si>
    <t>PRINTING &amp; POSTAGE (ECOMMERCE)</t>
  </si>
  <si>
    <t>BENTLEY SYSTEMS INC</t>
  </si>
  <si>
    <t>CASS INFORMATION SYSTEMS INC</t>
  </si>
  <si>
    <t>ENGIE INSIGHT CONSOLIDATED BILLING</t>
  </si>
  <si>
    <t>ENVIRONMENTAL RESOURCES MANAGEMENT</t>
  </si>
  <si>
    <t>ESP TECHNOLOGY AND LOGISTICS INC</t>
  </si>
  <si>
    <t>FRENCH &amp; PARRELLO ASSOCIATES PA</t>
  </si>
  <si>
    <t>GANNETT FLEMING VALUATION AND RATE</t>
  </si>
  <si>
    <t>GEOVATION ENGINEERING PC</t>
  </si>
  <si>
    <t>HONEST CREATIVE LLC</t>
  </si>
  <si>
    <t>JACKSON LEWIS PC</t>
  </si>
  <si>
    <t>OPTIMA ENVIRONMENTAL SERVICES INC</t>
  </si>
  <si>
    <t>OWEIS ENGINEERING INC</t>
  </si>
  <si>
    <t>PAPAY ENGINEERING &amp; CONSTRUCTION INC</t>
  </si>
  <si>
    <t>PHASE ASSOCIATES LLC</t>
  </si>
  <si>
    <t>RELIANCE ENGINEERING GROUP LLC</t>
  </si>
  <si>
    <t>SUBURBAN CONSULTING ENGINEERS INC</t>
  </si>
  <si>
    <t>TOMCO2 SYSTEMS</t>
  </si>
  <si>
    <t>VEOLIA WATER MANANAGEMENT &amp; SERVICES</t>
  </si>
  <si>
    <t>* Max Day  -SV Wells  # 1(403)10/15,  #3(319)6/14,  #4(99)4/13, #17(400) 2/27 ,#16(179)1/12, #20(152)9/8</t>
  </si>
  <si>
    <t>1/1/203</t>
  </si>
  <si>
    <t>* Max Day for # 42A (106) 5/17,  # 54 (200) 7/10</t>
  </si>
  <si>
    <t>* Max Day for # 18-(551) 3/25  #24-(1022)7/11</t>
  </si>
  <si>
    <t>* Max Day for # 37-(0)1/1,  # 38 (318) 8/29</t>
  </si>
  <si>
    <t>* Max Day for # 67-(150) 7/14   #78-(150) 10/12</t>
  </si>
  <si>
    <t>* Max Day for # 84 (0)1/1, #85 (1027)7/10, #93 (518) 12/25, #94(740) 8/8, #95 (260) 1/14, #96 (548) 3/4</t>
  </si>
  <si>
    <t xml:space="preserve"> #97 (9) 10/23, #98 (1060) 1/27, #99 (850) 2/9,  #100 (950) 8/5</t>
  </si>
  <si>
    <t>For 2023</t>
  </si>
  <si>
    <t>12/31/2023</t>
  </si>
  <si>
    <t>Village of Owego, NY</t>
  </si>
  <si>
    <t>Owego well #1</t>
  </si>
  <si>
    <t>Owego well #3</t>
  </si>
  <si>
    <t>Owego well #4</t>
  </si>
  <si>
    <t>Village of Nichols, NY</t>
  </si>
  <si>
    <t>Owego well #2</t>
  </si>
  <si>
    <t>C23F501_200 Airmont replace services</t>
  </si>
  <si>
    <t>Brewster</t>
  </si>
  <si>
    <t>C23D502_200 Chestnut Ridge Rep Sht Mains</t>
  </si>
  <si>
    <t>C23D501_200 Default- Replace Hydrants</t>
  </si>
  <si>
    <t>C23F003_200 Default-New Fire Serv</t>
  </si>
  <si>
    <t>C21D653_200 Exec-Dsgn1- Christopher -NewCi</t>
  </si>
  <si>
    <t>C23D302_200 Exec-NBR 16034 Vista Farm WM E</t>
  </si>
  <si>
    <t>C23D609_200 Exec-Deerfoot Ln, DF WM Repl</t>
  </si>
  <si>
    <t>C23D610_200 Exec-Woodside Dr, New City WM</t>
  </si>
  <si>
    <t>C23D611_200 Exec-Mark L, New City WM Repl</t>
  </si>
  <si>
    <t>C23D622_200 Wren L New City WM Repl</t>
  </si>
  <si>
    <t>Clarkstown cont.</t>
  </si>
  <si>
    <t>C23F001_200 Clarkstown New Domestic Servic</t>
  </si>
  <si>
    <t>C23D502_200 Haverstraw Rep Sht Mains and V</t>
  </si>
  <si>
    <t>C23F001_200 Haverstraw New Domestic Servic</t>
  </si>
  <si>
    <t>Haverstraw Village</t>
  </si>
  <si>
    <t>C23D002_200 Vg haverstraw New Short Mains</t>
  </si>
  <si>
    <t>C23D502_200 Vg Haverstraw Repl Short Mains</t>
  </si>
  <si>
    <t>C23K511_200 Paving, Hillburn</t>
  </si>
  <si>
    <t>C23F001_200 Kaser New Domestic service</t>
  </si>
  <si>
    <t>C23C514_200 Mahopac Well 1</t>
  </si>
  <si>
    <t>C23F501_200 Chateau Repl Service</t>
  </si>
  <si>
    <t>C23F501_200 Mahopac Repl Service</t>
  </si>
  <si>
    <t>C23F501_200 Woodhill Repl Service</t>
  </si>
  <si>
    <t>C23K518_200 Mahopac Ph-3 Electric Upgrade</t>
  </si>
  <si>
    <t>C22D302_200 NBR 13855 Weinberger Sub, Mont</t>
  </si>
  <si>
    <t>C23D002_200 Montebello New Short Mains</t>
  </si>
  <si>
    <t>C23D303_200 Montebello Crossing</t>
  </si>
  <si>
    <t>Montebello cont.</t>
  </si>
  <si>
    <t>C23D502_200 Montebello Repl Short Mains an</t>
  </si>
  <si>
    <t>C23C514_200 Nanuet 14 Well Pump repl</t>
  </si>
  <si>
    <t>C23K511_200 Paving, Wesel 32</t>
  </si>
  <si>
    <t>C23D502_200 New Hempst Repl Short Mains Va</t>
  </si>
  <si>
    <t>C23D617_200 Pennington W New Hempstead WM</t>
  </si>
  <si>
    <t>C23F501_200 New Hempstead Repl Dom Service</t>
  </si>
  <si>
    <t>C23D501_200 New Square -Replace Hydrants</t>
  </si>
  <si>
    <t>C23F501_200 New Square Repl Dom Services</t>
  </si>
  <si>
    <t>C21B503_046 Exec-Nichols Well Treatment</t>
  </si>
  <si>
    <t>C22D612_200 Exec-Rockland Rd, Sparkill WM</t>
  </si>
  <si>
    <t>C23D301_200 NBR15931 SMK Erie St</t>
  </si>
  <si>
    <t>C23D306_200 Reserve Club Pearl River WM ex</t>
  </si>
  <si>
    <t>C23D623_200 Rockland Rd Sparkill WM Repl</t>
  </si>
  <si>
    <t>C23D628_200 Parkway Dr N Blauvelt WM Repl</t>
  </si>
  <si>
    <t>C23D629_200 Andre Hill Tappan Rd WM Repl</t>
  </si>
  <si>
    <t>C23F003_200 Orangetown New Fire Serv</t>
  </si>
  <si>
    <t>C23K504_046 Restore Office Entr Sidewalk</t>
  </si>
  <si>
    <t>C23K504_046 Pave Half George St Facility</t>
  </si>
  <si>
    <t>Owego cont.</t>
  </si>
  <si>
    <t>C24J505_046 Leak Detection/NRW</t>
  </si>
  <si>
    <t>Patterson</t>
  </si>
  <si>
    <t>C23G903_200 Misty Hills meter pits</t>
  </si>
  <si>
    <t>C23F001_200 Piermont New Domestic Service</t>
  </si>
  <si>
    <t>C23F501_200 Piermont Repl Dom Services</t>
  </si>
  <si>
    <t>C23D502_200 Pomona Have Repl Sht Mains and</t>
  </si>
  <si>
    <t>C23D502_200 Pomona Rama Repl Sht Mains and</t>
  </si>
  <si>
    <t>C23F501_200 Pomona  Have Repl Dom Services</t>
  </si>
  <si>
    <t>Putnam</t>
  </si>
  <si>
    <t>C23D001_200 Common - New Hydrants</t>
  </si>
  <si>
    <t>C20D619_200 Ackerman Av Airmont WM Rep</t>
  </si>
  <si>
    <t>C23A508_200 Potake</t>
  </si>
  <si>
    <t>C23D601_200 Exec-Columbus Ave, SV WM Repl</t>
  </si>
  <si>
    <t>C23D627_200 Crown Rd Pamapo WM Repl</t>
  </si>
  <si>
    <t>C23D502_200 Sloatsburg Repl Short Mains an</t>
  </si>
  <si>
    <t>C23F501_200 Sloatsburg Repl Dom Services</t>
  </si>
  <si>
    <t>C22J501_201 SCADA Constr/Implementation</t>
  </si>
  <si>
    <t>C23C508_201 Regulator Upgrade 2023</t>
  </si>
  <si>
    <t>C23C509_201 Well 1 Pump</t>
  </si>
  <si>
    <t>C23D501_201 Replace Hydrants</t>
  </si>
  <si>
    <t>C23D502_201 Replacement Short Mains</t>
  </si>
  <si>
    <t>C23F501_201 Replacement Domestic Services</t>
  </si>
  <si>
    <t>C23D502_200 Soundview Repl Short Main</t>
  </si>
  <si>
    <t>C21D635_200 Exec-Lindermann Wilshire SV WM</t>
  </si>
  <si>
    <t>C21D637_200 Exec-Dana Rd, Spring Valley WM</t>
  </si>
  <si>
    <t>MJ_AR22_200 2060424 - Dr Frank Rd, SV</t>
  </si>
  <si>
    <t>C23F001_200 Spring Valley New Domestic Ser</t>
  </si>
  <si>
    <t>C23F003_200 Spring Valley Ctown New Fire S</t>
  </si>
  <si>
    <t>C23F501_200 Spring Valley Ctown Repl Dom S</t>
  </si>
  <si>
    <t>C23A508_200 Stony Point</t>
  </si>
  <si>
    <t>C23D502_200 Stony Point Repl Short Mains V</t>
  </si>
  <si>
    <t>C23D602_200 Exec-Gilmore Dr, SP WM Repl</t>
  </si>
  <si>
    <t>C23D604_200 Exec-Brooks Dr, SP WM Repl</t>
  </si>
  <si>
    <t>C23D614_200 Exec-TimberTrail Suffern WM Re</t>
  </si>
  <si>
    <t>C23C514_200 Theills 51 Pump</t>
  </si>
  <si>
    <t>C23A508_200 Indian Kill</t>
  </si>
  <si>
    <t>C23D501_200 Indian Kill  Replace Hydrants</t>
  </si>
  <si>
    <t>Tuxedo cont.</t>
  </si>
  <si>
    <t>C23D502_200 NYU Replace Short Mains and Va</t>
  </si>
  <si>
    <t>C23F501_200 Tuxedo Repl Dom Services</t>
  </si>
  <si>
    <t>C23C503_200 VC Booster #2 Repair</t>
  </si>
  <si>
    <t>C23E103_200 Exec-V. Cottage Tank Mixer</t>
  </si>
  <si>
    <t>C23C503_200 Sterling Pines Pump</t>
  </si>
  <si>
    <t>C22B512_200 Willow Tree Deaeration Contact</t>
  </si>
  <si>
    <t>C23D307_200 Terrace Rd Wesley Hill WM Ext</t>
  </si>
  <si>
    <t>C23D502_200 Wesley Hills Repl Short Mains</t>
  </si>
  <si>
    <t>C23F501_200 Wesley Hills Repl Dom Services</t>
  </si>
  <si>
    <t>C23D502_200 West Haverstraw Repl Short Mai</t>
  </si>
  <si>
    <t>C23F001_200 West Haverstraw New Dom Servic</t>
  </si>
  <si>
    <t>MJ_AR23_200 WO 1</t>
  </si>
  <si>
    <t>C23J105_200 AMI Mahwah Tank</t>
  </si>
  <si>
    <t>West Nyack cont.</t>
  </si>
  <si>
    <t>C22K116_200 Exec-162 Old Mill Rd Civil Sit</t>
  </si>
  <si>
    <t>C23A508_200 LDF Dam Upgrades</t>
  </si>
  <si>
    <t>C23B108_200 PFAS EPA Rule 37 Site Study</t>
  </si>
  <si>
    <t>C23B510_200 LDF CO2 Pad</t>
  </si>
  <si>
    <t>C23D901_200 4" PRV Cla-Val</t>
  </si>
  <si>
    <t>C23D901_200 4" Cla-Val</t>
  </si>
  <si>
    <t>C23E507_200 Exec-Lake DeForest Backwash Ta</t>
  </si>
  <si>
    <t>C23K114_200 EV Charging St Old Mill Rd WO1</t>
  </si>
  <si>
    <t>C23K508_200 Upgrade Gang Room</t>
  </si>
  <si>
    <t>C23K510_200 LDF Fence</t>
  </si>
  <si>
    <t>C23K510_200 Store Room Lighting</t>
  </si>
  <si>
    <t>C23K511_200 Paving, LDF Lagoons</t>
  </si>
  <si>
    <t>C23K512_200 Stony Point VFD</t>
  </si>
  <si>
    <t>C23K516_200 Fuel System Repl</t>
  </si>
  <si>
    <t>C23K516_200 Repl Two Fuel Pumps</t>
  </si>
  <si>
    <t>C23K516_200 Repl 8 Windows</t>
  </si>
  <si>
    <t>C23K516_200 New Office Cubicles</t>
  </si>
  <si>
    <t>C23K516_200 Install New Shelving</t>
  </si>
  <si>
    <t>C23K516_200 New Office Space &amp; Repl Carpet</t>
  </si>
  <si>
    <t>C23K517_200 LDF Permanganate Demo</t>
  </si>
  <si>
    <t>On this schedule, Account 405 does not  include Amortization of Right of Use Assets in the amount of ($418)</t>
  </si>
  <si>
    <t>Amortization of Haverstraw Water Supply Project, reference Case 16-W-0130 with effective date 02/01/2017, and Case 19-W-0168 with effective date 2/1/2020, for approved 15 year amortization ending in 01/31/2032.</t>
  </si>
  <si>
    <t>Brass, Copper, Ductile Iron, Galvanized, Lead</t>
  </si>
  <si>
    <t>Copper, Ductile Iron, Lead</t>
  </si>
  <si>
    <t>Copper, PE</t>
  </si>
  <si>
    <t>Glass Lined Steel</t>
  </si>
  <si>
    <t>34' Dia x 24' High</t>
  </si>
  <si>
    <t>Tank</t>
  </si>
  <si>
    <t>Concrete &amp; AL</t>
  </si>
  <si>
    <t>Owego Gardens</t>
  </si>
  <si>
    <t>34' x 38'</t>
  </si>
  <si>
    <t>401(K) Savings Plan</t>
  </si>
  <si>
    <t>The Plan is designed to provide employees a convenient way of saving to supplement</t>
  </si>
  <si>
    <t>Veolia Water New York, Inc. and Local 363 IBEW, AFL-CIO.</t>
  </si>
  <si>
    <t xml:space="preserve">trust and group annuity contract. </t>
  </si>
  <si>
    <t>For each eligible retiree, the company's PBOP plan provides a pre-65 and post-65</t>
  </si>
  <si>
    <t>benefit. The pre-65 plan is medical coverage through United Healthcare and prescription</t>
  </si>
  <si>
    <t>coverage through Express Scripts. Premiums are paid on a monthly basis. For retirees</t>
  </si>
  <si>
    <t xml:space="preserve">that are Medicare eligible, they are provided an annual Health Reimbursement </t>
  </si>
  <si>
    <t xml:space="preserve">Arrangement ("HRA"), which can then be used to purchase supplemental medical and prescription </t>
  </si>
  <si>
    <t xml:space="preserve">drug coverage from insurance companies on a private exchange. </t>
  </si>
  <si>
    <t xml:space="preserve">their retirement plan and social security income. Participants can defer on a </t>
  </si>
  <si>
    <t>pre-tax or post-tax basis. There are also company matching contributions in this plan.</t>
  </si>
  <si>
    <t>Audited annual financial statements are not prepared for Veolia Water New York Inc.</t>
  </si>
  <si>
    <t>474, 253</t>
  </si>
  <si>
    <t>926, 426</t>
  </si>
  <si>
    <t>Tuition Reimbursement, Service Awards and Other Benefits</t>
  </si>
  <si>
    <t>SUBTOTAL PAGE 206f</t>
  </si>
  <si>
    <t>ALL OF VILLAGE</t>
  </si>
  <si>
    <t>VILLAGE OWEGO SOUTHSIDE</t>
  </si>
  <si>
    <t>f. Reduce Non Revenue Water through the following actions: 1) Continue monthly billing for reduction of apparent</t>
  </si>
  <si>
    <t>g. Zero avoidable compliance events</t>
  </si>
  <si>
    <t>h. Increase our presence in the community through volunteering and fund raising.</t>
  </si>
  <si>
    <t>i. Increase outreach and education efforts,  including conservation and infrastructure projects.  Increase school</t>
  </si>
  <si>
    <t>Grandview Well 67-78</t>
  </si>
  <si>
    <t xml:space="preserve">Arsenic Media </t>
  </si>
  <si>
    <t>CF</t>
  </si>
  <si>
    <t>PAC</t>
  </si>
  <si>
    <t>Vice President &amp; Treasurer</t>
  </si>
  <si>
    <t>Vice President &amp; General Manager</t>
  </si>
  <si>
    <t>Chief Operating Officer</t>
  </si>
  <si>
    <t>President</t>
  </si>
  <si>
    <t>James Terranova</t>
  </si>
  <si>
    <t>Assistant Secretary</t>
  </si>
  <si>
    <t>Karine Rouge</t>
  </si>
  <si>
    <t>Chief Executive Officer</t>
  </si>
  <si>
    <t xml:space="preserve">Whitney Fawcett </t>
  </si>
  <si>
    <t>Martin Vosburg</t>
  </si>
  <si>
    <t>Assistant Treasurer</t>
  </si>
  <si>
    <t>Corporate Counsel &amp; Secretary</t>
  </si>
  <si>
    <t>Vice President, Controller &amp; Chief Accounting Officer</t>
  </si>
  <si>
    <t>Jennifer Gambol</t>
  </si>
  <si>
    <t>Chief Financial Officer (hired 5/23/2023)</t>
  </si>
  <si>
    <t>(K)   "other" includes car allowance, financial planning, housing allowance and vacation payout</t>
  </si>
  <si>
    <t xml:space="preserve">Estimate </t>
  </si>
  <si>
    <t>Allocated</t>
  </si>
  <si>
    <t xml:space="preserve"> to NYRD</t>
  </si>
  <si>
    <t>Included in</t>
  </si>
  <si>
    <t xml:space="preserve"> NYRD Rates</t>
  </si>
  <si>
    <t>a. Continue with the infrastructure replacement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</si>
</sst>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mm/dd/yy_)"/>
    <numFmt numFmtId="166" formatCode="&quot;$&quot;#,##0.0000_);\(&quot;$&quot;#,##0.0000\)"/>
    <numFmt numFmtId="167" formatCode="#,##0.0000_);\(#,##0.0000\)"/>
    <numFmt numFmtId="168" formatCode="0.000%"/>
    <numFmt numFmtId="169" formatCode="#,##0.0_);\(#,##0.0\)"/>
    <numFmt numFmtId="170" formatCode="0.0%"/>
    <numFmt numFmtId="171" formatCode=";;;"/>
    <numFmt numFmtId="172" formatCode="0.00_)"/>
    <numFmt numFmtId="173" formatCode="0.0_)"/>
    <numFmt numFmtId="174" formatCode="mm/dd/yy"/>
    <numFmt numFmtId="175" formatCode="mmmm\ d\,\ yyyy"/>
    <numFmt numFmtId="176" formatCode="0.000_)"/>
    <numFmt numFmtId="177" formatCode="#,##0.000_);\(#,##0.000\)"/>
    <numFmt numFmtId="178" formatCode="_(* #,##0_);_(* \(#,##0\);_(* &quot;-&quot;??_);_(@_)"/>
    <numFmt numFmtId="179" formatCode="0.0"/>
    <numFmt numFmtId="180" formatCode="_(&quot;$&quot;* #,##0_);_(&quot;$&quot;* \(#,##0\);_(&quot;$&quot;* &quot;-&quot;??_);_(@_)"/>
    <numFmt numFmtId="181" formatCode="&quot;$&quot;#,##0"/>
    <numFmt numFmtId="182" formatCode="&quot;$&quot;#,##0.00"/>
    <numFmt numFmtId="183" formatCode="#,##0.000000000000000_);\(#,##0.000000000000000\)"/>
    <numFmt numFmtId="184" formatCode="&quot;$&quot;#,##0.00;[Red]\-&quot;$&quot;#,##0.00"/>
    <numFmt numFmtId="185" formatCode="mm/dd/yyyy"/>
    <numFmt numFmtId="186" formatCode="#,##0;[Red]\(#,##0\)"/>
    <numFmt numFmtId="187" formatCode="0.0000000%"/>
    <numFmt numFmtId="188" formatCode="[$-409]d\-mmm;@"/>
    <numFmt numFmtId="189" formatCode="#,##0.0000000000000000_);\(#,##0.0000000000000000\)"/>
    <numFmt numFmtId="190" formatCode="&quot;$&quot;#,##0.000_);\(&quot;$&quot;#,##0.000\)"/>
    <numFmt numFmtId="191" formatCode="#,##0.00000000000000000_);\(#,##0.00000000000000000\)"/>
    <numFmt numFmtId="192" formatCode="[&gt;=0]#,##0;[&lt;0]\(#,##0\)"/>
    <numFmt numFmtId="193" formatCode="_(&quot;$&quot;* #,##0.0_);_(&quot;$&quot;* \(#,##0.0\);_(&quot;$&quot;* &quot;-&quot;_);_(@_)"/>
    <numFmt numFmtId="194" formatCode="#,##0.000_);[Red]\(#,##0.000\)"/>
  </numFmts>
  <fonts count="150">
    <font>
      <sz val="12"/>
      <name val="Arial"/>
    </font>
    <font>
      <sz val="11"/>
      <color theme="1"/>
      <name val="Calibri"/>
      <family val="2"/>
      <scheme val="minor"/>
    </font>
    <font>
      <sz val="11"/>
      <color theme="1"/>
      <name val="Calibri"/>
      <family val="2"/>
      <scheme val="minor"/>
    </font>
    <font>
      <sz val="10"/>
      <name val="Arial"/>
      <family val="2"/>
    </font>
    <font>
      <sz val="10"/>
      <name val="Arial"/>
      <family val="2"/>
    </font>
    <font>
      <b/>
      <sz val="14"/>
      <name val="Arial"/>
      <family val="2"/>
    </font>
    <font>
      <sz val="12"/>
      <name val="Arial"/>
      <family val="2"/>
    </font>
    <font>
      <b/>
      <sz val="12"/>
      <name val="Arial"/>
      <family val="2"/>
    </font>
    <font>
      <b/>
      <u/>
      <sz val="12"/>
      <name val="Arial"/>
      <family val="2"/>
    </font>
    <font>
      <u/>
      <sz val="12"/>
      <name val="Arial"/>
      <family val="2"/>
    </font>
    <font>
      <u/>
      <sz val="12"/>
      <name val="Arial"/>
      <family val="2"/>
    </font>
    <font>
      <sz val="24"/>
      <name val="Arial"/>
      <family val="2"/>
    </font>
    <font>
      <sz val="24"/>
      <name val="Arial MT"/>
      <family val="2"/>
    </font>
    <font>
      <sz val="18"/>
      <name val="Arial MT"/>
      <family val="2"/>
    </font>
    <font>
      <u/>
      <sz val="18"/>
      <name val="Arial MT"/>
      <family val="2"/>
    </font>
    <font>
      <sz val="14"/>
      <name val="Arial"/>
      <family val="2"/>
    </font>
    <font>
      <b/>
      <sz val="18"/>
      <color indexed="9"/>
      <name val="Times New Roman"/>
      <family val="1"/>
    </font>
    <font>
      <sz val="12"/>
      <name val="Arial MT"/>
      <family val="2"/>
    </font>
    <font>
      <sz val="16"/>
      <name val="Arial"/>
      <family val="2"/>
    </font>
    <font>
      <sz val="14"/>
      <name val="Arial MT"/>
      <family val="2"/>
    </font>
    <font>
      <sz val="10"/>
      <color indexed="12"/>
      <name val="Courier"/>
      <family val="3"/>
    </font>
    <font>
      <sz val="14"/>
      <color indexed="12"/>
      <name val="Arial MT"/>
      <family val="2"/>
    </font>
    <font>
      <u/>
      <sz val="12"/>
      <color indexed="8"/>
      <name val="Arial"/>
      <family val="2"/>
    </font>
    <font>
      <sz val="14"/>
      <color indexed="63"/>
      <name val="Arial MT"/>
      <family val="2"/>
    </font>
    <font>
      <sz val="12"/>
      <color indexed="12"/>
      <name val="Arial MT"/>
      <family val="2"/>
    </font>
    <font>
      <sz val="12"/>
      <color indexed="63"/>
      <name val="Arial"/>
      <family val="2"/>
    </font>
    <font>
      <sz val="12"/>
      <color indexed="9"/>
      <name val="Arial"/>
      <family val="2"/>
    </font>
    <font>
      <sz val="14"/>
      <color indexed="63"/>
      <name val="Arial"/>
      <family val="2"/>
    </font>
    <font>
      <sz val="14"/>
      <color indexed="12"/>
      <name val="Arial"/>
      <family val="2"/>
    </font>
    <font>
      <sz val="12"/>
      <color indexed="12"/>
      <name val="Arial"/>
      <family val="2"/>
    </font>
    <font>
      <sz val="10"/>
      <name val="Arial"/>
      <family val="2"/>
    </font>
    <font>
      <b/>
      <sz val="9"/>
      <name val="Arial MT"/>
      <family val="2"/>
    </font>
    <font>
      <sz val="6"/>
      <name val="Arial MT"/>
      <family val="2"/>
    </font>
    <font>
      <b/>
      <sz val="24"/>
      <name val="Arial MT"/>
      <family val="2"/>
    </font>
    <font>
      <b/>
      <sz val="24"/>
      <color indexed="8"/>
      <name val="Arial MT"/>
      <family val="2"/>
    </font>
    <font>
      <b/>
      <sz val="32"/>
      <name val="Arial MT"/>
      <family val="2"/>
    </font>
    <font>
      <b/>
      <sz val="14"/>
      <name val="Arial MT"/>
      <family val="2"/>
    </font>
    <font>
      <sz val="18"/>
      <name val="Arial"/>
      <family val="2"/>
    </font>
    <font>
      <sz val="10"/>
      <name val="Arial MT"/>
      <family val="2"/>
    </font>
    <font>
      <b/>
      <sz val="10"/>
      <name val="Arial MT"/>
      <family val="2"/>
    </font>
    <font>
      <b/>
      <sz val="12"/>
      <color indexed="8"/>
      <name val="Arial MT"/>
      <family val="2"/>
    </font>
    <font>
      <sz val="8"/>
      <name val="Arial MT"/>
      <family val="2"/>
    </font>
    <font>
      <sz val="10"/>
      <color indexed="8"/>
      <name val="Arial MT"/>
      <family val="2"/>
    </font>
    <font>
      <b/>
      <sz val="10"/>
      <color indexed="8"/>
      <name val="Arial MT"/>
      <family val="2"/>
    </font>
    <font>
      <b/>
      <sz val="18"/>
      <color indexed="8"/>
      <name val="Arial MT"/>
      <family val="2"/>
    </font>
    <font>
      <b/>
      <sz val="18"/>
      <name val="Arial MT"/>
      <family val="2"/>
    </font>
    <font>
      <i/>
      <sz val="12"/>
      <name val="Arial"/>
      <family val="2"/>
    </font>
    <font>
      <sz val="12"/>
      <color indexed="8"/>
      <name val="Arial"/>
      <family val="2"/>
    </font>
    <font>
      <b/>
      <sz val="12"/>
      <color indexed="8"/>
      <name val="Arial"/>
      <family val="2"/>
    </font>
    <font>
      <sz val="10"/>
      <color indexed="8"/>
      <name val="Arial"/>
      <family val="2"/>
    </font>
    <font>
      <sz val="12"/>
      <name val="Arial MT"/>
    </font>
    <font>
      <sz val="12"/>
      <color indexed="55"/>
      <name val="Arial"/>
      <family val="2"/>
    </font>
    <font>
      <sz val="11"/>
      <name val="Arial"/>
      <family val="2"/>
    </font>
    <font>
      <b/>
      <sz val="11"/>
      <name val="Arial"/>
      <family val="2"/>
    </font>
    <font>
      <sz val="12"/>
      <color indexed="8"/>
      <name val="Arial MT"/>
      <family val="2"/>
    </font>
    <font>
      <sz val="12"/>
      <name val="Times New Roman"/>
      <family val="1"/>
    </font>
    <font>
      <sz val="10"/>
      <color indexed="12"/>
      <name val="Arial"/>
      <family val="2"/>
    </font>
    <font>
      <b/>
      <sz val="10"/>
      <color indexed="8"/>
      <name val="Arial"/>
      <family val="2"/>
    </font>
    <font>
      <sz val="14"/>
      <color indexed="8"/>
      <name val="Arial"/>
      <family val="2"/>
    </font>
    <font>
      <b/>
      <sz val="12"/>
      <name val="Arial MT"/>
      <family val="2"/>
    </font>
    <font>
      <b/>
      <i/>
      <sz val="12"/>
      <color indexed="8"/>
      <name val="Arial"/>
      <family val="2"/>
    </font>
    <font>
      <b/>
      <sz val="12"/>
      <name val="Arial MT"/>
    </font>
    <font>
      <i/>
      <sz val="12"/>
      <color indexed="8"/>
      <name val="Arial"/>
      <family val="2"/>
    </font>
    <font>
      <b/>
      <u/>
      <sz val="14"/>
      <name val="Arial MT"/>
      <family val="2"/>
    </font>
    <font>
      <sz val="13"/>
      <name val="Arial"/>
      <family val="2"/>
    </font>
    <font>
      <sz val="13"/>
      <color indexed="8"/>
      <name val="Arial"/>
      <family val="2"/>
    </font>
    <font>
      <b/>
      <sz val="16"/>
      <name val="Times New Roman"/>
      <family val="1"/>
    </font>
    <font>
      <sz val="10"/>
      <name val="Courier"/>
      <family val="3"/>
    </font>
    <font>
      <sz val="14"/>
      <name val="Courier"/>
      <family val="3"/>
    </font>
    <font>
      <b/>
      <u/>
      <sz val="12"/>
      <name val="Arial MT"/>
      <family val="2"/>
    </font>
    <font>
      <sz val="11"/>
      <name val="Arial MT"/>
      <family val="2"/>
    </font>
    <font>
      <sz val="12"/>
      <color indexed="8"/>
      <name val="Times New Roman"/>
      <family val="1"/>
    </font>
    <font>
      <sz val="11"/>
      <color indexed="8"/>
      <name val="Arial"/>
      <family val="2"/>
    </font>
    <font>
      <sz val="8"/>
      <color indexed="8"/>
      <name val="Arial MT"/>
      <family val="2"/>
    </font>
    <font>
      <sz val="10"/>
      <name val="Arial MT"/>
    </font>
    <font>
      <b/>
      <sz val="10"/>
      <name val="Arial"/>
      <family val="2"/>
    </font>
    <font>
      <sz val="10"/>
      <color indexed="8"/>
      <name val="Arial MT"/>
    </font>
    <font>
      <b/>
      <sz val="10"/>
      <name val="Arial MT"/>
    </font>
    <font>
      <sz val="10"/>
      <name val="MS Sans Serif"/>
      <family val="2"/>
    </font>
    <font>
      <sz val="12"/>
      <name val="Arial"/>
      <family val="2"/>
    </font>
    <font>
      <sz val="10"/>
      <name val="Arial Unicode MS"/>
      <family val="2"/>
    </font>
    <font>
      <u/>
      <sz val="12"/>
      <name val="Arial"/>
      <family val="2"/>
    </font>
    <font>
      <b/>
      <sz val="9"/>
      <color indexed="81"/>
      <name val="Tahoma"/>
      <family val="2"/>
    </font>
    <font>
      <sz val="9"/>
      <color indexed="81"/>
      <name val="Tahoma"/>
      <family val="2"/>
    </font>
    <font>
      <b/>
      <sz val="10"/>
      <name val="Arial Unicode MS"/>
      <family val="2"/>
    </font>
    <font>
      <b/>
      <sz val="10"/>
      <name val="Courier"/>
      <family val="3"/>
    </font>
    <font>
      <u/>
      <sz val="10"/>
      <name val="Courier"/>
      <family val="3"/>
    </font>
    <font>
      <sz val="9"/>
      <name val="Arial MT"/>
      <family val="2"/>
    </font>
    <font>
      <vertAlign val="superscript"/>
      <sz val="12"/>
      <name val="Arial"/>
      <family val="2"/>
    </font>
    <font>
      <b/>
      <sz val="12"/>
      <color indexed="32"/>
      <name val="Arial"/>
      <family val="2"/>
    </font>
    <font>
      <sz val="14"/>
      <color indexed="12"/>
      <name val="Arial MT"/>
    </font>
    <font>
      <sz val="15"/>
      <name val="Arial"/>
      <family val="2"/>
    </font>
    <font>
      <sz val="10"/>
      <color indexed="12"/>
      <name val="Courier"/>
    </font>
    <font>
      <sz val="10"/>
      <name val="Arial Unicode MS"/>
    </font>
    <font>
      <b/>
      <sz val="8"/>
      <name val="Lucida Console"/>
      <family val="3"/>
    </font>
    <font>
      <sz val="8"/>
      <name val="Lucida Console"/>
      <family val="3"/>
    </font>
    <font>
      <sz val="8"/>
      <name val="Arial"/>
      <family val="2"/>
    </font>
    <font>
      <b/>
      <i/>
      <sz val="14"/>
      <name val="Arial"/>
      <family val="2"/>
    </font>
    <font>
      <b/>
      <sz val="24"/>
      <name val="Arial Narrow"/>
      <family val="2"/>
    </font>
    <font>
      <b/>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10"/>
      <name val="Lucida Console"/>
      <family val="3"/>
    </font>
    <font>
      <b/>
      <sz val="8"/>
      <color indexed="12"/>
      <name val="Lucida Console"/>
      <family val="3"/>
    </font>
    <font>
      <b/>
      <sz val="8"/>
      <color indexed="14"/>
      <name val="Lucida Console"/>
      <family val="3"/>
    </font>
    <font>
      <i/>
      <sz val="9"/>
      <name val="Lucida Console"/>
      <family val="3"/>
    </font>
    <font>
      <b/>
      <sz val="11"/>
      <name val="Lucida Console"/>
      <family val="3"/>
    </font>
    <font>
      <sz val="12"/>
      <color indexed="38"/>
      <name val="Arial"/>
      <family val="2"/>
    </font>
    <font>
      <b/>
      <i/>
      <sz val="1"/>
      <color indexed="9"/>
      <name val="Arial"/>
      <family val="2"/>
    </font>
    <font>
      <i/>
      <sz val="1"/>
      <color indexed="9"/>
      <name val="Arial"/>
      <family val="2"/>
    </font>
    <font>
      <sz val="12"/>
      <color indexed="18"/>
      <name val="Arial"/>
      <family val="2"/>
    </font>
    <font>
      <sz val="1"/>
      <color indexed="9"/>
      <name val="Arial"/>
      <family val="2"/>
    </font>
    <font>
      <b/>
      <sz val="12"/>
      <color indexed="18"/>
      <name val="Arial"/>
      <family val="2"/>
    </font>
    <font>
      <sz val="11"/>
      <name val="Courier"/>
    </font>
    <font>
      <sz val="11"/>
      <color theme="1"/>
      <name val="Calibri"/>
      <family val="2"/>
      <scheme val="minor"/>
    </font>
    <font>
      <b/>
      <sz val="14"/>
      <color theme="1"/>
      <name val="Arial"/>
      <family val="2"/>
    </font>
    <font>
      <sz val="12"/>
      <color theme="1"/>
      <name val="Arial"/>
      <family val="2"/>
    </font>
    <font>
      <b/>
      <sz val="12"/>
      <color theme="1"/>
      <name val="Arial"/>
      <family val="2"/>
    </font>
    <font>
      <b/>
      <u/>
      <sz val="12"/>
      <color theme="1"/>
      <name val="Arial"/>
      <family val="2"/>
    </font>
    <font>
      <u/>
      <sz val="12"/>
      <color theme="1"/>
      <name val="Arial"/>
      <family val="2"/>
    </font>
    <font>
      <sz val="14"/>
      <color theme="1"/>
      <name val="Arial"/>
      <family val="2"/>
    </font>
    <font>
      <sz val="14"/>
      <color theme="1"/>
      <name val="Arial MT"/>
    </font>
    <font>
      <sz val="10"/>
      <color theme="1"/>
      <name val="Arial"/>
      <family val="2"/>
    </font>
    <font>
      <sz val="14"/>
      <color theme="1"/>
      <name val="Arial MT"/>
      <family val="2"/>
    </font>
    <font>
      <b/>
      <sz val="12"/>
      <color theme="1"/>
      <name val="Arial MT"/>
      <family val="2"/>
    </font>
    <font>
      <sz val="12"/>
      <color rgb="FFFF0000"/>
      <name val="Arial MT"/>
      <family val="2"/>
    </font>
    <font>
      <sz val="12"/>
      <color rgb="FFFF0000"/>
      <name val="Arial"/>
      <family val="2"/>
    </font>
    <font>
      <i/>
      <sz val="12"/>
      <color rgb="FF0033CC"/>
      <name val="Calibri"/>
      <family val="2"/>
    </font>
    <font>
      <i/>
      <sz val="12"/>
      <color theme="4" tint="-0.499984740745262"/>
      <name val="Arial"/>
      <family val="2"/>
    </font>
    <font>
      <b/>
      <sz val="12"/>
      <color rgb="FFFF0000"/>
      <name val="Arial"/>
      <family val="2"/>
    </font>
    <font>
      <sz val="11"/>
      <name val="Calibri"/>
      <family val="2"/>
      <scheme val="minor"/>
    </font>
    <font>
      <sz val="10"/>
      <color rgb="FFFF0000"/>
      <name val="Arial"/>
      <family val="2"/>
    </font>
    <font>
      <sz val="8"/>
      <color indexed="13"/>
      <name val="MS Sans Serif"/>
    </font>
    <font>
      <u/>
      <sz val="10"/>
      <color indexed="8"/>
      <name val="Arial MT"/>
      <family val="2"/>
    </font>
    <font>
      <sz val="12"/>
      <color indexed="8"/>
      <name val="Arial MT"/>
    </font>
    <font>
      <b/>
      <sz val="10"/>
      <color rgb="FFFF0000"/>
      <name val="Arial"/>
      <family val="2"/>
    </font>
    <font>
      <b/>
      <u/>
      <sz val="10"/>
      <color indexed="8"/>
      <name val="Arial MT"/>
    </font>
    <font>
      <sz val="12"/>
      <color rgb="FF00B050"/>
      <name val="Arial"/>
      <family val="2"/>
    </font>
    <font>
      <sz val="12"/>
      <name val="Arial"/>
      <family val="2"/>
    </font>
    <font>
      <sz val="12"/>
      <color theme="1"/>
      <name val="Arial"/>
      <family val="2"/>
    </font>
    <font>
      <sz val="12"/>
      <color rgb="FF000000"/>
      <name val="Arial"/>
      <family val="2"/>
    </font>
    <font>
      <sz val="10"/>
      <color rgb="FF000000"/>
      <name val="Arial"/>
      <family val="2"/>
    </font>
    <font>
      <sz val="8"/>
      <name val="MS Sans Serif"/>
      <family val="2"/>
    </font>
    <font>
      <u/>
      <sz val="11"/>
      <color theme="10"/>
      <name val="Calibri"/>
      <family val="2"/>
      <scheme val="minor"/>
    </font>
    <font>
      <sz val="11"/>
      <color indexed="8"/>
      <name val="Calibri"/>
      <family val="2"/>
      <scheme val="minor"/>
    </font>
  </fonts>
  <fills count="39">
    <fill>
      <patternFill patternType="none"/>
    </fill>
    <fill>
      <patternFill patternType="gray125"/>
    </fill>
    <fill>
      <patternFill patternType="solid">
        <fgColor indexed="22"/>
      </patternFill>
    </fill>
    <fill>
      <patternFill patternType="darkUp">
        <fgColor indexed="0"/>
        <bgColor indexed="0"/>
      </patternFill>
    </fill>
    <fill>
      <patternFill patternType="solid">
        <fgColor indexed="42"/>
        <bgColor indexed="64"/>
      </patternFill>
    </fill>
    <fill>
      <patternFill patternType="mediumGray">
        <fgColor indexed="22"/>
      </patternFill>
    </fill>
    <fill>
      <patternFill patternType="solid">
        <fgColor indexed="41"/>
        <bgColor indexed="64"/>
      </patternFill>
    </fill>
    <fill>
      <patternFill patternType="solid">
        <fgColor indexed="22"/>
        <bgColor indexed="64"/>
      </patternFill>
    </fill>
    <fill>
      <patternFill patternType="solid">
        <fgColor indexed="61"/>
        <bgColor indexed="61"/>
      </patternFill>
    </fill>
    <fill>
      <patternFill patternType="solid">
        <fgColor indexed="9"/>
        <bgColor indexed="9"/>
      </patternFill>
    </fill>
    <fill>
      <patternFill patternType="solid">
        <fgColor indexed="13"/>
        <bgColor indexed="13"/>
      </patternFill>
    </fill>
    <fill>
      <patternFill patternType="solid">
        <fgColor indexed="15"/>
        <bgColor indexed="15"/>
      </patternFill>
    </fill>
    <fill>
      <patternFill patternType="solid">
        <fgColor indexed="35"/>
        <bgColor indexed="35"/>
      </patternFill>
    </fill>
    <fill>
      <patternFill patternType="solid">
        <fgColor indexed="42"/>
        <bgColor indexed="42"/>
      </patternFill>
    </fill>
    <fill>
      <patternFill patternType="lightGray">
        <fgColor indexed="8"/>
      </patternFill>
    </fill>
    <fill>
      <patternFill patternType="lightGray">
        <fgColor indexed="8"/>
        <bgColor indexed="9"/>
      </patternFill>
    </fill>
    <fill>
      <patternFill patternType="solid">
        <fgColor indexed="23"/>
      </patternFill>
    </fill>
    <fill>
      <patternFill patternType="solid">
        <fgColor indexed="55"/>
        <bgColor indexed="55"/>
      </patternFill>
    </fill>
    <fill>
      <patternFill patternType="darkHorizontal">
        <fgColor indexed="8"/>
      </patternFill>
    </fill>
    <fill>
      <patternFill patternType="darkHorizontal">
        <fgColor indexed="8"/>
        <bgColor indexed="9"/>
      </patternFill>
    </fill>
    <fill>
      <patternFill patternType="solid">
        <fgColor indexed="22"/>
        <bgColor indexed="22"/>
      </patternFill>
    </fill>
    <fill>
      <patternFill patternType="lightGray">
        <fgColor indexed="22"/>
        <bgColor indexed="8"/>
      </patternFill>
    </fill>
    <fill>
      <patternFill patternType="darkHorizontal">
        <fgColor indexed="8"/>
        <bgColor indexed="8"/>
      </patternFill>
    </fill>
    <fill>
      <patternFill patternType="solid">
        <fgColor indexed="8"/>
        <bgColor indexed="22"/>
      </patternFill>
    </fill>
    <fill>
      <patternFill patternType="solid">
        <fgColor indexed="23"/>
        <bgColor indexed="64"/>
      </patternFill>
    </fill>
    <fill>
      <patternFill patternType="gray125">
        <fgColor indexed="8"/>
        <bgColor indexed="22"/>
      </patternFill>
    </fill>
    <fill>
      <patternFill patternType="solid">
        <fgColor indexed="9"/>
        <bgColor indexed="64"/>
      </patternFill>
    </fill>
    <fill>
      <patternFill patternType="solid">
        <fgColor indexed="9"/>
        <bgColor indexed="61"/>
      </patternFill>
    </fill>
    <fill>
      <patternFill patternType="solid">
        <fgColor indexed="41"/>
        <bgColor indexed="9"/>
      </patternFill>
    </fill>
    <fill>
      <patternFill patternType="solid">
        <fgColor theme="0"/>
        <bgColor indexed="64"/>
      </patternFill>
    </fill>
    <fill>
      <patternFill patternType="solid">
        <fgColor indexed="18"/>
      </patternFill>
    </fill>
    <fill>
      <patternFill patternType="solid">
        <fgColor rgb="FFFFFFFF"/>
        <bgColor indexed="64"/>
      </patternFill>
    </fill>
    <fill>
      <patternFill patternType="solid">
        <fgColor rgb="FFFFFFFF"/>
        <bgColor indexed="9"/>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theme="0"/>
      </patternFill>
    </fill>
    <fill>
      <patternFill patternType="solid">
        <fgColor rgb="FFFFFFFF"/>
        <bgColor rgb="FFFFFFFF"/>
      </patternFill>
    </fill>
    <fill>
      <patternFill patternType="solid">
        <fgColor rgb="FFFFFF00"/>
        <bgColor rgb="FFFFFF00"/>
      </patternFill>
    </fill>
    <fill>
      <patternFill patternType="solid">
        <fgColor theme="4" tint="0.79998168889431442"/>
        <bgColor indexed="65"/>
      </patternFill>
    </fill>
  </fills>
  <borders count="188">
    <border>
      <left/>
      <right/>
      <top/>
      <bottom/>
      <diagonal/>
    </border>
    <border>
      <left/>
      <right/>
      <top style="double">
        <color indexed="64"/>
      </top>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diagonal style="double">
        <color indexed="0"/>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right/>
      <top/>
      <bottom style="medium">
        <color indexed="8"/>
      </bottom>
      <diagonal/>
    </border>
    <border>
      <left/>
      <right/>
      <top/>
      <bottom style="hair">
        <color indexed="8"/>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right style="thin">
        <color indexed="8"/>
      </right>
      <top/>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medium">
        <color indexed="8"/>
      </right>
      <top/>
      <bottom style="thin">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diagonal/>
    </border>
    <border>
      <left style="thin">
        <color indexed="8"/>
      </left>
      <right style="medium">
        <color indexed="8"/>
      </right>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style="thin">
        <color indexed="8"/>
      </top>
      <bottom style="medium">
        <color indexed="8"/>
      </bottom>
      <diagonal/>
    </border>
    <border>
      <left style="thin">
        <color indexed="8"/>
      </left>
      <right/>
      <top/>
      <bottom style="medium">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thin">
        <color indexed="8"/>
      </left>
      <right style="thin">
        <color indexed="8"/>
      </right>
      <top/>
      <bottom style="double">
        <color indexed="8"/>
      </bottom>
      <diagonal/>
    </border>
    <border>
      <left/>
      <right style="medium">
        <color indexed="8"/>
      </right>
      <top/>
      <bottom style="double">
        <color indexed="8"/>
      </bottom>
      <diagonal/>
    </border>
    <border>
      <left style="thin">
        <color indexed="8"/>
      </left>
      <right style="thin">
        <color indexed="8"/>
      </right>
      <top style="thin">
        <color indexed="8"/>
      </top>
      <bottom style="double">
        <color indexed="8"/>
      </bottom>
      <diagonal/>
    </border>
    <border>
      <left/>
      <right style="medium">
        <color indexed="8"/>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style="thin">
        <color indexed="8"/>
      </right>
      <top/>
      <bottom style="double">
        <color indexed="8"/>
      </bottom>
      <diagonal/>
    </border>
    <border>
      <left style="thin">
        <color indexed="8"/>
      </left>
      <right/>
      <top style="thin">
        <color indexed="8"/>
      </top>
      <bottom style="double">
        <color indexed="8"/>
      </bottom>
      <diagonal/>
    </border>
    <border>
      <left style="medium">
        <color indexed="8"/>
      </left>
      <right style="medium">
        <color indexed="8"/>
      </right>
      <top style="medium">
        <color indexed="8"/>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thin">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style="medium">
        <color indexed="8"/>
      </left>
      <right style="medium">
        <color indexed="8"/>
      </right>
      <top style="medium">
        <color indexed="8"/>
      </top>
      <bottom style="medium">
        <color indexed="8"/>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8"/>
      </left>
      <right style="thin">
        <color indexed="64"/>
      </right>
      <top style="thin">
        <color indexed="8"/>
      </top>
      <bottom style="thin">
        <color indexed="8"/>
      </bottom>
      <diagonal/>
    </border>
    <border>
      <left style="medium">
        <color indexed="8"/>
      </left>
      <right style="thin">
        <color indexed="8"/>
      </right>
      <top style="medium">
        <color indexed="8"/>
      </top>
      <bottom/>
      <diagonal/>
    </border>
    <border>
      <left/>
      <right style="thin">
        <color indexed="8"/>
      </right>
      <top style="medium">
        <color indexed="8"/>
      </top>
      <bottom/>
      <diagonal/>
    </border>
    <border>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style="medium">
        <color indexed="8"/>
      </right>
      <top style="medium">
        <color indexed="8"/>
      </top>
      <bottom/>
      <diagonal/>
    </border>
    <border>
      <left style="thin">
        <color indexed="64"/>
      </left>
      <right style="medium">
        <color indexed="8"/>
      </right>
      <top/>
      <bottom/>
      <diagonal/>
    </border>
    <border>
      <left style="thin">
        <color indexed="8"/>
      </left>
      <right style="medium">
        <color indexed="8"/>
      </right>
      <top style="medium">
        <color indexed="8"/>
      </top>
      <bottom/>
      <diagonal/>
    </border>
    <border>
      <left style="thin">
        <color indexed="8"/>
      </left>
      <right style="thin">
        <color indexed="64"/>
      </right>
      <top/>
      <bottom style="thin">
        <color indexed="8"/>
      </bottom>
      <diagonal/>
    </border>
    <border>
      <left style="thin">
        <color indexed="8"/>
      </left>
      <right style="thin">
        <color indexed="64"/>
      </right>
      <top/>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8"/>
      </bottom>
      <diagonal/>
    </border>
    <border>
      <left style="thin">
        <color indexed="8"/>
      </left>
      <right style="thin">
        <color indexed="8"/>
      </right>
      <top style="medium">
        <color indexed="64"/>
      </top>
      <bottom/>
      <diagonal/>
    </border>
    <border>
      <left/>
      <right style="medium">
        <color indexed="64"/>
      </right>
      <top/>
      <bottom style="thin">
        <color indexed="8"/>
      </bottom>
      <diagonal/>
    </border>
    <border>
      <left style="medium">
        <color indexed="64"/>
      </left>
      <right style="thin">
        <color indexed="8"/>
      </right>
      <top style="medium">
        <color indexed="64"/>
      </top>
      <bottom style="thin">
        <color indexed="8"/>
      </bottom>
      <diagonal/>
    </border>
    <border>
      <left/>
      <right style="thin">
        <color indexed="8"/>
      </right>
      <top style="medium">
        <color indexed="64"/>
      </top>
      <bottom style="thin">
        <color indexed="8"/>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thin">
        <color indexed="8"/>
      </right>
      <top style="thin">
        <color indexed="8"/>
      </top>
      <bottom/>
      <diagonal/>
    </border>
    <border>
      <left style="thin">
        <color indexed="64"/>
      </left>
      <right style="medium">
        <color indexed="64"/>
      </right>
      <top/>
      <bottom/>
      <diagonal/>
    </border>
    <border>
      <left style="medium">
        <color indexed="64"/>
      </left>
      <right style="thin">
        <color indexed="8"/>
      </right>
      <top style="thin">
        <color indexed="8"/>
      </top>
      <bottom style="double">
        <color indexed="8"/>
      </bottom>
      <diagonal/>
    </border>
    <border>
      <left/>
      <right style="thin">
        <color indexed="8"/>
      </right>
      <top style="thin">
        <color indexed="8"/>
      </top>
      <bottom style="double">
        <color indexed="8"/>
      </bottom>
      <diagonal/>
    </border>
    <border>
      <left/>
      <right style="medium">
        <color indexed="64"/>
      </right>
      <top style="thin">
        <color indexed="8"/>
      </top>
      <bottom style="double">
        <color indexed="8"/>
      </bottom>
      <diagonal/>
    </border>
    <border>
      <left style="thin">
        <color indexed="8"/>
      </left>
      <right style="thin">
        <color indexed="64"/>
      </right>
      <top style="thin">
        <color indexed="8"/>
      </top>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style="double">
        <color indexed="64"/>
      </bottom>
      <diagonal/>
    </border>
    <border>
      <left/>
      <right style="thin">
        <color indexed="8"/>
      </right>
      <top style="thin">
        <color indexed="8"/>
      </top>
      <bottom style="double">
        <color indexed="64"/>
      </bottom>
      <diagonal/>
    </border>
    <border>
      <left style="medium">
        <color indexed="64"/>
      </left>
      <right style="thin">
        <color indexed="8"/>
      </right>
      <top style="double">
        <color indexed="64"/>
      </top>
      <bottom/>
      <diagonal/>
    </border>
    <border>
      <left style="thin">
        <color indexed="8"/>
      </left>
      <right style="thin">
        <color indexed="8"/>
      </right>
      <top style="double">
        <color indexed="64"/>
      </top>
      <bottom/>
      <diagonal/>
    </border>
    <border>
      <left style="thin">
        <color indexed="8"/>
      </left>
      <right style="medium">
        <color indexed="8"/>
      </right>
      <top style="thin">
        <color indexed="8"/>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double">
        <color indexed="8"/>
      </top>
      <bottom style="double">
        <color indexed="64"/>
      </bottom>
      <diagonal/>
    </border>
    <border>
      <left style="thin">
        <color indexed="8"/>
      </left>
      <right style="thin">
        <color indexed="8"/>
      </right>
      <top style="double">
        <color indexed="8"/>
      </top>
      <bottom style="double">
        <color indexed="64"/>
      </bottom>
      <diagonal/>
    </border>
    <border>
      <left style="thin">
        <color indexed="8"/>
      </left>
      <right style="medium">
        <color indexed="64"/>
      </right>
      <top style="double">
        <color indexed="8"/>
      </top>
      <bottom style="double">
        <color indexed="64"/>
      </bottom>
      <diagonal/>
    </border>
    <border>
      <left style="thin">
        <color indexed="8"/>
      </left>
      <right style="medium">
        <color indexed="8"/>
      </right>
      <top style="medium">
        <color indexed="8"/>
      </top>
      <bottom style="medium">
        <color indexed="8"/>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style="medium">
        <color indexed="8"/>
      </left>
      <right style="thin">
        <color indexed="8"/>
      </right>
      <top/>
      <bottom style="medium">
        <color indexed="64"/>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style="medium">
        <color indexed="8"/>
      </top>
      <bottom/>
      <diagonal/>
    </border>
    <border>
      <left style="thin">
        <color indexed="64"/>
      </left>
      <right style="thin">
        <color indexed="8"/>
      </right>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thin">
        <color indexed="64"/>
      </right>
      <top/>
      <bottom style="medium">
        <color indexed="8"/>
      </bottom>
      <diagonal/>
    </border>
    <border>
      <left style="thin">
        <color indexed="8"/>
      </left>
      <right style="thin">
        <color indexed="8"/>
      </right>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double">
        <color indexed="8"/>
      </bottom>
      <diagonal/>
    </border>
    <border>
      <left style="medium">
        <color indexed="64"/>
      </left>
      <right style="thin">
        <color indexed="8"/>
      </right>
      <top style="medium">
        <color indexed="64"/>
      </top>
      <bottom style="medium">
        <color indexed="64"/>
      </bottom>
      <diagonal/>
    </border>
    <border>
      <left/>
      <right style="medium">
        <color indexed="8"/>
      </right>
      <top/>
      <bottom style="medium">
        <color indexed="64"/>
      </bottom>
      <diagonal/>
    </border>
    <border>
      <left style="thin">
        <color indexed="8"/>
      </left>
      <right/>
      <top style="medium">
        <color indexed="64"/>
      </top>
      <bottom style="thin">
        <color indexed="8"/>
      </bottom>
      <diagonal/>
    </border>
    <border>
      <left style="thin">
        <color indexed="64"/>
      </left>
      <right style="medium">
        <color indexed="8"/>
      </right>
      <top/>
      <bottom style="thin">
        <color indexed="8"/>
      </bottom>
      <diagonal/>
    </border>
    <border>
      <left/>
      <right style="thin">
        <color indexed="64"/>
      </right>
      <top/>
      <bottom style="medium">
        <color indexed="8"/>
      </bottom>
      <diagonal/>
    </border>
    <border>
      <left style="medium">
        <color indexed="8"/>
      </left>
      <right style="thin">
        <color indexed="64"/>
      </right>
      <top style="medium">
        <color indexed="8"/>
      </top>
      <bottom style="medium">
        <color indexed="8"/>
      </bottom>
      <diagonal/>
    </border>
    <border>
      <left style="thin">
        <color indexed="8"/>
      </left>
      <right style="thin">
        <color indexed="64"/>
      </right>
      <top/>
      <bottom style="medium">
        <color indexed="8"/>
      </bottom>
      <diagonal/>
    </border>
    <border>
      <left/>
      <right style="thin">
        <color indexed="64"/>
      </right>
      <top/>
      <bottom/>
      <diagonal/>
    </border>
    <border>
      <left/>
      <right style="thin">
        <color indexed="64"/>
      </right>
      <top style="medium">
        <color indexed="8"/>
      </top>
      <bottom/>
      <diagonal/>
    </border>
    <border>
      <left style="thin">
        <color indexed="8"/>
      </left>
      <right style="thin">
        <color indexed="64"/>
      </right>
      <top/>
      <bottom style="medium">
        <color indexed="64"/>
      </bottom>
      <diagonal/>
    </border>
    <border>
      <left/>
      <right style="thin">
        <color indexed="8"/>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8"/>
      </right>
      <top/>
      <bottom style="medium">
        <color indexed="64"/>
      </bottom>
      <diagonal/>
    </border>
    <border>
      <left style="thin">
        <color indexed="8"/>
      </left>
      <right style="medium">
        <color indexed="64"/>
      </right>
      <top/>
      <bottom style="medium">
        <color indexed="8"/>
      </bottom>
      <diagonal/>
    </border>
    <border>
      <left style="thin">
        <color indexed="64"/>
      </left>
      <right style="thin">
        <color indexed="8"/>
      </right>
      <top style="double">
        <color indexed="64"/>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style="medium">
        <color indexed="64"/>
      </right>
      <top style="thin">
        <color indexed="64"/>
      </top>
      <bottom/>
      <diagonal/>
    </border>
    <border>
      <left/>
      <right/>
      <top style="hair">
        <color indexed="8"/>
      </top>
      <bottom style="hair">
        <color indexed="8"/>
      </bottom>
      <diagonal/>
    </border>
    <border>
      <left/>
      <right/>
      <top/>
      <bottom style="thin">
        <color theme="1"/>
      </bottom>
      <diagonal/>
    </border>
    <border>
      <left style="thin">
        <color indexed="8"/>
      </left>
      <right style="thin">
        <color indexed="8"/>
      </right>
      <top style="double">
        <color indexed="8"/>
      </top>
      <bottom/>
      <diagonal/>
    </border>
    <border>
      <left style="thin">
        <color indexed="64"/>
      </left>
      <right style="medium">
        <color indexed="8"/>
      </right>
      <top style="thin">
        <color indexed="64"/>
      </top>
      <bottom/>
      <diagonal/>
    </border>
    <border>
      <left style="thin">
        <color indexed="64"/>
      </left>
      <right style="medium">
        <color indexed="8"/>
      </right>
      <top/>
      <bottom style="thin">
        <color indexed="64"/>
      </bottom>
      <diagonal/>
    </border>
    <border>
      <left style="thin">
        <color indexed="64"/>
      </left>
      <right style="medium">
        <color indexed="8"/>
      </right>
      <top style="thin">
        <color indexed="64"/>
      </top>
      <bottom style="thin">
        <color indexed="64"/>
      </bottom>
      <diagonal/>
    </border>
    <border>
      <left style="medium">
        <color indexed="64"/>
      </left>
      <right style="thin">
        <color indexed="8"/>
      </right>
      <top/>
      <bottom style="thin">
        <color indexed="64"/>
      </bottom>
      <diagonal/>
    </border>
    <border>
      <left/>
      <right/>
      <top/>
      <bottom style="thin">
        <color auto="1"/>
      </bottom>
      <diagonal/>
    </border>
    <border>
      <left/>
      <right/>
      <top style="thin">
        <color indexed="64"/>
      </top>
      <bottom style="medium">
        <color indexed="64"/>
      </bottom>
      <diagonal/>
    </border>
    <border>
      <left/>
      <right/>
      <top/>
      <bottom style="medium">
        <color auto="1"/>
      </bottom>
      <diagonal/>
    </border>
    <border>
      <left style="thin">
        <color indexed="8"/>
      </left>
      <right style="medium">
        <color indexed="8"/>
      </right>
      <top style="thin">
        <color indexed="64"/>
      </top>
      <bottom style="double">
        <color indexed="64"/>
      </bottom>
      <diagonal/>
    </border>
    <border>
      <left style="medium">
        <color indexed="8"/>
      </left>
      <right/>
      <top/>
      <bottom style="thin">
        <color theme="1"/>
      </bottom>
      <diagonal/>
    </border>
    <border>
      <left/>
      <right style="medium">
        <color indexed="8"/>
      </right>
      <top style="medium">
        <color indexed="64"/>
      </top>
      <bottom style="medium">
        <color indexed="64"/>
      </bottom>
      <diagonal/>
    </border>
    <border>
      <left style="medium">
        <color rgb="FF000000"/>
      </left>
      <right/>
      <top/>
      <bottom/>
      <diagonal/>
    </border>
    <border>
      <left/>
      <right style="medium">
        <color rgb="FF000000"/>
      </right>
      <top/>
      <bottom/>
      <diagonal/>
    </border>
    <border>
      <left/>
      <right/>
      <top style="thin">
        <color auto="1"/>
      </top>
      <bottom style="double">
        <color auto="1"/>
      </bottom>
      <diagonal/>
    </border>
    <border>
      <left style="thin">
        <color rgb="FF000000"/>
      </left>
      <right style="thin">
        <color rgb="FF000000"/>
      </right>
      <top/>
      <bottom/>
      <diagonal/>
    </border>
    <border>
      <left style="thin">
        <color rgb="FF000000"/>
      </left>
      <right style="medium">
        <color rgb="FF000000"/>
      </right>
      <top/>
      <bottom/>
      <diagonal/>
    </border>
    <border>
      <left/>
      <right style="thin">
        <color rgb="FF000000"/>
      </right>
      <top/>
      <bottom/>
      <diagonal/>
    </border>
    <border>
      <left style="thin">
        <color auto="1"/>
      </left>
      <right/>
      <top/>
      <bottom/>
      <diagonal/>
    </border>
    <border>
      <left/>
      <right style="medium">
        <color theme="1"/>
      </right>
      <top/>
      <bottom/>
      <diagonal/>
    </border>
    <border>
      <left style="thin">
        <color indexed="8"/>
      </left>
      <right style="thin">
        <color indexed="8"/>
      </right>
      <top/>
      <bottom/>
      <diagonal/>
    </border>
    <border>
      <left/>
      <right style="thin">
        <color indexed="8"/>
      </right>
      <top style="thin">
        <color indexed="8"/>
      </top>
      <bottom/>
      <diagonal/>
    </border>
    <border>
      <left/>
      <right style="medium">
        <color indexed="8"/>
      </right>
      <top style="thin">
        <color indexed="8"/>
      </top>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diagonal/>
    </border>
  </borders>
  <cellStyleXfs count="307">
    <xf numFmtId="0" fontId="0" fillId="0" borderId="0"/>
    <xf numFmtId="182" fontId="96" fillId="0" borderId="0" applyFill="0"/>
    <xf numFmtId="182" fontId="96" fillId="0" borderId="0">
      <alignment horizontal="center"/>
    </xf>
    <xf numFmtId="184" fontId="7" fillId="0" borderId="0">
      <alignment horizontal="center" vertical="center" wrapText="1"/>
    </xf>
    <xf numFmtId="182" fontId="7" fillId="0" borderId="0">
      <alignment horizontal="center" vertical="center" wrapText="1"/>
    </xf>
    <xf numFmtId="0" fontId="96" fillId="0" borderId="0" applyFill="0">
      <alignment horizontal="center"/>
    </xf>
    <xf numFmtId="40" fontId="5" fillId="0" borderId="1" applyFill="0"/>
    <xf numFmtId="0" fontId="4" fillId="0" borderId="0" applyFont="0" applyAlignment="0"/>
    <xf numFmtId="0" fontId="97" fillId="0" borderId="0" applyFill="0">
      <alignment vertical="top"/>
    </xf>
    <xf numFmtId="0" fontId="5" fillId="0" borderId="0" applyFill="0">
      <alignment horizontal="left" vertical="top"/>
    </xf>
    <xf numFmtId="40" fontId="7" fillId="0" borderId="2" applyFill="0"/>
    <xf numFmtId="0" fontId="4" fillId="0" borderId="0" applyNumberFormat="0" applyFont="0" applyAlignment="0"/>
    <xf numFmtId="0" fontId="97" fillId="0" borderId="0" applyFill="0">
      <alignment wrapText="1"/>
    </xf>
    <xf numFmtId="0" fontId="5" fillId="0" borderId="0" applyFill="0">
      <alignment horizontal="left" vertical="top" wrapText="1"/>
    </xf>
    <xf numFmtId="40" fontId="53" fillId="0" borderId="0" applyFill="0"/>
    <xf numFmtId="0" fontId="98" fillId="0" borderId="0" applyNumberFormat="0" applyFont="0" applyAlignment="0">
      <alignment horizontal="center"/>
    </xf>
    <xf numFmtId="0" fontId="99" fillId="0" borderId="0" applyFill="0">
      <alignment vertical="top" wrapText="1"/>
    </xf>
    <xf numFmtId="0" fontId="7" fillId="0" borderId="0" applyFill="0">
      <alignment horizontal="left" vertical="top" wrapText="1"/>
    </xf>
    <xf numFmtId="40" fontId="4" fillId="0" borderId="0" applyFill="0"/>
    <xf numFmtId="0" fontId="98" fillId="0" borderId="0" applyNumberFormat="0" applyFont="0" applyAlignment="0">
      <alignment horizontal="center"/>
    </xf>
    <xf numFmtId="0" fontId="46" fillId="0" borderId="0" applyFill="0">
      <alignment vertical="center" wrapText="1"/>
    </xf>
    <xf numFmtId="0" fontId="6" fillId="0" borderId="0">
      <alignment horizontal="left" vertical="center" wrapText="1"/>
    </xf>
    <xf numFmtId="40" fontId="100" fillId="0" borderId="0" applyFill="0"/>
    <xf numFmtId="0" fontId="98" fillId="0" borderId="0" applyNumberFormat="0" applyFont="0" applyAlignment="0">
      <alignment horizontal="center"/>
    </xf>
    <xf numFmtId="0" fontId="101" fillId="0" borderId="0" applyFill="0">
      <alignment horizontal="center" vertical="center" wrapText="1"/>
    </xf>
    <xf numFmtId="0" fontId="4" fillId="0" borderId="0" applyFill="0">
      <alignment horizontal="center" vertical="center" wrapText="1"/>
    </xf>
    <xf numFmtId="0" fontId="4" fillId="0" borderId="0" applyFill="0">
      <alignment horizontal="center" vertical="center" wrapText="1"/>
    </xf>
    <xf numFmtId="40" fontId="102" fillId="0" borderId="0" applyFill="0"/>
    <xf numFmtId="0" fontId="98" fillId="0" borderId="0" applyNumberFormat="0" applyFont="0" applyAlignment="0">
      <alignment horizontal="center"/>
    </xf>
    <xf numFmtId="0" fontId="103" fillId="0" borderId="0" applyFill="0">
      <alignment horizontal="center" vertical="center" wrapText="1"/>
    </xf>
    <xf numFmtId="0" fontId="104" fillId="0" borderId="0" applyFill="0">
      <alignment horizontal="center" vertical="center" wrapText="1"/>
    </xf>
    <xf numFmtId="182" fontId="105" fillId="0" borderId="0" applyFill="0"/>
    <xf numFmtId="0" fontId="98" fillId="0" borderId="0" applyNumberFormat="0" applyFont="0" applyAlignment="0">
      <alignment horizontal="center"/>
    </xf>
    <xf numFmtId="0" fontId="106" fillId="0" borderId="0">
      <alignment horizontal="center" wrapText="1"/>
    </xf>
    <xf numFmtId="0" fontId="102" fillId="0" borderId="0" applyFill="0">
      <alignment horizontal="center" wrapText="1"/>
    </xf>
    <xf numFmtId="0" fontId="75" fillId="0" borderId="3" applyNumberFormat="0" applyFill="0" applyProtection="0">
      <alignment horizontal="center" wrapText="1"/>
    </xf>
    <xf numFmtId="43" fontId="4" fillId="0" borderId="0" applyFont="0" applyFill="0" applyBorder="0" applyAlignment="0" applyProtection="0"/>
    <xf numFmtId="40" fontId="95" fillId="0" borderId="0" applyFill="0" applyBorder="0" applyAlignment="0" applyProtection="0"/>
    <xf numFmtId="38" fontId="95" fillId="0" borderId="0" applyFill="0" applyBorder="0" applyAlignment="0" applyProtection="0"/>
    <xf numFmtId="43" fontId="84" fillId="0" borderId="0" applyFont="0" applyFill="0" applyBorder="0" applyAlignment="0" applyProtection="0"/>
    <xf numFmtId="43" fontId="4" fillId="0" borderId="0" applyFont="0" applyFill="0" applyBorder="0" applyAlignment="0" applyProtection="0"/>
    <xf numFmtId="43" fontId="84" fillId="0" borderId="0" applyFont="0" applyFill="0" applyBorder="0" applyAlignment="0" applyProtection="0"/>
    <xf numFmtId="43" fontId="4" fillId="0" borderId="0" applyFont="0" applyFill="0" applyBorder="0" applyAlignment="0" applyProtection="0"/>
    <xf numFmtId="43" fontId="93"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0" fontId="107" fillId="0" borderId="0" applyFill="0" applyBorder="0" applyAlignment="0" applyProtection="0"/>
    <xf numFmtId="39" fontId="94" fillId="0" borderId="4" applyProtection="0"/>
    <xf numFmtId="39" fontId="108" fillId="0" borderId="5" applyProtection="0"/>
    <xf numFmtId="39" fontId="109" fillId="0" borderId="5" applyProtection="0"/>
    <xf numFmtId="0" fontId="5" fillId="0" borderId="0" applyNumberFormat="0" applyFill="0" applyBorder="0" applyAlignment="0" applyProtection="0"/>
    <xf numFmtId="0" fontId="119" fillId="0" borderId="0"/>
    <xf numFmtId="0" fontId="118" fillId="0" borderId="0"/>
    <xf numFmtId="40" fontId="78" fillId="0" borderId="0"/>
    <xf numFmtId="0" fontId="93" fillId="3" borderId="6"/>
    <xf numFmtId="0" fontId="119" fillId="0" borderId="0"/>
    <xf numFmtId="0" fontId="80" fillId="3" borderId="6"/>
    <xf numFmtId="0" fontId="80" fillId="0" borderId="0"/>
    <xf numFmtId="38" fontId="78" fillId="0" borderId="0"/>
    <xf numFmtId="0" fontId="4" fillId="0" borderId="0"/>
    <xf numFmtId="40" fontId="4" fillId="0" borderId="0"/>
    <xf numFmtId="0" fontId="80" fillId="3" borderId="6"/>
    <xf numFmtId="40" fontId="4" fillId="0" borderId="0"/>
    <xf numFmtId="0" fontId="80" fillId="0" borderId="0"/>
    <xf numFmtId="0" fontId="80" fillId="0" borderId="0"/>
    <xf numFmtId="0" fontId="6" fillId="0" borderId="0"/>
    <xf numFmtId="0" fontId="80" fillId="0" borderId="0"/>
    <xf numFmtId="0" fontId="4" fillId="0" borderId="0"/>
    <xf numFmtId="0" fontId="6" fillId="0" borderId="0"/>
    <xf numFmtId="0" fontId="80" fillId="0" borderId="0"/>
    <xf numFmtId="0" fontId="119" fillId="0" borderId="0"/>
    <xf numFmtId="0" fontId="4" fillId="0" borderId="0"/>
    <xf numFmtId="0" fontId="80" fillId="0" borderId="0"/>
    <xf numFmtId="0" fontId="4" fillId="0" borderId="0"/>
    <xf numFmtId="0" fontId="4" fillId="0" borderId="0"/>
    <xf numFmtId="40" fontId="4" fillId="0" borderId="0"/>
    <xf numFmtId="0" fontId="4" fillId="0" borderId="0"/>
    <xf numFmtId="0" fontId="80" fillId="3" borderId="6"/>
    <xf numFmtId="0" fontId="79" fillId="0" borderId="0"/>
    <xf numFmtId="0" fontId="6" fillId="0" borderId="0"/>
    <xf numFmtId="0" fontId="79" fillId="0" borderId="0"/>
    <xf numFmtId="0" fontId="6" fillId="0" borderId="0"/>
    <xf numFmtId="0" fontId="79" fillId="0" borderId="0"/>
    <xf numFmtId="0" fontId="79" fillId="0" borderId="0"/>
    <xf numFmtId="9" fontId="4" fillId="0" borderId="0" applyFont="0" applyFill="0" applyBorder="0" applyAlignment="0" applyProtection="0"/>
    <xf numFmtId="0" fontId="95" fillId="0" borderId="0" applyNumberFormat="0" applyFill="0" applyBorder="0" applyAlignment="0" applyProtection="0">
      <alignment horizontal="left"/>
    </xf>
    <xf numFmtId="174" fontId="95" fillId="0" borderId="0" applyFill="0" applyBorder="0" applyAlignment="0" applyProtection="0"/>
    <xf numFmtId="4" fontId="78" fillId="0" borderId="0" applyFont="0" applyFill="0" applyBorder="0" applyAlignment="0" applyProtection="0"/>
    <xf numFmtId="40" fontId="95" fillId="0" borderId="0" applyFill="0" applyBorder="0" applyAlignment="0" applyProtection="0"/>
    <xf numFmtId="0" fontId="110" fillId="4" borderId="7" applyProtection="0">
      <alignment horizontal="center" textRotation="90" shrinkToFit="1"/>
    </xf>
    <xf numFmtId="38" fontId="95" fillId="0" borderId="0" applyFill="0" applyBorder="0" applyAlignment="0" applyProtection="0"/>
    <xf numFmtId="0" fontId="107" fillId="5" borderId="0" applyNumberFormat="0" applyFill="0" applyBorder="0" applyAlignment="0" applyProtection="0"/>
    <xf numFmtId="0" fontId="111" fillId="6" borderId="7" applyNumberFormat="0" applyFill="0" applyBorder="0" applyAlignment="0" applyProtection="0">
      <alignment horizontal="center" textRotation="90" shrinkToFit="1"/>
    </xf>
    <xf numFmtId="40" fontId="6" fillId="7" borderId="0" applyFill="0" applyAlignment="0"/>
    <xf numFmtId="40" fontId="6" fillId="7" borderId="0" applyFill="0"/>
    <xf numFmtId="40" fontId="6" fillId="7" borderId="0" applyFill="0"/>
    <xf numFmtId="0" fontId="112" fillId="0" borderId="0">
      <alignment horizontal="left" indent="7"/>
    </xf>
    <xf numFmtId="0" fontId="112" fillId="0" borderId="0">
      <alignment horizontal="left" indent="1"/>
    </xf>
    <xf numFmtId="0" fontId="6" fillId="0" borderId="0" applyFill="0">
      <alignment horizontal="left" indent="7"/>
    </xf>
    <xf numFmtId="0" fontId="6" fillId="0" borderId="0" applyFill="0">
      <alignment horizontal="left" indent="2"/>
    </xf>
    <xf numFmtId="40" fontId="7" fillId="0" borderId="7" applyFill="0">
      <alignment horizontal="right"/>
    </xf>
    <xf numFmtId="40" fontId="7" fillId="0" borderId="5" applyFill="0">
      <alignment horizontal="right"/>
    </xf>
    <xf numFmtId="0" fontId="75" fillId="0" borderId="8" applyNumberFormat="0" applyFont="0" applyBorder="0">
      <alignment horizontal="right"/>
    </xf>
    <xf numFmtId="0" fontId="7" fillId="0" borderId="8" applyNumberFormat="0" applyBorder="0">
      <alignment horizontal="right"/>
    </xf>
    <xf numFmtId="0" fontId="113" fillId="0" borderId="0" applyFill="0">
      <alignment horizontal="center"/>
    </xf>
    <xf numFmtId="0" fontId="116" fillId="0" borderId="0" applyFill="0">
      <alignment horizontal="center"/>
    </xf>
    <xf numFmtId="0" fontId="7" fillId="0" borderId="0" applyFill="0"/>
    <xf numFmtId="40" fontId="7" fillId="0" borderId="0" applyFill="0"/>
    <xf numFmtId="40" fontId="7" fillId="0" borderId="0" applyFill="0"/>
    <xf numFmtId="40" fontId="7" fillId="0" borderId="5" applyFill="0"/>
    <xf numFmtId="0" fontId="6" fillId="0" borderId="0" applyNumberFormat="0" applyBorder="0" applyAlignment="0"/>
    <xf numFmtId="0" fontId="6" fillId="0" borderId="0" applyNumberFormat="0" applyBorder="0" applyAlignment="0"/>
    <xf numFmtId="0" fontId="113" fillId="0" borderId="0" applyFill="0">
      <alignment horizontal="left" indent="1"/>
    </xf>
    <xf numFmtId="0" fontId="89" fillId="0" borderId="0" applyFill="0">
      <alignment horizontal="left" indent="1"/>
    </xf>
    <xf numFmtId="0" fontId="89" fillId="0" borderId="0" applyFill="0">
      <alignment horizontal="left"/>
    </xf>
    <xf numFmtId="40" fontId="6" fillId="0" borderId="0" applyFill="0"/>
    <xf numFmtId="0" fontId="6" fillId="0" borderId="0" applyNumberFormat="0" applyFill="0" applyBorder="0" applyAlignment="0"/>
    <xf numFmtId="0" fontId="6" fillId="0" borderId="0" applyNumberFormat="0" applyFill="0" applyBorder="0" applyAlignment="0"/>
    <xf numFmtId="0" fontId="113" fillId="0" borderId="0" applyFill="0">
      <alignment horizontal="left" indent="2"/>
    </xf>
    <xf numFmtId="0" fontId="7" fillId="0" borderId="0" applyFill="0">
      <alignment horizontal="left" indent="2"/>
    </xf>
    <xf numFmtId="0" fontId="7" fillId="0" borderId="0" applyFill="0">
      <alignment horizontal="left" indent="1"/>
    </xf>
    <xf numFmtId="40" fontId="6" fillId="0" borderId="0" applyFill="0"/>
    <xf numFmtId="0" fontId="6" fillId="0" borderId="0" applyNumberFormat="0" applyBorder="0" applyAlignment="0"/>
    <xf numFmtId="0" fontId="6" fillId="0" borderId="0" applyNumberFormat="0" applyBorder="0" applyAlignment="0"/>
    <xf numFmtId="0" fontId="114" fillId="0" borderId="0">
      <alignment horizontal="left" indent="3"/>
    </xf>
    <xf numFmtId="0" fontId="6" fillId="0" borderId="0" applyFill="0">
      <alignment horizontal="left" indent="3"/>
    </xf>
    <xf numFmtId="0" fontId="7" fillId="0" borderId="0" applyFill="0">
      <alignment horizontal="left" indent="3"/>
    </xf>
    <xf numFmtId="40" fontId="6" fillId="0" borderId="0" applyFill="0"/>
    <xf numFmtId="0" fontId="6" fillId="0" borderId="0" applyNumberFormat="0" applyBorder="0" applyAlignment="0"/>
    <xf numFmtId="0" fontId="6" fillId="0" borderId="0" applyNumberFormat="0" applyBorder="0" applyAlignment="0"/>
    <xf numFmtId="0" fontId="114" fillId="0" borderId="0">
      <alignment horizontal="left" indent="4"/>
    </xf>
    <xf numFmtId="0" fontId="6" fillId="0" borderId="0" applyFill="0">
      <alignment horizontal="left" indent="4"/>
    </xf>
    <xf numFmtId="0" fontId="7" fillId="0" borderId="0" applyFill="0">
      <alignment horizontal="left" indent="4"/>
    </xf>
    <xf numFmtId="40" fontId="115" fillId="0" borderId="0" applyFill="0"/>
    <xf numFmtId="0" fontId="6" fillId="0" borderId="0" applyNumberFormat="0" applyBorder="0" applyAlignment="0"/>
    <xf numFmtId="0" fontId="6" fillId="0" borderId="0" applyNumberFormat="0" applyBorder="0" applyAlignment="0"/>
    <xf numFmtId="0" fontId="114" fillId="0" borderId="0">
      <alignment horizontal="left" indent="5"/>
    </xf>
    <xf numFmtId="0" fontId="115" fillId="0" borderId="0" applyFill="0">
      <alignment horizontal="left" indent="5"/>
    </xf>
    <xf numFmtId="0" fontId="117" fillId="0" borderId="0" applyFill="0">
      <alignment horizontal="left" indent="5"/>
    </xf>
    <xf numFmtId="40" fontId="115" fillId="0" borderId="0" applyFill="0"/>
    <xf numFmtId="0" fontId="6" fillId="0" borderId="0" applyNumberFormat="0" applyFill="0" applyBorder="0" applyAlignment="0"/>
    <xf numFmtId="0" fontId="6" fillId="0" borderId="0" applyNumberFormat="0" applyFill="0" applyBorder="0" applyAlignment="0"/>
    <xf numFmtId="0" fontId="114" fillId="0" borderId="0" applyFill="0">
      <alignment horizontal="left" indent="6"/>
    </xf>
    <xf numFmtId="0" fontId="115" fillId="0" borderId="0" applyFill="0">
      <alignment horizontal="left" indent="6"/>
    </xf>
    <xf numFmtId="0" fontId="117" fillId="0" borderId="0" applyFill="0">
      <alignment horizontal="left" indent="6"/>
    </xf>
    <xf numFmtId="0" fontId="6" fillId="0" borderId="0" applyNumberFormat="0" applyFill="0" applyBorder="0" applyAlignment="0" applyProtection="0"/>
    <xf numFmtId="37" fontId="4" fillId="0" borderId="0" applyFont="0" applyFill="0" applyBorder="0" applyAlignment="0" applyProtection="0"/>
    <xf numFmtId="37" fontId="4" fillId="0" borderId="4" applyFont="0" applyFill="0" applyAlignment="0" applyProtection="0"/>
    <xf numFmtId="0" fontId="75"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3" fillId="0" borderId="0"/>
    <xf numFmtId="40" fontId="3" fillId="0" borderId="0"/>
    <xf numFmtId="43" fontId="3" fillId="0" borderId="0" applyFont="0" applyFill="0" applyBorder="0" applyAlignment="0" applyProtection="0"/>
    <xf numFmtId="0" fontId="6" fillId="0" borderId="0"/>
    <xf numFmtId="0" fontId="3" fillId="0" borderId="0"/>
    <xf numFmtId="186" fontId="137" fillId="30" borderId="0"/>
    <xf numFmtId="43" fontId="6" fillId="0" borderId="0" applyFont="0" applyFill="0" applyBorder="0" applyAlignment="0" applyProtection="0"/>
    <xf numFmtId="9" fontId="6" fillId="0" borderId="0" applyFont="0" applyFill="0" applyBorder="0" applyAlignment="0" applyProtection="0"/>
    <xf numFmtId="0" fontId="6" fillId="0" borderId="0"/>
    <xf numFmtId="41" fontId="143" fillId="0" borderId="0" applyFont="0" applyFill="0" applyBorder="0" applyAlignment="0" applyProtection="0"/>
    <xf numFmtId="0" fontId="5" fillId="0" borderId="0" applyFill="0" applyBorder="0" applyAlignment="0" applyProtection="0"/>
    <xf numFmtId="0" fontId="6" fillId="0" borderId="0" applyFill="0" applyBorder="0" applyAlignment="0" applyProtection="0"/>
    <xf numFmtId="0" fontId="75" fillId="0" borderId="0" applyFill="0" applyBorder="0" applyProtection="0">
      <alignment horizontal="center" wrapText="1"/>
    </xf>
    <xf numFmtId="0" fontId="3" fillId="0" borderId="0" applyFont="0" applyFill="0" applyBorder="0" applyProtection="0">
      <alignment horizontal="left" indent="1"/>
    </xf>
    <xf numFmtId="192" fontId="3" fillId="0" borderId="165" applyFont="0" applyFill="0" applyAlignment="0" applyProtection="0"/>
    <xf numFmtId="192" fontId="3" fillId="0" borderId="0" applyFont="0" applyFill="0" applyBorder="0" applyAlignment="0" applyProtection="0"/>
    <xf numFmtId="192" fontId="3" fillId="0" borderId="5" applyFont="0" applyFill="0" applyAlignment="0" applyProtection="0"/>
    <xf numFmtId="0" fontId="75" fillId="0" borderId="0" applyFill="0" applyBorder="0" applyAlignment="0" applyProtection="0"/>
    <xf numFmtId="10" fontId="3" fillId="0" borderId="0" applyFont="0" applyFill="0" applyBorder="0" applyAlignment="0" applyProtection="0"/>
    <xf numFmtId="37" fontId="3" fillId="0" borderId="166" applyFont="0" applyFill="0" applyAlignment="0" applyProtection="0"/>
    <xf numFmtId="192" fontId="3" fillId="0" borderId="167" applyFont="0" applyFill="0" applyAlignment="0" applyProtection="0"/>
    <xf numFmtId="0" fontId="6" fillId="0" borderId="0"/>
    <xf numFmtId="49" fontId="2" fillId="0" borderId="0"/>
    <xf numFmtId="0" fontId="6" fillId="0" borderId="0"/>
    <xf numFmtId="168" fontId="7" fillId="0" borderId="0">
      <alignment horizontal="center" vertical="center" wrapText="1"/>
    </xf>
    <xf numFmtId="168" fontId="7" fillId="0" borderId="0">
      <alignment horizontal="center" vertical="center" wrapText="1"/>
    </xf>
    <xf numFmtId="0" fontId="3" fillId="0" borderId="0" applyFont="0" applyAlignment="0"/>
    <xf numFmtId="0" fontId="3" fillId="0" borderId="0" applyNumberFormat="0" applyFont="0" applyAlignment="0"/>
    <xf numFmtId="40" fontId="3" fillId="0" borderId="0" applyFill="0"/>
    <xf numFmtId="0" fontId="3" fillId="0" borderId="0" applyFill="0">
      <alignment horizontal="center" vertical="center" wrapText="1"/>
    </xf>
    <xf numFmtId="39" fontId="94" fillId="0" borderId="173" applyProtection="0"/>
    <xf numFmtId="49" fontId="1" fillId="0" borderId="0"/>
    <xf numFmtId="0" fontId="3" fillId="0" borderId="0"/>
    <xf numFmtId="0" fontId="3" fillId="0" borderId="0"/>
    <xf numFmtId="0" fontId="80" fillId="0" borderId="0"/>
    <xf numFmtId="40" fontId="147" fillId="0" borderId="0"/>
    <xf numFmtId="0" fontId="6" fillId="0" borderId="0"/>
    <xf numFmtId="9" fontId="3" fillId="0" borderId="0" applyFont="0" applyFill="0" applyBorder="0" applyAlignment="0" applyProtection="0"/>
    <xf numFmtId="43" fontId="6" fillId="0" borderId="0" applyFont="0" applyFill="0" applyBorder="0" applyAlignment="0" applyProtection="0"/>
    <xf numFmtId="0" fontId="7" fillId="0" borderId="0" applyFill="0">
      <alignment horizontal="left" indent="3"/>
    </xf>
    <xf numFmtId="0" fontId="7" fillId="0" borderId="0" applyFill="0">
      <alignment horizontal="left" indent="4"/>
    </xf>
    <xf numFmtId="0" fontId="117" fillId="0" borderId="0" applyFill="0">
      <alignment horizontal="left" indent="5"/>
    </xf>
    <xf numFmtId="0" fontId="117" fillId="0" borderId="0" applyFill="0">
      <alignment horizontal="left" indent="6"/>
    </xf>
    <xf numFmtId="0" fontId="3" fillId="0" borderId="0"/>
    <xf numFmtId="186" fontId="137" fillId="3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96" fillId="0" borderId="0"/>
    <xf numFmtId="43" fontId="96" fillId="0" borderId="0" applyFont="0" applyFill="0" applyBorder="0" applyAlignment="0" applyProtection="0"/>
    <xf numFmtId="43" fontId="3" fillId="0" borderId="0" applyFont="0" applyFill="0" applyBorder="0" applyAlignment="0" applyProtection="0"/>
    <xf numFmtId="44" fontId="96" fillId="0" borderId="0" applyFont="0" applyFill="0" applyBorder="0" applyAlignment="0" applyProtection="0"/>
    <xf numFmtId="9" fontId="96"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38" borderId="0" applyNumberFormat="0" applyBorder="0" applyAlignment="0" applyProtection="0"/>
    <xf numFmtId="0" fontId="3" fillId="0" borderId="0"/>
    <xf numFmtId="182" fontId="96" fillId="0" borderId="0">
      <alignment horizontal="center"/>
    </xf>
    <xf numFmtId="168" fontId="7" fillId="0" borderId="0">
      <alignment horizontal="center" vertical="center" wrapText="1"/>
    </xf>
    <xf numFmtId="0" fontId="3" fillId="0" borderId="0" applyFont="0" applyAlignment="0"/>
    <xf numFmtId="0" fontId="3" fillId="0" borderId="0" applyNumberFormat="0" applyFont="0" applyAlignment="0"/>
    <xf numFmtId="40" fontId="3" fillId="0" borderId="0" applyFill="0"/>
    <xf numFmtId="0" fontId="3" fillId="0" borderId="0" applyFill="0">
      <alignment horizontal="center" vertical="center" wrapText="1"/>
    </xf>
    <xf numFmtId="0" fontId="3" fillId="0" borderId="0" applyFill="0">
      <alignment horizontal="center" vertical="center" wrapText="1"/>
    </xf>
    <xf numFmtId="43" fontId="8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 fillId="0" borderId="0"/>
    <xf numFmtId="49" fontId="1" fillId="0" borderId="0"/>
    <xf numFmtId="0" fontId="3" fillId="0" borderId="0"/>
    <xf numFmtId="0" fontId="3" fillId="0" borderId="0"/>
    <xf numFmtId="0" fontId="80" fillId="0" borderId="0"/>
    <xf numFmtId="0" fontId="80" fillId="0" borderId="0"/>
    <xf numFmtId="0" fontId="3" fillId="0" borderId="0"/>
    <xf numFmtId="40" fontId="147" fillId="0" borderId="0"/>
    <xf numFmtId="0" fontId="80" fillId="0" borderId="0"/>
    <xf numFmtId="0" fontId="80" fillId="0" borderId="0"/>
    <xf numFmtId="0" fontId="6" fillId="0" borderId="0" applyFill="0">
      <alignment horizontal="left" indent="7"/>
    </xf>
    <xf numFmtId="0" fontId="6" fillId="0" borderId="0" applyFill="0">
      <alignment horizontal="left" indent="2"/>
    </xf>
    <xf numFmtId="0" fontId="6" fillId="0" borderId="0" applyFill="0">
      <alignment horizontal="left" indent="2"/>
    </xf>
    <xf numFmtId="0" fontId="75" fillId="0" borderId="8" applyNumberFormat="0" applyFont="0" applyBorder="0">
      <alignment horizontal="right"/>
    </xf>
    <xf numFmtId="0" fontId="7" fillId="0" borderId="8" applyNumberFormat="0" applyBorder="0">
      <alignment horizontal="right"/>
    </xf>
    <xf numFmtId="40" fontId="6" fillId="0" borderId="0" applyFill="0"/>
    <xf numFmtId="40" fontId="6" fillId="0" borderId="0" applyFill="0"/>
    <xf numFmtId="0" fontId="6" fillId="0" borderId="0" applyFill="0">
      <alignment horizontal="left" indent="3"/>
    </xf>
    <xf numFmtId="40" fontId="6" fillId="0" borderId="0" applyFill="0"/>
    <xf numFmtId="0" fontId="6" fillId="0" borderId="0" applyFill="0">
      <alignment horizontal="left" indent="4"/>
    </xf>
    <xf numFmtId="0" fontId="1" fillId="0" borderId="0"/>
    <xf numFmtId="43" fontId="1" fillId="0" borderId="0" applyFont="0" applyFill="0" applyBorder="0" applyAlignment="0" applyProtection="0"/>
    <xf numFmtId="9" fontId="1" fillId="0" borderId="0" applyFont="0" applyFill="0" applyBorder="0" applyAlignment="0" applyProtection="0"/>
    <xf numFmtId="44"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38" borderId="0" applyNumberFormat="0" applyBorder="0" applyAlignment="0" applyProtection="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17" fillId="0" borderId="0" applyFill="0">
      <alignment horizontal="left" indent="5"/>
    </xf>
    <xf numFmtId="0" fontId="7" fillId="0" borderId="0" applyFill="0">
      <alignment horizontal="left" indent="3"/>
    </xf>
    <xf numFmtId="0" fontId="117" fillId="0" borderId="0" applyFill="0">
      <alignment horizontal="left" indent="6"/>
    </xf>
    <xf numFmtId="0" fontId="7" fillId="0" borderId="0" applyFill="0">
      <alignment horizontal="left" indent="4"/>
    </xf>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48" fillId="0" borderId="0" applyNumberFormat="0" applyFill="0" applyBorder="0" applyAlignment="0" applyProtection="0"/>
    <xf numFmtId="9" fontId="1" fillId="0" borderId="0" applyFont="0" applyFill="0" applyBorder="0" applyAlignment="0" applyProtection="0"/>
    <xf numFmtId="0" fontId="1" fillId="38" borderId="0" applyNumberFormat="0" applyBorder="0" applyAlignment="0" applyProtection="0"/>
    <xf numFmtId="0" fontId="3"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17" fillId="0" borderId="0" applyFill="0">
      <alignment horizontal="left" indent="5"/>
    </xf>
    <xf numFmtId="0" fontId="7" fillId="0" borderId="0" applyFill="0">
      <alignment horizontal="left" indent="3"/>
    </xf>
    <xf numFmtId="0" fontId="117" fillId="0" borderId="0" applyFill="0">
      <alignment horizontal="left" indent="6"/>
    </xf>
    <xf numFmtId="0" fontId="7" fillId="0" borderId="0" applyFill="0">
      <alignment horizontal="left" indent="4"/>
    </xf>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38" borderId="0" applyNumberFormat="0" applyBorder="0" applyAlignment="0" applyProtection="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93" fillId="0" borderId="0"/>
    <xf numFmtId="0" fontId="149" fillId="0" borderId="0"/>
    <xf numFmtId="43" fontId="6" fillId="0" borderId="0" applyFont="0" applyFill="0" applyBorder="0" applyAlignment="0" applyProtection="0"/>
  </cellStyleXfs>
  <cellXfs count="2898">
    <xf numFmtId="0" fontId="0" fillId="0" borderId="0" xfId="0"/>
    <xf numFmtId="0" fontId="5" fillId="0" borderId="0" xfId="0" applyFont="1" applyAlignment="1">
      <alignment horizontal="centerContinuous"/>
    </xf>
    <xf numFmtId="0" fontId="7" fillId="0" borderId="0" xfId="0" applyFont="1" applyAlignment="1">
      <alignment horizontal="centerContinuous" wrapText="1"/>
    </xf>
    <xf numFmtId="0" fontId="7" fillId="0" borderId="0" xfId="0" applyFont="1" applyAlignment="1">
      <alignment horizontal="centerContinuous"/>
    </xf>
    <xf numFmtId="0" fontId="0" fillId="0" borderId="0" xfId="0" applyAlignment="1">
      <alignment horizontal="centerContinuous"/>
    </xf>
    <xf numFmtId="0" fontId="6" fillId="0" borderId="0" xfId="0" applyFont="1" applyAlignment="1">
      <alignment horizontal="centerContinuous"/>
    </xf>
    <xf numFmtId="0" fontId="11" fillId="0" borderId="0" xfId="0" applyFont="1" applyAlignment="1">
      <alignment horizontal="centerContinuous"/>
    </xf>
    <xf numFmtId="0" fontId="12" fillId="0" borderId="0" xfId="0" applyFont="1" applyAlignment="1">
      <alignment horizontal="centerContinuous"/>
    </xf>
    <xf numFmtId="0" fontId="13" fillId="0" borderId="0" xfId="0" applyFont="1" applyAlignment="1">
      <alignment horizontal="centerContinuous"/>
    </xf>
    <xf numFmtId="0" fontId="14" fillId="0" borderId="0" xfId="0" applyFont="1" applyAlignment="1">
      <alignment horizontal="centerContinuous"/>
    </xf>
    <xf numFmtId="0" fontId="15" fillId="0" borderId="0" xfId="0" applyFont="1" applyAlignment="1">
      <alignment horizontal="centerContinuous"/>
    </xf>
    <xf numFmtId="0" fontId="13" fillId="0" borderId="0" xfId="0" applyFont="1" applyAlignment="1">
      <alignment horizontal="center"/>
    </xf>
    <xf numFmtId="0" fontId="16" fillId="8" borderId="0" xfId="0" applyFont="1" applyFill="1" applyAlignment="1">
      <alignment horizontal="left"/>
    </xf>
    <xf numFmtId="0" fontId="17" fillId="0" borderId="0" xfId="0" applyFont="1" applyAlignment="1">
      <alignment horizontal="centerContinuous" wrapText="1"/>
    </xf>
    <xf numFmtId="0" fontId="17" fillId="0" borderId="0" xfId="0" applyFont="1"/>
    <xf numFmtId="0" fontId="0" fillId="0" borderId="0" xfId="0" applyAlignment="1">
      <alignment vertical="top"/>
    </xf>
    <xf numFmtId="0" fontId="17" fillId="0" borderId="0" xfId="0" applyFont="1" applyAlignment="1">
      <alignment horizontal="centerContinuous"/>
    </xf>
    <xf numFmtId="0" fontId="18" fillId="0" borderId="0" xfId="0" applyFont="1" applyAlignment="1">
      <alignment horizontal="centerContinuous"/>
    </xf>
    <xf numFmtId="0" fontId="0" fillId="9" borderId="0" xfId="0" applyFill="1"/>
    <xf numFmtId="0" fontId="19" fillId="9" borderId="0" xfId="0" applyFont="1" applyFill="1"/>
    <xf numFmtId="0" fontId="19" fillId="0" borderId="0" xfId="0" applyFont="1"/>
    <xf numFmtId="0" fontId="19" fillId="10" borderId="0" xfId="0" applyFont="1" applyFill="1"/>
    <xf numFmtId="0" fontId="20" fillId="0" borderId="0" xfId="0" applyFont="1" applyProtection="1">
      <protection locked="0"/>
    </xf>
    <xf numFmtId="0" fontId="19" fillId="11" borderId="0" xfId="0" applyFont="1" applyFill="1"/>
    <xf numFmtId="0" fontId="0" fillId="11" borderId="0" xfId="0" applyFill="1"/>
    <xf numFmtId="0" fontId="21" fillId="0" borderId="0" xfId="0" applyFont="1" applyProtection="1">
      <protection locked="0"/>
    </xf>
    <xf numFmtId="0" fontId="0" fillId="10" borderId="0" xfId="0" applyFill="1"/>
    <xf numFmtId="0" fontId="21" fillId="10" borderId="0" xfId="0" applyFont="1" applyFill="1" applyProtection="1">
      <protection locked="0"/>
    </xf>
    <xf numFmtId="0" fontId="22" fillId="10" borderId="0" xfId="0" applyFont="1" applyFill="1" applyAlignment="1">
      <alignment horizontal="center"/>
    </xf>
    <xf numFmtId="0" fontId="23" fillId="12" borderId="0" xfId="0" applyFont="1" applyFill="1" applyProtection="1">
      <protection locked="0"/>
    </xf>
    <xf numFmtId="0" fontId="24" fillId="12" borderId="0" xfId="0" applyFont="1" applyFill="1" applyProtection="1">
      <protection locked="0"/>
    </xf>
    <xf numFmtId="0" fontId="13" fillId="10" borderId="0" xfId="0" applyFont="1" applyFill="1"/>
    <xf numFmtId="0" fontId="13" fillId="0" borderId="0" xfId="0" applyFont="1"/>
    <xf numFmtId="0" fontId="24" fillId="10" borderId="0" xfId="0" applyFont="1" applyFill="1" applyProtection="1">
      <protection locked="0"/>
    </xf>
    <xf numFmtId="0" fontId="26" fillId="10" borderId="0" xfId="0" applyFont="1" applyFill="1"/>
    <xf numFmtId="0" fontId="27" fillId="12" borderId="0" xfId="0" applyFont="1" applyFill="1" applyProtection="1">
      <protection locked="0"/>
    </xf>
    <xf numFmtId="0" fontId="25" fillId="10" borderId="0" xfId="0" applyFont="1" applyFill="1" applyProtection="1">
      <protection locked="0"/>
    </xf>
    <xf numFmtId="0" fontId="29" fillId="10" borderId="0" xfId="0" applyFont="1" applyFill="1" applyProtection="1">
      <protection locked="0"/>
    </xf>
    <xf numFmtId="0" fontId="20" fillId="10" borderId="0" xfId="0" applyFont="1" applyFill="1" applyProtection="1">
      <protection locked="0"/>
    </xf>
    <xf numFmtId="0" fontId="15" fillId="10" borderId="0" xfId="0" applyFont="1" applyFill="1"/>
    <xf numFmtId="0" fontId="30" fillId="0" borderId="0" xfId="0" applyFont="1"/>
    <xf numFmtId="0" fontId="0" fillId="13" borderId="9" xfId="0" applyFill="1" applyBorder="1"/>
    <xf numFmtId="0" fontId="0" fillId="13" borderId="10" xfId="0" applyFill="1" applyBorder="1"/>
    <xf numFmtId="0" fontId="31" fillId="13" borderId="10" xfId="0" applyFont="1" applyFill="1" applyBorder="1" applyAlignment="1">
      <alignment horizontal="left"/>
    </xf>
    <xf numFmtId="0" fontId="32" fillId="13" borderId="10" xfId="0" applyFont="1" applyFill="1" applyBorder="1"/>
    <xf numFmtId="0" fontId="0" fillId="13" borderId="11" xfId="0" applyFill="1" applyBorder="1"/>
    <xf numFmtId="0" fontId="0" fillId="13" borderId="12" xfId="0" applyFill="1" applyBorder="1"/>
    <xf numFmtId="0" fontId="0" fillId="13" borderId="0" xfId="0" applyFill="1"/>
    <xf numFmtId="0" fontId="0" fillId="13" borderId="13" xfId="0" applyFill="1" applyBorder="1"/>
    <xf numFmtId="0" fontId="33" fillId="13" borderId="12" xfId="0" applyFont="1" applyFill="1" applyBorder="1" applyAlignment="1">
      <alignment horizontal="centerContinuous" vertical="center"/>
    </xf>
    <xf numFmtId="0" fontId="0" fillId="13" borderId="0" xfId="0" applyFill="1" applyAlignment="1">
      <alignment horizontal="centerContinuous"/>
    </xf>
    <xf numFmtId="0" fontId="0" fillId="13" borderId="13" xfId="0" applyFill="1" applyBorder="1" applyAlignment="1">
      <alignment horizontal="centerContinuous"/>
    </xf>
    <xf numFmtId="0" fontId="34" fillId="13" borderId="12" xfId="0" applyFont="1" applyFill="1" applyBorder="1" applyAlignment="1">
      <alignment horizontal="centerContinuous" vertical="center"/>
    </xf>
    <xf numFmtId="0" fontId="35" fillId="13" borderId="12" xfId="0" applyFont="1" applyFill="1" applyBorder="1" applyAlignment="1">
      <alignment horizontal="centerContinuous" vertical="center"/>
    </xf>
    <xf numFmtId="0" fontId="33" fillId="13" borderId="0" xfId="0" applyFont="1" applyFill="1" applyAlignment="1">
      <alignment horizontal="centerContinuous"/>
    </xf>
    <xf numFmtId="0" fontId="33" fillId="13" borderId="13" xfId="0" applyFont="1" applyFill="1" applyBorder="1" applyAlignment="1">
      <alignment horizontal="centerContinuous"/>
    </xf>
    <xf numFmtId="0" fontId="36" fillId="13" borderId="12" xfId="0" applyFont="1" applyFill="1" applyBorder="1" applyAlignment="1">
      <alignment horizontal="centerContinuous"/>
    </xf>
    <xf numFmtId="0" fontId="38" fillId="13" borderId="12" xfId="0" applyFont="1" applyFill="1" applyBorder="1"/>
    <xf numFmtId="0" fontId="39" fillId="13" borderId="10" xfId="0" applyFont="1" applyFill="1" applyBorder="1" applyAlignment="1">
      <alignment horizontal="centerContinuous"/>
    </xf>
    <xf numFmtId="0" fontId="40" fillId="13" borderId="10" xfId="0" applyFont="1" applyFill="1" applyBorder="1" applyAlignment="1">
      <alignment horizontal="centerContinuous"/>
    </xf>
    <xf numFmtId="0" fontId="39" fillId="13" borderId="12" xfId="0" applyFont="1" applyFill="1" applyBorder="1" applyAlignment="1">
      <alignment horizontal="centerContinuous"/>
    </xf>
    <xf numFmtId="0" fontId="41" fillId="13" borderId="0" xfId="0" applyFont="1" applyFill="1" applyAlignment="1">
      <alignment horizontal="centerContinuous"/>
    </xf>
    <xf numFmtId="0" fontId="41" fillId="13" borderId="13" xfId="0" applyFont="1" applyFill="1" applyBorder="1" applyAlignment="1">
      <alignment horizontal="centerContinuous"/>
    </xf>
    <xf numFmtId="0" fontId="15" fillId="13" borderId="14" xfId="0" applyFont="1" applyFill="1" applyBorder="1" applyAlignment="1">
      <alignment horizontal="centerContinuous"/>
    </xf>
    <xf numFmtId="0" fontId="0" fillId="13" borderId="14" xfId="0" applyFill="1" applyBorder="1" applyAlignment="1">
      <alignment horizontal="centerContinuous"/>
    </xf>
    <xf numFmtId="0" fontId="42" fillId="13" borderId="12" xfId="0" applyFont="1" applyFill="1" applyBorder="1"/>
    <xf numFmtId="0" fontId="43" fillId="13" borderId="0" xfId="0" applyFont="1" applyFill="1" applyAlignment="1">
      <alignment horizontal="centerContinuous"/>
    </xf>
    <xf numFmtId="0" fontId="0" fillId="13" borderId="0" xfId="0" applyFill="1" applyAlignment="1">
      <alignment horizontal="right"/>
    </xf>
    <xf numFmtId="0" fontId="36" fillId="13" borderId="0" xfId="0" applyFont="1" applyFill="1" applyAlignment="1">
      <alignment horizontal="centerContinuous"/>
    </xf>
    <xf numFmtId="0" fontId="44" fillId="13" borderId="12" xfId="0" applyFont="1" applyFill="1" applyBorder="1"/>
    <xf numFmtId="0" fontId="44" fillId="13" borderId="0" xfId="0" applyFont="1" applyFill="1" applyAlignment="1">
      <alignment horizontal="centerContinuous"/>
    </xf>
    <xf numFmtId="0" fontId="45" fillId="13" borderId="0" xfId="0" applyFont="1" applyFill="1" applyAlignment="1">
      <alignment horizontal="centerContinuous"/>
    </xf>
    <xf numFmtId="0" fontId="10" fillId="13" borderId="0" xfId="0" applyFont="1" applyFill="1" applyAlignment="1">
      <alignment horizontal="centerContinuous"/>
    </xf>
    <xf numFmtId="0" fontId="17" fillId="13" borderId="0" xfId="0" applyFont="1" applyFill="1"/>
    <xf numFmtId="0" fontId="0" fillId="13" borderId="15" xfId="0" applyFill="1" applyBorder="1" applyAlignment="1">
      <alignment horizontal="centerContinuous"/>
    </xf>
    <xf numFmtId="0" fontId="0" fillId="13" borderId="16" xfId="0" applyFill="1" applyBorder="1"/>
    <xf numFmtId="0" fontId="0" fillId="13" borderId="14" xfId="0" applyFill="1" applyBorder="1"/>
    <xf numFmtId="0" fontId="0" fillId="13" borderId="17" xfId="0" applyFill="1" applyBorder="1"/>
    <xf numFmtId="0" fontId="38" fillId="9" borderId="0" xfId="0" applyFont="1" applyFill="1" applyAlignment="1">
      <alignment horizontal="right"/>
    </xf>
    <xf numFmtId="0" fontId="30" fillId="0" borderId="13" xfId="0" applyFont="1" applyBorder="1"/>
    <xf numFmtId="0" fontId="0" fillId="0" borderId="9" xfId="0" applyBorder="1"/>
    <xf numFmtId="0" fontId="0" fillId="0" borderId="10" xfId="0" applyBorder="1"/>
    <xf numFmtId="0" fontId="0" fillId="0" borderId="11" xfId="0" applyBorder="1"/>
    <xf numFmtId="0" fontId="0" fillId="0" borderId="12" xfId="0" applyBorder="1"/>
    <xf numFmtId="0" fontId="7" fillId="0" borderId="13" xfId="0" applyFont="1" applyBorder="1" applyAlignment="1">
      <alignment horizontal="centerContinuous"/>
    </xf>
    <xf numFmtId="0" fontId="6" fillId="0" borderId="12" xfId="0" applyFont="1" applyBorder="1"/>
    <xf numFmtId="0" fontId="6" fillId="0" borderId="0" xfId="0" applyFont="1"/>
    <xf numFmtId="0" fontId="6" fillId="0" borderId="13" xfId="0" applyFont="1" applyBorder="1"/>
    <xf numFmtId="0" fontId="6" fillId="0" borderId="18" xfId="0" applyFont="1" applyBorder="1"/>
    <xf numFmtId="0" fontId="46" fillId="0" borderId="19" xfId="0" applyFont="1" applyBorder="1" applyAlignment="1">
      <alignment horizontal="center"/>
    </xf>
    <xf numFmtId="0" fontId="6" fillId="0" borderId="19" xfId="0" applyFont="1" applyBorder="1"/>
    <xf numFmtId="0" fontId="6" fillId="0" borderId="20" xfId="0" applyFont="1" applyBorder="1"/>
    <xf numFmtId="0" fontId="6" fillId="0" borderId="21" xfId="0" applyFont="1" applyBorder="1"/>
    <xf numFmtId="0" fontId="6" fillId="0" borderId="22" xfId="0" applyFont="1" applyBorder="1"/>
    <xf numFmtId="0" fontId="6" fillId="0" borderId="0" xfId="0" applyFont="1" applyAlignment="1">
      <alignment horizontal="center"/>
    </xf>
    <xf numFmtId="0" fontId="6" fillId="0" borderId="23" xfId="0" applyFont="1" applyBorder="1"/>
    <xf numFmtId="0" fontId="6" fillId="0" borderId="24" xfId="0" applyFont="1" applyBorder="1"/>
    <xf numFmtId="0" fontId="6" fillId="0" borderId="25" xfId="0" applyFont="1" applyBorder="1"/>
    <xf numFmtId="0" fontId="6" fillId="0" borderId="26" xfId="0" applyFont="1" applyBorder="1"/>
    <xf numFmtId="0" fontId="6" fillId="0" borderId="27" xfId="0" applyFont="1" applyBorder="1"/>
    <xf numFmtId="0" fontId="6" fillId="0" borderId="28" xfId="0" applyFont="1" applyBorder="1"/>
    <xf numFmtId="0" fontId="6" fillId="0" borderId="29" xfId="0" applyFont="1" applyBorder="1"/>
    <xf numFmtId="0" fontId="7" fillId="0" borderId="23" xfId="0" applyFont="1" applyBorder="1" applyAlignment="1">
      <alignment horizontal="centerContinuous"/>
    </xf>
    <xf numFmtId="164" fontId="6" fillId="0" borderId="24" xfId="0" applyNumberFormat="1" applyFont="1" applyBorder="1" applyAlignment="1">
      <alignment horizontal="center"/>
    </xf>
    <xf numFmtId="164" fontId="6" fillId="0" borderId="12" xfId="0" applyNumberFormat="1" applyFont="1" applyBorder="1" applyAlignment="1">
      <alignment horizontal="center"/>
    </xf>
    <xf numFmtId="164" fontId="6" fillId="0" borderId="0" xfId="0" applyNumberFormat="1" applyFont="1"/>
    <xf numFmtId="0" fontId="7" fillId="0" borderId="0" xfId="0" applyFont="1" applyAlignment="1">
      <alignment horizontal="center"/>
    </xf>
    <xf numFmtId="0" fontId="7" fillId="0" borderId="23" xfId="0" applyFont="1" applyBorder="1" applyAlignment="1">
      <alignment horizontal="center"/>
    </xf>
    <xf numFmtId="0" fontId="6" fillId="0" borderId="0" xfId="0" applyFont="1" applyAlignment="1">
      <alignment horizontal="left"/>
    </xf>
    <xf numFmtId="0" fontId="6" fillId="0" borderId="24" xfId="0" applyFont="1" applyBorder="1" applyAlignment="1">
      <alignment horizontal="center"/>
    </xf>
    <xf numFmtId="0" fontId="6" fillId="0" borderId="12" xfId="0" applyFont="1" applyBorder="1" applyAlignment="1">
      <alignment horizontal="center"/>
    </xf>
    <xf numFmtId="0" fontId="6" fillId="0" borderId="23" xfId="0" applyFont="1" applyBorder="1" applyAlignment="1">
      <alignment horizontal="left"/>
    </xf>
    <xf numFmtId="164" fontId="6" fillId="0" borderId="16" xfId="0" applyNumberFormat="1" applyFont="1" applyBorder="1" applyAlignment="1">
      <alignment horizontal="center"/>
    </xf>
    <xf numFmtId="0" fontId="6" fillId="0" borderId="14" xfId="0" applyFont="1" applyBorder="1"/>
    <xf numFmtId="0" fontId="6" fillId="0" borderId="30" xfId="0" applyFont="1" applyBorder="1"/>
    <xf numFmtId="0" fontId="6" fillId="0" borderId="31" xfId="0" applyFont="1" applyBorder="1"/>
    <xf numFmtId="0" fontId="6" fillId="0" borderId="17" xfId="0" applyFont="1" applyBorder="1"/>
    <xf numFmtId="0" fontId="6" fillId="0" borderId="23" xfId="0" applyFont="1" applyBorder="1" applyAlignment="1">
      <alignment horizontal="centerContinuous"/>
    </xf>
    <xf numFmtId="0" fontId="7" fillId="0" borderId="12" xfId="0" applyFont="1" applyBorder="1" applyAlignment="1">
      <alignment horizontal="centerContinuous"/>
    </xf>
    <xf numFmtId="0" fontId="0" fillId="0" borderId="13" xfId="0" applyBorder="1" applyAlignment="1">
      <alignment horizontal="centerContinuous"/>
    </xf>
    <xf numFmtId="0" fontId="0" fillId="0" borderId="25" xfId="0" applyBorder="1" applyAlignment="1">
      <alignment horizontal="centerContinuous"/>
    </xf>
    <xf numFmtId="0" fontId="0" fillId="0" borderId="26" xfId="0" applyBorder="1" applyAlignment="1">
      <alignment horizontal="centerContinuous"/>
    </xf>
    <xf numFmtId="0" fontId="0" fillId="0" borderId="29" xfId="0" applyBorder="1" applyAlignment="1">
      <alignment horizontal="centerContinuous"/>
    </xf>
    <xf numFmtId="0" fontId="0" fillId="0" borderId="25" xfId="0" applyBorder="1"/>
    <xf numFmtId="0" fontId="0" fillId="0" borderId="16" xfId="0" applyBorder="1"/>
    <xf numFmtId="0" fontId="0" fillId="0" borderId="14" xfId="0" applyBorder="1"/>
    <xf numFmtId="0" fontId="0" fillId="0" borderId="14" xfId="0" applyBorder="1" applyAlignment="1">
      <alignment horizontal="centerContinuous"/>
    </xf>
    <xf numFmtId="0" fontId="0" fillId="0" borderId="17" xfId="0" applyBorder="1" applyAlignment="1">
      <alignment horizontal="centerContinuous"/>
    </xf>
    <xf numFmtId="165" fontId="0" fillId="0" borderId="26" xfId="0" applyNumberFormat="1" applyBorder="1" applyAlignment="1">
      <alignment horizontal="center"/>
    </xf>
    <xf numFmtId="0" fontId="6" fillId="0" borderId="9" xfId="0" applyFont="1" applyBorder="1"/>
    <xf numFmtId="0" fontId="6" fillId="0" borderId="10" xfId="0" applyFont="1" applyBorder="1"/>
    <xf numFmtId="0" fontId="6" fillId="0" borderId="11" xfId="0" applyFont="1" applyBorder="1"/>
    <xf numFmtId="0" fontId="6" fillId="0" borderId="13" xfId="0" applyFont="1" applyBorder="1" applyAlignment="1">
      <alignment horizontal="centerContinuous"/>
    </xf>
    <xf numFmtId="0" fontId="6" fillId="0" borderId="26" xfId="0" applyFont="1" applyBorder="1" applyAlignment="1">
      <alignment horizontal="centerContinuous"/>
    </xf>
    <xf numFmtId="0" fontId="6" fillId="0" borderId="32" xfId="0" applyFont="1" applyBorder="1" applyAlignment="1">
      <alignment horizontal="centerContinuous"/>
    </xf>
    <xf numFmtId="0" fontId="6" fillId="0" borderId="33" xfId="0" applyFont="1" applyBorder="1"/>
    <xf numFmtId="5" fontId="0" fillId="0" borderId="0" xfId="0" applyNumberFormat="1"/>
    <xf numFmtId="0" fontId="6" fillId="0" borderId="34" xfId="0" applyFont="1" applyBorder="1"/>
    <xf numFmtId="0" fontId="6" fillId="0" borderId="35" xfId="0" applyFont="1" applyBorder="1"/>
    <xf numFmtId="37" fontId="20" fillId="0" borderId="0" xfId="0" applyNumberFormat="1" applyFont="1" applyProtection="1">
      <protection locked="0"/>
    </xf>
    <xf numFmtId="37" fontId="0" fillId="0" borderId="0" xfId="0" applyNumberFormat="1"/>
    <xf numFmtId="0" fontId="29" fillId="0" borderId="24" xfId="0" applyFont="1" applyBorder="1" applyProtection="1">
      <protection locked="0"/>
    </xf>
    <xf numFmtId="0" fontId="6" fillId="0" borderId="32" xfId="0" applyFont="1" applyBorder="1"/>
    <xf numFmtId="37" fontId="29" fillId="0" borderId="24" xfId="0" applyNumberFormat="1" applyFont="1" applyBorder="1" applyProtection="1">
      <protection locked="0"/>
    </xf>
    <xf numFmtId="37" fontId="29" fillId="0" borderId="13" xfId="0" applyNumberFormat="1" applyFont="1" applyBorder="1" applyProtection="1">
      <protection locked="0"/>
    </xf>
    <xf numFmtId="37" fontId="6" fillId="0" borderId="12" xfId="0" applyNumberFormat="1" applyFont="1" applyBorder="1"/>
    <xf numFmtId="37" fontId="29" fillId="0" borderId="23" xfId="0" applyNumberFormat="1" applyFont="1" applyBorder="1" applyProtection="1">
      <protection locked="0"/>
    </xf>
    <xf numFmtId="37" fontId="6" fillId="9" borderId="0" xfId="0" applyNumberFormat="1" applyFont="1" applyFill="1"/>
    <xf numFmtId="0" fontId="29" fillId="0" borderId="28" xfId="0" applyFont="1" applyBorder="1" applyProtection="1">
      <protection locked="0"/>
    </xf>
    <xf numFmtId="0" fontId="6" fillId="0" borderId="36" xfId="0" applyFont="1" applyBorder="1"/>
    <xf numFmtId="37" fontId="29" fillId="0" borderId="28" xfId="0" applyNumberFormat="1" applyFont="1" applyBorder="1" applyProtection="1">
      <protection locked="0"/>
    </xf>
    <xf numFmtId="37" fontId="6" fillId="0" borderId="25" xfId="0" applyNumberFormat="1" applyFont="1" applyBorder="1"/>
    <xf numFmtId="37" fontId="29" fillId="0" borderId="27" xfId="0" applyNumberFormat="1" applyFont="1" applyBorder="1" applyProtection="1">
      <protection locked="0"/>
    </xf>
    <xf numFmtId="0" fontId="6" fillId="0" borderId="37" xfId="0" applyFont="1" applyBorder="1"/>
    <xf numFmtId="0" fontId="6" fillId="0" borderId="16" xfId="0" applyFont="1" applyBorder="1"/>
    <xf numFmtId="0" fontId="47" fillId="0" borderId="9" xfId="0" applyFont="1" applyBorder="1"/>
    <xf numFmtId="0" fontId="47" fillId="0" borderId="10" xfId="0" applyFont="1" applyBorder="1"/>
    <xf numFmtId="0" fontId="47" fillId="0" borderId="11" xfId="0" applyFont="1" applyBorder="1"/>
    <xf numFmtId="0" fontId="48" fillId="0" borderId="12" xfId="0" applyFont="1" applyBorder="1" applyAlignment="1">
      <alignment horizontal="centerContinuous"/>
    </xf>
    <xf numFmtId="0" fontId="47" fillId="0" borderId="0" xfId="0" applyFont="1" applyAlignment="1">
      <alignment horizontal="centerContinuous"/>
    </xf>
    <xf numFmtId="0" fontId="47" fillId="0" borderId="13" xfId="0" applyFont="1" applyBorder="1" applyAlignment="1">
      <alignment horizontal="centerContinuous"/>
    </xf>
    <xf numFmtId="0" fontId="47" fillId="0" borderId="25" xfId="0" applyFont="1" applyBorder="1" applyAlignment="1">
      <alignment horizontal="centerContinuous"/>
    </xf>
    <xf numFmtId="0" fontId="47" fillId="0" borderId="26" xfId="0" applyFont="1" applyBorder="1" applyAlignment="1">
      <alignment horizontal="centerContinuous"/>
    </xf>
    <xf numFmtId="0" fontId="47" fillId="0" borderId="29" xfId="0" applyFont="1" applyBorder="1" applyAlignment="1">
      <alignment horizontal="centerContinuous"/>
    </xf>
    <xf numFmtId="0" fontId="47" fillId="0" borderId="12" xfId="0" applyFont="1" applyBorder="1" applyAlignment="1">
      <alignment horizontal="centerContinuous"/>
    </xf>
    <xf numFmtId="0" fontId="47" fillId="0" borderId="12" xfId="0" applyFont="1" applyBorder="1"/>
    <xf numFmtId="0" fontId="49" fillId="0" borderId="0" xfId="0" applyFont="1" applyAlignment="1">
      <alignment horizontal="centerContinuous"/>
    </xf>
    <xf numFmtId="0" fontId="49" fillId="0" borderId="13" xfId="0" applyFont="1" applyBorder="1" applyAlignment="1">
      <alignment horizontal="centerContinuous"/>
    </xf>
    <xf numFmtId="0" fontId="49" fillId="0" borderId="0" xfId="0" applyFont="1"/>
    <xf numFmtId="0" fontId="47" fillId="0" borderId="25" xfId="0" applyFont="1" applyBorder="1"/>
    <xf numFmtId="0" fontId="49" fillId="0" borderId="26" xfId="0" applyFont="1" applyBorder="1"/>
    <xf numFmtId="0" fontId="49" fillId="0" borderId="26" xfId="0" applyFont="1" applyBorder="1" applyAlignment="1">
      <alignment horizontal="centerContinuous"/>
    </xf>
    <xf numFmtId="0" fontId="49" fillId="0" borderId="29" xfId="0" applyFont="1" applyBorder="1" applyAlignment="1">
      <alignment horizontal="centerContinuous"/>
    </xf>
    <xf numFmtId="0" fontId="47" fillId="0" borderId="38" xfId="0" applyFont="1" applyBorder="1"/>
    <xf numFmtId="0" fontId="47" fillId="0" borderId="32" xfId="0" applyFont="1" applyBorder="1" applyAlignment="1">
      <alignment horizontal="centerContinuous"/>
    </xf>
    <xf numFmtId="0" fontId="47" fillId="0" borderId="26" xfId="0" applyFont="1" applyBorder="1"/>
    <xf numFmtId="0" fontId="47" fillId="0" borderId="29" xfId="0" applyFont="1" applyBorder="1"/>
    <xf numFmtId="0" fontId="47" fillId="0" borderId="0" xfId="0" applyFont="1"/>
    <xf numFmtId="0" fontId="47" fillId="0" borderId="24" xfId="0" applyFont="1" applyBorder="1"/>
    <xf numFmtId="0" fontId="47" fillId="0" borderId="23" xfId="0" applyFont="1" applyBorder="1"/>
    <xf numFmtId="0" fontId="47" fillId="0" borderId="33" xfId="0" applyFont="1" applyBorder="1"/>
    <xf numFmtId="0" fontId="47" fillId="0" borderId="39" xfId="0" applyFont="1" applyBorder="1"/>
    <xf numFmtId="0" fontId="47" fillId="0" borderId="27" xfId="0" applyFont="1" applyBorder="1" applyAlignment="1">
      <alignment horizontal="centerContinuous"/>
    </xf>
    <xf numFmtId="0" fontId="47" fillId="0" borderId="37" xfId="0" applyFont="1" applyBorder="1" applyAlignment="1">
      <alignment horizontal="centerContinuous"/>
    </xf>
    <xf numFmtId="0" fontId="47" fillId="0" borderId="28" xfId="0" applyFont="1" applyBorder="1"/>
    <xf numFmtId="0" fontId="47" fillId="0" borderId="27" xfId="0" applyFont="1" applyBorder="1"/>
    <xf numFmtId="0" fontId="47" fillId="0" borderId="37" xfId="0" applyFont="1" applyBorder="1"/>
    <xf numFmtId="0" fontId="6" fillId="0" borderId="39" xfId="0" applyFont="1" applyBorder="1"/>
    <xf numFmtId="0" fontId="47" fillId="0" borderId="24" xfId="0" applyFont="1" applyBorder="1" applyAlignment="1">
      <alignment horizontal="centerContinuous"/>
    </xf>
    <xf numFmtId="0" fontId="47" fillId="0" borderId="23" xfId="0" applyFont="1" applyBorder="1" applyAlignment="1">
      <alignment horizontal="centerContinuous"/>
    </xf>
    <xf numFmtId="0" fontId="47" fillId="0" borderId="33" xfId="0" applyFont="1" applyBorder="1" applyAlignment="1">
      <alignment horizontal="centerContinuous"/>
    </xf>
    <xf numFmtId="0" fontId="47" fillId="0" borderId="0" xfId="0" applyFont="1" applyAlignment="1">
      <alignment horizontal="left"/>
    </xf>
    <xf numFmtId="0" fontId="47" fillId="0" borderId="40" xfId="0" applyFont="1" applyBorder="1"/>
    <xf numFmtId="0" fontId="47" fillId="0" borderId="14" xfId="0" applyFont="1" applyBorder="1" applyAlignment="1">
      <alignment horizontal="left"/>
    </xf>
    <xf numFmtId="0" fontId="47" fillId="0" borderId="31" xfId="0" applyFont="1" applyBorder="1"/>
    <xf numFmtId="0" fontId="47" fillId="0" borderId="30" xfId="0" applyFont="1" applyBorder="1"/>
    <xf numFmtId="0" fontId="47" fillId="0" borderId="14" xfId="0" applyFont="1" applyBorder="1"/>
    <xf numFmtId="0" fontId="47" fillId="0" borderId="41" xfId="0" applyFont="1" applyBorder="1"/>
    <xf numFmtId="39" fontId="0" fillId="0" borderId="0" xfId="0" applyNumberFormat="1"/>
    <xf numFmtId="39" fontId="49" fillId="0" borderId="13" xfId="0" applyNumberFormat="1" applyFont="1" applyBorder="1" applyAlignment="1">
      <alignment horizontal="centerContinuous"/>
    </xf>
    <xf numFmtId="37" fontId="49" fillId="0" borderId="0" xfId="0" applyNumberFormat="1" applyFont="1" applyAlignment="1">
      <alignment horizontal="centerContinuous"/>
    </xf>
    <xf numFmtId="37" fontId="49" fillId="0" borderId="13" xfId="0" applyNumberFormat="1" applyFont="1" applyBorder="1" applyAlignment="1">
      <alignment horizontal="centerContinuous"/>
    </xf>
    <xf numFmtId="37" fontId="49" fillId="0" borderId="0" xfId="0" applyNumberFormat="1" applyFont="1"/>
    <xf numFmtId="37" fontId="49" fillId="0" borderId="13" xfId="0" applyNumberFormat="1" applyFont="1" applyBorder="1"/>
    <xf numFmtId="37" fontId="49" fillId="0" borderId="26" xfId="0" applyNumberFormat="1" applyFont="1" applyBorder="1"/>
    <xf numFmtId="37" fontId="49" fillId="0" borderId="29" xfId="0" applyNumberFormat="1" applyFont="1" applyBorder="1"/>
    <xf numFmtId="37" fontId="47" fillId="0" borderId="0" xfId="0" applyNumberFormat="1" applyFont="1"/>
    <xf numFmtId="37" fontId="47" fillId="0" borderId="13" xfId="0" applyNumberFormat="1" applyFont="1" applyBorder="1"/>
    <xf numFmtId="0" fontId="47" fillId="0" borderId="16" xfId="0" applyFont="1" applyBorder="1"/>
    <xf numFmtId="0" fontId="47" fillId="0" borderId="14" xfId="0" applyFont="1" applyBorder="1" applyAlignment="1">
      <alignment horizontal="centerContinuous"/>
    </xf>
    <xf numFmtId="37" fontId="47" fillId="0" borderId="14" xfId="0" applyNumberFormat="1" applyFont="1" applyBorder="1"/>
    <xf numFmtId="37" fontId="47" fillId="0" borderId="17" xfId="0" applyNumberFormat="1" applyFont="1" applyBorder="1"/>
    <xf numFmtId="37" fontId="47" fillId="0" borderId="0" xfId="0" applyNumberFormat="1" applyFont="1" applyAlignment="1">
      <alignment horizontal="centerContinuous"/>
    </xf>
    <xf numFmtId="0" fontId="0" fillId="0" borderId="0" xfId="0" applyAlignment="1">
      <alignment horizontal="right"/>
    </xf>
    <xf numFmtId="0" fontId="0" fillId="0" borderId="13" xfId="0" applyBorder="1"/>
    <xf numFmtId="0" fontId="29" fillId="0" borderId="0" xfId="0" applyFont="1" applyProtection="1">
      <protection locked="0"/>
    </xf>
    <xf numFmtId="0" fontId="29" fillId="0" borderId="14" xfId="0" applyFont="1" applyBorder="1" applyProtection="1">
      <protection locked="0"/>
    </xf>
    <xf numFmtId="0" fontId="0" fillId="0" borderId="17" xfId="0" applyBorder="1"/>
    <xf numFmtId="0" fontId="38" fillId="0" borderId="0" xfId="0" applyFont="1"/>
    <xf numFmtId="0" fontId="50" fillId="0" borderId="0" xfId="0" applyFont="1" applyAlignment="1">
      <alignment horizontal="centerContinuous"/>
    </xf>
    <xf numFmtId="0" fontId="5" fillId="0" borderId="12" xfId="0" applyFont="1" applyBorder="1" applyAlignment="1">
      <alignment horizontal="centerContinuous"/>
    </xf>
    <xf numFmtId="0" fontId="6" fillId="0" borderId="25" xfId="0" applyFont="1" applyBorder="1" applyAlignment="1">
      <alignment vertical="top"/>
    </xf>
    <xf numFmtId="0" fontId="6" fillId="0" borderId="26" xfId="0" applyFont="1" applyBorder="1" applyAlignment="1">
      <alignment vertical="top"/>
    </xf>
    <xf numFmtId="0" fontId="6" fillId="0" borderId="26" xfId="0" applyFont="1" applyBorder="1" applyAlignment="1">
      <alignment horizontal="left" wrapText="1"/>
    </xf>
    <xf numFmtId="0" fontId="0" fillId="0" borderId="26" xfId="0" applyBorder="1"/>
    <xf numFmtId="0" fontId="0" fillId="0" borderId="29" xfId="0" applyBorder="1"/>
    <xf numFmtId="0" fontId="6" fillId="0" borderId="38" xfId="0" applyFont="1" applyBorder="1"/>
    <xf numFmtId="0" fontId="0" fillId="0" borderId="23" xfId="0" applyBorder="1"/>
    <xf numFmtId="0" fontId="0" fillId="0" borderId="27" xfId="0" applyBorder="1"/>
    <xf numFmtId="0" fontId="7" fillId="0" borderId="23" xfId="0" applyFont="1" applyBorder="1"/>
    <xf numFmtId="0" fontId="9" fillId="0" borderId="23" xfId="0" applyFont="1" applyBorder="1"/>
    <xf numFmtId="0" fontId="6" fillId="0" borderId="23" xfId="0" applyFont="1" applyBorder="1" applyAlignment="1">
      <alignment horizontal="right"/>
    </xf>
    <xf numFmtId="5" fontId="0" fillId="0" borderId="13" xfId="0" applyNumberFormat="1" applyBorder="1"/>
    <xf numFmtId="0" fontId="7" fillId="0" borderId="0" xfId="0" applyFont="1"/>
    <xf numFmtId="0" fontId="0" fillId="0" borderId="38" xfId="0" applyBorder="1"/>
    <xf numFmtId="0" fontId="0" fillId="0" borderId="40" xfId="0" applyBorder="1"/>
    <xf numFmtId="5" fontId="0" fillId="0" borderId="42" xfId="0" applyNumberFormat="1" applyBorder="1"/>
    <xf numFmtId="0" fontId="6" fillId="0" borderId="38" xfId="0" applyFont="1" applyBorder="1" applyAlignment="1">
      <alignment horizontal="center"/>
    </xf>
    <xf numFmtId="0" fontId="0" fillId="0" borderId="24" xfId="0" applyBorder="1"/>
    <xf numFmtId="0" fontId="9" fillId="0" borderId="0" xfId="0" applyFont="1"/>
    <xf numFmtId="0" fontId="6" fillId="0" borderId="39" xfId="0" applyFont="1" applyBorder="1" applyAlignment="1">
      <alignment horizontal="center"/>
    </xf>
    <xf numFmtId="5" fontId="0" fillId="0" borderId="24" xfId="0" applyNumberFormat="1" applyBorder="1"/>
    <xf numFmtId="0" fontId="0" fillId="0" borderId="19" xfId="0" applyBorder="1"/>
    <xf numFmtId="0" fontId="0" fillId="0" borderId="22" xfId="0" applyBorder="1"/>
    <xf numFmtId="0" fontId="29" fillId="0" borderId="0" xfId="0" applyFont="1" applyAlignment="1" applyProtection="1">
      <alignment horizontal="centerContinuous"/>
      <protection locked="0"/>
    </xf>
    <xf numFmtId="37" fontId="0" fillId="0" borderId="13" xfId="0" applyNumberFormat="1" applyBorder="1"/>
    <xf numFmtId="0" fontId="51" fillId="0" borderId="9" xfId="0" applyFont="1" applyBorder="1"/>
    <xf numFmtId="0" fontId="47" fillId="0" borderId="38" xfId="0" applyFont="1" applyBorder="1" applyAlignment="1">
      <alignment horizontal="center"/>
    </xf>
    <xf numFmtId="0" fontId="47" fillId="0" borderId="39" xfId="0" applyFont="1" applyBorder="1" applyAlignment="1">
      <alignment horizontal="center"/>
    </xf>
    <xf numFmtId="0" fontId="47" fillId="0" borderId="36" xfId="0" applyFont="1" applyBorder="1" applyAlignment="1">
      <alignment horizontal="centerContinuous"/>
    </xf>
    <xf numFmtId="0" fontId="47" fillId="0" borderId="36" xfId="0" applyFont="1" applyBorder="1" applyAlignment="1">
      <alignment horizontal="center" wrapText="1"/>
    </xf>
    <xf numFmtId="5" fontId="47" fillId="0" borderId="28" xfId="0" applyNumberFormat="1" applyFont="1" applyBorder="1"/>
    <xf numFmtId="5" fontId="47" fillId="0" borderId="37" xfId="0" applyNumberFormat="1" applyFont="1" applyBorder="1"/>
    <xf numFmtId="37" fontId="47" fillId="0" borderId="28" xfId="0" applyNumberFormat="1" applyFont="1" applyBorder="1"/>
    <xf numFmtId="37" fontId="47" fillId="0" borderId="37" xfId="0" applyNumberFormat="1" applyFont="1" applyBorder="1"/>
    <xf numFmtId="37" fontId="47" fillId="0" borderId="36" xfId="0" applyNumberFormat="1" applyFont="1" applyBorder="1"/>
    <xf numFmtId="0" fontId="47" fillId="0" borderId="36" xfId="0" applyFont="1" applyBorder="1" applyAlignment="1">
      <alignment horizontal="centerContinuous" wrapText="1"/>
    </xf>
    <xf numFmtId="37" fontId="47" fillId="0" borderId="36" xfId="0" applyNumberFormat="1" applyFont="1" applyBorder="1" applyAlignment="1">
      <alignment horizontal="centerContinuous"/>
    </xf>
    <xf numFmtId="0" fontId="47" fillId="0" borderId="36" xfId="0" applyFont="1" applyBorder="1" applyAlignment="1">
      <alignment horizontal="center"/>
    </xf>
    <xf numFmtId="0" fontId="47" fillId="0" borderId="32" xfId="0" applyFont="1" applyBorder="1" applyAlignment="1">
      <alignment horizontal="center"/>
    </xf>
    <xf numFmtId="37" fontId="47" fillId="0" borderId="32" xfId="0" applyNumberFormat="1" applyFont="1" applyBorder="1"/>
    <xf numFmtId="37" fontId="47" fillId="0" borderId="33" xfId="0" applyNumberFormat="1" applyFont="1" applyBorder="1"/>
    <xf numFmtId="0" fontId="47" fillId="0" borderId="40" xfId="0" applyFont="1" applyBorder="1" applyAlignment="1">
      <alignment horizontal="center"/>
    </xf>
    <xf numFmtId="0" fontId="47" fillId="0" borderId="43" xfId="0" applyFont="1" applyBorder="1" applyAlignment="1">
      <alignment horizontal="center"/>
    </xf>
    <xf numFmtId="5" fontId="47" fillId="0" borderId="41" xfId="0" applyNumberFormat="1" applyFont="1" applyBorder="1"/>
    <xf numFmtId="0" fontId="48" fillId="0" borderId="0" xfId="0" applyFont="1" applyAlignment="1">
      <alignment horizontal="centerContinuous"/>
    </xf>
    <xf numFmtId="5" fontId="47" fillId="0" borderId="36" xfId="0" applyNumberFormat="1" applyFont="1" applyBorder="1"/>
    <xf numFmtId="5" fontId="47" fillId="0" borderId="33" xfId="0" applyNumberFormat="1" applyFont="1" applyBorder="1"/>
    <xf numFmtId="0" fontId="47" fillId="0" borderId="43" xfId="0" applyFont="1" applyBorder="1"/>
    <xf numFmtId="0" fontId="47" fillId="0" borderId="0" xfId="0" applyFont="1" applyAlignment="1">
      <alignment horizontal="center"/>
    </xf>
    <xf numFmtId="165" fontId="0" fillId="0" borderId="0" xfId="0" applyNumberFormat="1" applyAlignment="1">
      <alignment horizontal="center"/>
    </xf>
    <xf numFmtId="0" fontId="47" fillId="0" borderId="13" xfId="0" applyFont="1" applyBorder="1"/>
    <xf numFmtId="37" fontId="47" fillId="0" borderId="13" xfId="0" applyNumberFormat="1" applyFont="1" applyBorder="1" applyAlignment="1">
      <alignment horizontal="centerContinuous"/>
    </xf>
    <xf numFmtId="0" fontId="47" fillId="0" borderId="32" xfId="0" applyFont="1" applyBorder="1"/>
    <xf numFmtId="37" fontId="47" fillId="0" borderId="29" xfId="0" applyNumberFormat="1" applyFont="1" applyBorder="1" applyAlignment="1">
      <alignment horizontal="centerContinuous"/>
    </xf>
    <xf numFmtId="37" fontId="47" fillId="0" borderId="27" xfId="0" applyNumberFormat="1" applyFont="1" applyBorder="1" applyAlignment="1">
      <alignment horizontal="centerContinuous"/>
    </xf>
    <xf numFmtId="0" fontId="47" fillId="0" borderId="22" xfId="0" applyFont="1" applyBorder="1"/>
    <xf numFmtId="37" fontId="47" fillId="0" borderId="24" xfId="0" applyNumberFormat="1" applyFont="1" applyBorder="1"/>
    <xf numFmtId="37" fontId="47" fillId="14" borderId="36" xfId="0" applyNumberFormat="1" applyFont="1" applyFill="1" applyBorder="1"/>
    <xf numFmtId="37" fontId="47" fillId="14" borderId="37" xfId="0" applyNumberFormat="1" applyFont="1" applyFill="1" applyBorder="1"/>
    <xf numFmtId="0" fontId="47" fillId="14" borderId="26" xfId="0" applyFont="1" applyFill="1" applyBorder="1" applyAlignment="1">
      <alignment horizontal="centerContinuous"/>
    </xf>
    <xf numFmtId="0" fontId="47" fillId="14" borderId="36" xfId="0" applyFont="1" applyFill="1" applyBorder="1"/>
    <xf numFmtId="37" fontId="47" fillId="14" borderId="28" xfId="0" applyNumberFormat="1" applyFont="1" applyFill="1" applyBorder="1"/>
    <xf numFmtId="0" fontId="47" fillId="0" borderId="37" xfId="0" applyFont="1" applyBorder="1" applyAlignment="1">
      <alignment horizontal="center"/>
    </xf>
    <xf numFmtId="37" fontId="47" fillId="0" borderId="26" xfId="0" applyNumberFormat="1" applyFont="1" applyBorder="1" applyAlignment="1">
      <alignment horizontal="centerContinuous"/>
    </xf>
    <xf numFmtId="0" fontId="47" fillId="0" borderId="33" xfId="0" applyFont="1" applyBorder="1" applyAlignment="1">
      <alignment horizontal="center"/>
    </xf>
    <xf numFmtId="37" fontId="47" fillId="15" borderId="36" xfId="0" applyNumberFormat="1" applyFont="1" applyFill="1" applyBorder="1"/>
    <xf numFmtId="0" fontId="47" fillId="15" borderId="26" xfId="0" applyFont="1" applyFill="1" applyBorder="1" applyAlignment="1">
      <alignment horizontal="centerContinuous"/>
    </xf>
    <xf numFmtId="0" fontId="47" fillId="15" borderId="36" xfId="0" applyFont="1" applyFill="1" applyBorder="1"/>
    <xf numFmtId="37" fontId="47" fillId="15" borderId="28" xfId="0" applyNumberFormat="1" applyFont="1" applyFill="1" applyBorder="1"/>
    <xf numFmtId="0" fontId="47" fillId="0" borderId="17" xfId="0" applyFont="1" applyBorder="1"/>
    <xf numFmtId="0" fontId="47" fillId="0" borderId="10" xfId="0" applyFont="1" applyBorder="1" applyAlignment="1">
      <alignment horizontal="centerContinuous"/>
    </xf>
    <xf numFmtId="37" fontId="47" fillId="0" borderId="10" xfId="0" applyNumberFormat="1" applyFont="1" applyBorder="1"/>
    <xf numFmtId="0" fontId="47" fillId="0" borderId="11" xfId="0" applyFont="1" applyBorder="1" applyAlignment="1">
      <alignment horizontal="center"/>
    </xf>
    <xf numFmtId="0" fontId="47" fillId="0" borderId="18" xfId="0" applyFont="1" applyBorder="1"/>
    <xf numFmtId="0" fontId="47" fillId="0" borderId="19" xfId="0" applyFont="1" applyBorder="1" applyAlignment="1">
      <alignment horizontal="centerContinuous"/>
    </xf>
    <xf numFmtId="0" fontId="47" fillId="0" borderId="22" xfId="0" applyFont="1" applyBorder="1" applyAlignment="1">
      <alignment horizontal="centerContinuous"/>
    </xf>
    <xf numFmtId="39" fontId="47" fillId="0" borderId="13" xfId="0" applyNumberFormat="1" applyFont="1" applyBorder="1" applyAlignment="1">
      <alignment horizontal="centerContinuous"/>
    </xf>
    <xf numFmtId="0" fontId="47" fillId="16" borderId="0" xfId="0" applyFont="1" applyFill="1"/>
    <xf numFmtId="37" fontId="47" fillId="16" borderId="37" xfId="0" applyNumberFormat="1" applyFont="1" applyFill="1" applyBorder="1"/>
    <xf numFmtId="37" fontId="0" fillId="0" borderId="36" xfId="0" applyNumberFormat="1" applyBorder="1"/>
    <xf numFmtId="37" fontId="0" fillId="0" borderId="37" xfId="0" applyNumberFormat="1" applyBorder="1"/>
    <xf numFmtId="0" fontId="47" fillId="16" borderId="36" xfId="0" applyFont="1" applyFill="1" applyBorder="1"/>
    <xf numFmtId="0" fontId="47" fillId="17" borderId="36" xfId="0" applyFont="1" applyFill="1" applyBorder="1"/>
    <xf numFmtId="37" fontId="47" fillId="17" borderId="37" xfId="0" applyNumberFormat="1" applyFont="1" applyFill="1" applyBorder="1"/>
    <xf numFmtId="0" fontId="47" fillId="0" borderId="44" xfId="0" applyFont="1" applyBorder="1"/>
    <xf numFmtId="0" fontId="47" fillId="0" borderId="35" xfId="0" applyFont="1" applyBorder="1" applyAlignment="1">
      <alignment horizontal="centerContinuous"/>
    </xf>
    <xf numFmtId="37" fontId="47" fillId="16" borderId="33" xfId="0" applyNumberFormat="1" applyFont="1" applyFill="1" applyBorder="1"/>
    <xf numFmtId="0" fontId="48" fillId="0" borderId="0" xfId="0" applyFont="1" applyAlignment="1">
      <alignment horizontal="center"/>
    </xf>
    <xf numFmtId="37" fontId="48" fillId="0" borderId="13" xfId="0" applyNumberFormat="1" applyFont="1" applyBorder="1" applyAlignment="1">
      <alignment horizontal="centerContinuous"/>
    </xf>
    <xf numFmtId="0" fontId="48" fillId="0" borderId="25" xfId="0" applyFont="1" applyBorder="1" applyAlignment="1">
      <alignment horizontal="centerContinuous"/>
    </xf>
    <xf numFmtId="0" fontId="48" fillId="0" borderId="26" xfId="0" applyFont="1" applyBorder="1" applyAlignment="1">
      <alignment horizontal="centerContinuous"/>
    </xf>
    <xf numFmtId="37" fontId="48" fillId="0" borderId="29" xfId="0" applyNumberFormat="1" applyFont="1" applyBorder="1" applyAlignment="1">
      <alignment horizontal="centerContinuous"/>
    </xf>
    <xf numFmtId="37" fontId="47" fillId="0" borderId="29" xfId="0" applyNumberFormat="1" applyFont="1" applyBorder="1"/>
    <xf numFmtId="0" fontId="47" fillId="0" borderId="24" xfId="0" applyFont="1" applyBorder="1" applyAlignment="1">
      <alignment horizontal="center"/>
    </xf>
    <xf numFmtId="37" fontId="47" fillId="0" borderId="13" xfId="0" applyNumberFormat="1" applyFont="1" applyBorder="1" applyAlignment="1">
      <alignment horizontal="center"/>
    </xf>
    <xf numFmtId="0" fontId="47" fillId="0" borderId="28" xfId="0" applyFont="1" applyBorder="1" applyAlignment="1">
      <alignment horizontal="center"/>
    </xf>
    <xf numFmtId="37" fontId="47" fillId="0" borderId="29" xfId="0" applyNumberFormat="1" applyFont="1" applyBorder="1" applyAlignment="1">
      <alignment horizontal="center"/>
    </xf>
    <xf numFmtId="5" fontId="47" fillId="0" borderId="45" xfId="0" applyNumberFormat="1" applyFont="1" applyBorder="1"/>
    <xf numFmtId="0" fontId="47" fillId="0" borderId="9" xfId="0" applyFont="1" applyBorder="1" applyAlignment="1">
      <alignment horizontal="centerContinuous"/>
    </xf>
    <xf numFmtId="0" fontId="48" fillId="0" borderId="10" xfId="0" applyFont="1" applyBorder="1" applyAlignment="1">
      <alignment horizontal="centerContinuous"/>
    </xf>
    <xf numFmtId="0" fontId="47" fillId="0" borderId="11" xfId="0" applyFont="1" applyBorder="1" applyAlignment="1">
      <alignment horizontal="centerContinuous"/>
    </xf>
    <xf numFmtId="0" fontId="0" fillId="0" borderId="19" xfId="0" applyBorder="1" applyAlignment="1">
      <alignment horizontal="centerContinuous"/>
    </xf>
    <xf numFmtId="37" fontId="47" fillId="0" borderId="26" xfId="0" applyNumberFormat="1" applyFont="1" applyBorder="1"/>
    <xf numFmtId="37" fontId="47" fillId="2" borderId="37" xfId="0" applyNumberFormat="1" applyFont="1" applyFill="1" applyBorder="1"/>
    <xf numFmtId="37" fontId="47" fillId="2" borderId="33" xfId="0" applyNumberFormat="1" applyFont="1" applyFill="1" applyBorder="1"/>
    <xf numFmtId="0" fontId="47" fillId="0" borderId="26" xfId="0" applyFont="1" applyBorder="1" applyAlignment="1">
      <alignment horizontal="center"/>
    </xf>
    <xf numFmtId="37" fontId="47" fillId="0" borderId="0" xfId="0" applyNumberFormat="1" applyFont="1" applyAlignment="1">
      <alignment horizontal="right"/>
    </xf>
    <xf numFmtId="0" fontId="48" fillId="9" borderId="12" xfId="0" applyFont="1" applyFill="1" applyBorder="1" applyAlignment="1">
      <alignment horizontal="centerContinuous"/>
    </xf>
    <xf numFmtId="0" fontId="48" fillId="9" borderId="25" xfId="0" applyFont="1" applyFill="1" applyBorder="1" applyAlignment="1">
      <alignment horizontal="centerContinuous"/>
    </xf>
    <xf numFmtId="0" fontId="47" fillId="9" borderId="38" xfId="0" applyFont="1" applyFill="1" applyBorder="1"/>
    <xf numFmtId="39" fontId="47" fillId="18" borderId="13" xfId="0" applyNumberFormat="1" applyFont="1" applyFill="1" applyBorder="1" applyAlignment="1">
      <alignment horizontal="centerContinuous"/>
    </xf>
    <xf numFmtId="39" fontId="47" fillId="18" borderId="0" xfId="0" applyNumberFormat="1" applyFont="1" applyFill="1" applyAlignment="1">
      <alignment horizontal="centerContinuous"/>
    </xf>
    <xf numFmtId="39" fontId="47" fillId="18" borderId="23" xfId="0" applyNumberFormat="1" applyFont="1" applyFill="1" applyBorder="1" applyAlignment="1">
      <alignment horizontal="centerContinuous"/>
    </xf>
    <xf numFmtId="0" fontId="47" fillId="18" borderId="36" xfId="0" applyFont="1" applyFill="1" applyBorder="1" applyAlignment="1">
      <alignment horizontal="centerContinuous"/>
    </xf>
    <xf numFmtId="0" fontId="47" fillId="18" borderId="25" xfId="0" applyFont="1" applyFill="1" applyBorder="1" applyAlignment="1">
      <alignment horizontal="centerContinuous"/>
    </xf>
    <xf numFmtId="0" fontId="47" fillId="18" borderId="26" xfId="0" applyFont="1" applyFill="1" applyBorder="1" applyAlignment="1">
      <alignment horizontal="centerContinuous"/>
    </xf>
    <xf numFmtId="0" fontId="47" fillId="18" borderId="27" xfId="0" applyFont="1" applyFill="1" applyBorder="1" applyAlignment="1">
      <alignment horizontal="centerContinuous"/>
    </xf>
    <xf numFmtId="37" fontId="47" fillId="18" borderId="32" xfId="0" applyNumberFormat="1" applyFont="1" applyFill="1" applyBorder="1"/>
    <xf numFmtId="37" fontId="47" fillId="18" borderId="13" xfId="0" applyNumberFormat="1" applyFont="1" applyFill="1" applyBorder="1" applyAlignment="1">
      <alignment horizontal="centerContinuous"/>
    </xf>
    <xf numFmtId="37" fontId="47" fillId="19" borderId="12" xfId="0" applyNumberFormat="1" applyFont="1" applyFill="1" applyBorder="1"/>
    <xf numFmtId="37" fontId="47" fillId="18" borderId="0" xfId="0" applyNumberFormat="1" applyFont="1" applyFill="1" applyAlignment="1">
      <alignment horizontal="centerContinuous"/>
    </xf>
    <xf numFmtId="37" fontId="47" fillId="18" borderId="23" xfId="0" applyNumberFormat="1" applyFont="1" applyFill="1" applyBorder="1" applyAlignment="1">
      <alignment horizontal="centerContinuous"/>
    </xf>
    <xf numFmtId="37" fontId="47" fillId="18" borderId="36" xfId="0" applyNumberFormat="1" applyFont="1" applyFill="1" applyBorder="1" applyAlignment="1">
      <alignment horizontal="centerContinuous"/>
    </xf>
    <xf numFmtId="37" fontId="47" fillId="18" borderId="29" xfId="0" applyNumberFormat="1" applyFont="1" applyFill="1" applyBorder="1" applyAlignment="1">
      <alignment horizontal="centerContinuous"/>
    </xf>
    <xf numFmtId="37" fontId="47" fillId="19" borderId="25" xfId="0" applyNumberFormat="1" applyFont="1" applyFill="1" applyBorder="1" applyAlignment="1">
      <alignment horizontal="centerContinuous"/>
    </xf>
    <xf numFmtId="37" fontId="47" fillId="18" borderId="26" xfId="0" applyNumberFormat="1" applyFont="1" applyFill="1" applyBorder="1" applyAlignment="1">
      <alignment horizontal="centerContinuous"/>
    </xf>
    <xf numFmtId="37" fontId="47" fillId="18" borderId="27" xfId="0" applyNumberFormat="1" applyFont="1" applyFill="1" applyBorder="1" applyAlignment="1">
      <alignment horizontal="centerContinuous"/>
    </xf>
    <xf numFmtId="37" fontId="47" fillId="19" borderId="12" xfId="0" applyNumberFormat="1" applyFont="1" applyFill="1" applyBorder="1" applyAlignment="1">
      <alignment horizontal="centerContinuous"/>
    </xf>
    <xf numFmtId="37" fontId="47" fillId="18" borderId="25" xfId="0" applyNumberFormat="1" applyFont="1" applyFill="1" applyBorder="1" applyAlignment="1">
      <alignment horizontal="centerContinuous"/>
    </xf>
    <xf numFmtId="0" fontId="47" fillId="0" borderId="12" xfId="0" applyFont="1" applyBorder="1" applyAlignment="1">
      <alignment horizontal="center"/>
    </xf>
    <xf numFmtId="0" fontId="47" fillId="9" borderId="12" xfId="0" applyFont="1" applyFill="1" applyBorder="1"/>
    <xf numFmtId="0" fontId="47" fillId="9" borderId="13" xfId="0" applyFont="1" applyFill="1" applyBorder="1" applyAlignment="1">
      <alignment horizontal="center"/>
    </xf>
    <xf numFmtId="0" fontId="47" fillId="0" borderId="16" xfId="0" applyFont="1" applyBorder="1" applyAlignment="1">
      <alignment horizontal="center"/>
    </xf>
    <xf numFmtId="37" fontId="47" fillId="0" borderId="14" xfId="0" applyNumberFormat="1" applyFont="1" applyBorder="1" applyAlignment="1">
      <alignment horizontal="centerContinuous"/>
    </xf>
    <xf numFmtId="37" fontId="47" fillId="0" borderId="17" xfId="0" applyNumberFormat="1" applyFont="1" applyBorder="1" applyAlignment="1">
      <alignment horizontal="centerContinuous"/>
    </xf>
    <xf numFmtId="0" fontId="47" fillId="9" borderId="17" xfId="0" applyFont="1" applyFill="1" applyBorder="1" applyAlignment="1">
      <alignment horizontal="center"/>
    </xf>
    <xf numFmtId="0" fontId="47" fillId="9" borderId="0" xfId="0" applyFont="1" applyFill="1" applyAlignment="1">
      <alignment horizontal="center"/>
    </xf>
    <xf numFmtId="0" fontId="52" fillId="0" borderId="12" xfId="0" applyFont="1" applyBorder="1"/>
    <xf numFmtId="0" fontId="52" fillId="0" borderId="0" xfId="0" applyFont="1"/>
    <xf numFmtId="0" fontId="52" fillId="0" borderId="13" xfId="0" applyFont="1" applyBorder="1"/>
    <xf numFmtId="0" fontId="53" fillId="0" borderId="0" xfId="0" applyFont="1"/>
    <xf numFmtId="0" fontId="6" fillId="0" borderId="18" xfId="0" applyFont="1" applyBorder="1" applyAlignment="1">
      <alignment horizontal="center"/>
    </xf>
    <xf numFmtId="0" fontId="6" fillId="0" borderId="33" xfId="0" applyFont="1" applyBorder="1" applyAlignment="1">
      <alignment horizontal="center"/>
    </xf>
    <xf numFmtId="0" fontId="6" fillId="0" borderId="25" xfId="0" applyFont="1" applyBorder="1" applyAlignment="1">
      <alignment horizontal="center"/>
    </xf>
    <xf numFmtId="0" fontId="6" fillId="0" borderId="36" xfId="0" applyFont="1" applyBorder="1" applyAlignment="1">
      <alignment horizontal="centerContinuous"/>
    </xf>
    <xf numFmtId="0" fontId="6" fillId="0" borderId="27" xfId="0" applyFont="1" applyBorder="1" applyAlignment="1">
      <alignment horizontal="centerContinuous"/>
    </xf>
    <xf numFmtId="0" fontId="6" fillId="0" borderId="37" xfId="0" applyFont="1" applyBorder="1" applyAlignment="1">
      <alignment horizontal="center"/>
    </xf>
    <xf numFmtId="0" fontId="6" fillId="0" borderId="46" xfId="0" applyFont="1" applyBorder="1" applyAlignment="1">
      <alignment horizontal="center"/>
    </xf>
    <xf numFmtId="0" fontId="7" fillId="0" borderId="47" xfId="0" applyFont="1" applyBorder="1"/>
    <xf numFmtId="0" fontId="6" fillId="0" borderId="48" xfId="0" applyFont="1" applyBorder="1"/>
    <xf numFmtId="0" fontId="6" fillId="18" borderId="47" xfId="0" applyFont="1" applyFill="1" applyBorder="1"/>
    <xf numFmtId="0" fontId="6" fillId="18" borderId="49" xfId="0" applyFont="1" applyFill="1" applyBorder="1"/>
    <xf numFmtId="0" fontId="6" fillId="18" borderId="50" xfId="0" applyFont="1" applyFill="1" applyBorder="1"/>
    <xf numFmtId="0" fontId="6" fillId="18" borderId="51" xfId="0" applyFont="1" applyFill="1" applyBorder="1"/>
    <xf numFmtId="0" fontId="6" fillId="18" borderId="48" xfId="0" applyFont="1" applyFill="1" applyBorder="1"/>
    <xf numFmtId="0" fontId="6" fillId="0" borderId="52" xfId="0" applyFont="1" applyBorder="1" applyAlignment="1">
      <alignment horizontal="center"/>
    </xf>
    <xf numFmtId="0" fontId="6" fillId="0" borderId="47" xfId="0" applyFont="1" applyBorder="1"/>
    <xf numFmtId="5" fontId="6" fillId="0" borderId="45" xfId="0" applyNumberFormat="1" applyFont="1" applyBorder="1"/>
    <xf numFmtId="5" fontId="6" fillId="0" borderId="49" xfId="0" applyNumberFormat="1" applyFont="1" applyBorder="1"/>
    <xf numFmtId="5" fontId="6" fillId="0" borderId="46" xfId="0" applyNumberFormat="1" applyFont="1" applyBorder="1"/>
    <xf numFmtId="5" fontId="6" fillId="0" borderId="48" xfId="0" applyNumberFormat="1" applyFont="1" applyBorder="1"/>
    <xf numFmtId="37" fontId="6" fillId="0" borderId="45" xfId="0" applyNumberFormat="1" applyFont="1" applyBorder="1"/>
    <xf numFmtId="37" fontId="6" fillId="0" borderId="49" xfId="0" applyNumberFormat="1" applyFont="1" applyBorder="1"/>
    <xf numFmtId="37" fontId="6" fillId="0" borderId="46" xfId="0" applyNumberFormat="1" applyFont="1" applyBorder="1"/>
    <xf numFmtId="37" fontId="6" fillId="0" borderId="48" xfId="0" applyNumberFormat="1" applyFont="1" applyBorder="1"/>
    <xf numFmtId="37" fontId="6" fillId="18" borderId="34" xfId="0" applyNumberFormat="1" applyFont="1" applyFill="1" applyBorder="1"/>
    <xf numFmtId="37" fontId="6" fillId="18" borderId="22" xfId="0" applyNumberFormat="1" applyFont="1" applyFill="1" applyBorder="1"/>
    <xf numFmtId="37" fontId="6" fillId="18" borderId="18" xfId="0" applyNumberFormat="1" applyFont="1" applyFill="1" applyBorder="1"/>
    <xf numFmtId="37" fontId="6" fillId="18" borderId="19" xfId="0" applyNumberFormat="1" applyFont="1" applyFill="1" applyBorder="1"/>
    <xf numFmtId="37" fontId="6" fillId="18" borderId="20" xfId="0" applyNumberFormat="1" applyFont="1" applyFill="1" applyBorder="1"/>
    <xf numFmtId="37" fontId="6" fillId="0" borderId="52" xfId="0" applyNumberFormat="1" applyFont="1" applyBorder="1"/>
    <xf numFmtId="37" fontId="6" fillId="18" borderId="47" xfId="0" applyNumberFormat="1" applyFont="1" applyFill="1" applyBorder="1"/>
    <xf numFmtId="37" fontId="6" fillId="18" borderId="49" xfId="0" applyNumberFormat="1" applyFont="1" applyFill="1" applyBorder="1"/>
    <xf numFmtId="37" fontId="6" fillId="18" borderId="50" xfId="0" applyNumberFormat="1" applyFont="1" applyFill="1" applyBorder="1"/>
    <xf numFmtId="37" fontId="6" fillId="18" borderId="51" xfId="0" applyNumberFormat="1" applyFont="1" applyFill="1" applyBorder="1"/>
    <xf numFmtId="37" fontId="6" fillId="18" borderId="48" xfId="0" applyNumberFormat="1" applyFont="1" applyFill="1" applyBorder="1"/>
    <xf numFmtId="0" fontId="6" fillId="0" borderId="53" xfId="0" applyFont="1" applyBorder="1" applyAlignment="1">
      <alignment horizontal="center"/>
    </xf>
    <xf numFmtId="0" fontId="6" fillId="0" borderId="54" xfId="0" applyFont="1" applyBorder="1"/>
    <xf numFmtId="0" fontId="6" fillId="0" borderId="55" xfId="0" applyFont="1" applyBorder="1"/>
    <xf numFmtId="5" fontId="6" fillId="0" borderId="56" xfId="0" applyNumberFormat="1" applyFont="1" applyBorder="1"/>
    <xf numFmtId="5" fontId="6" fillId="0" borderId="57" xfId="0" applyNumberFormat="1" applyFont="1" applyBorder="1"/>
    <xf numFmtId="5" fontId="6" fillId="0" borderId="53" xfId="0" applyNumberFormat="1" applyFont="1" applyBorder="1"/>
    <xf numFmtId="0" fontId="6" fillId="0" borderId="57" xfId="0" applyFont="1" applyBorder="1" applyAlignment="1">
      <alignment horizontal="center"/>
    </xf>
    <xf numFmtId="5" fontId="6" fillId="0" borderId="0" xfId="0" applyNumberFormat="1" applyFont="1"/>
    <xf numFmtId="0" fontId="6" fillId="0" borderId="0" xfId="0" applyFont="1" applyAlignment="1">
      <alignment horizontal="right"/>
    </xf>
    <xf numFmtId="5" fontId="6" fillId="0" borderId="0" xfId="0" applyNumberFormat="1" applyFont="1" applyAlignment="1">
      <alignment horizontal="centerContinuous"/>
    </xf>
    <xf numFmtId="0" fontId="47" fillId="0" borderId="34" xfId="0" applyFont="1" applyBorder="1"/>
    <xf numFmtId="0" fontId="6" fillId="0" borderId="51" xfId="0" applyFont="1" applyBorder="1"/>
    <xf numFmtId="37" fontId="6" fillId="0" borderId="51" xfId="0" applyNumberFormat="1" applyFont="1" applyBorder="1"/>
    <xf numFmtId="37" fontId="6" fillId="0" borderId="47" xfId="0" applyNumberFormat="1" applyFont="1" applyBorder="1"/>
    <xf numFmtId="0" fontId="47" fillId="0" borderId="47" xfId="0" applyFont="1" applyBorder="1"/>
    <xf numFmtId="5" fontId="6" fillId="0" borderId="47" xfId="0" applyNumberFormat="1" applyFont="1" applyBorder="1"/>
    <xf numFmtId="0" fontId="6" fillId="0" borderId="9" xfId="0" applyFont="1" applyBorder="1" applyAlignment="1">
      <alignment horizontal="center"/>
    </xf>
    <xf numFmtId="37" fontId="6" fillId="0" borderId="10" xfId="0" applyNumberFormat="1" applyFont="1" applyBorder="1"/>
    <xf numFmtId="37" fontId="6" fillId="0" borderId="11" xfId="0" applyNumberFormat="1" applyFont="1" applyBorder="1"/>
    <xf numFmtId="37" fontId="6" fillId="0" borderId="9" xfId="0" applyNumberFormat="1" applyFont="1" applyBorder="1"/>
    <xf numFmtId="0" fontId="6" fillId="0" borderId="11" xfId="0" applyFont="1" applyBorder="1" applyAlignment="1">
      <alignment horizontal="center"/>
    </xf>
    <xf numFmtId="0" fontId="40" fillId="9" borderId="12" xfId="0" applyFont="1" applyFill="1" applyBorder="1" applyAlignment="1">
      <alignment horizontal="centerContinuous"/>
    </xf>
    <xf numFmtId="37" fontId="6" fillId="0" borderId="0" xfId="0" applyNumberFormat="1" applyFont="1" applyAlignment="1">
      <alignment horizontal="centerContinuous"/>
    </xf>
    <xf numFmtId="37" fontId="6" fillId="0" borderId="13" xfId="0" applyNumberFormat="1" applyFont="1" applyBorder="1" applyAlignment="1">
      <alignment horizontal="centerContinuous"/>
    </xf>
    <xf numFmtId="0" fontId="54" fillId="9" borderId="25" xfId="0" applyFont="1" applyFill="1" applyBorder="1" applyAlignment="1">
      <alignment horizontal="centerContinuous"/>
    </xf>
    <xf numFmtId="37" fontId="6" fillId="0" borderId="26" xfId="0" applyNumberFormat="1" applyFont="1" applyBorder="1"/>
    <xf numFmtId="37" fontId="6" fillId="0" borderId="29" xfId="0" applyNumberFormat="1" applyFont="1" applyBorder="1"/>
    <xf numFmtId="0" fontId="6" fillId="0" borderId="29" xfId="0" applyFont="1" applyBorder="1" applyAlignment="1">
      <alignment horizontal="center"/>
    </xf>
    <xf numFmtId="0" fontId="54" fillId="9" borderId="12" xfId="0" applyFont="1" applyFill="1" applyBorder="1" applyAlignment="1">
      <alignment horizontal="centerContinuous"/>
    </xf>
    <xf numFmtId="37" fontId="6" fillId="0" borderId="0" xfId="0" applyNumberFormat="1" applyFont="1"/>
    <xf numFmtId="37" fontId="6" fillId="0" borderId="13" xfId="0" applyNumberFormat="1" applyFont="1" applyBorder="1"/>
    <xf numFmtId="0" fontId="6" fillId="0" borderId="13" xfId="0" applyFont="1" applyBorder="1" applyAlignment="1">
      <alignment horizontal="center"/>
    </xf>
    <xf numFmtId="0" fontId="54" fillId="0" borderId="12" xfId="0" applyFont="1" applyBorder="1" applyAlignment="1">
      <alignment horizontal="centerContinuous"/>
    </xf>
    <xf numFmtId="0" fontId="54" fillId="0" borderId="12" xfId="0" applyFont="1" applyBorder="1" applyAlignment="1">
      <alignment horizontal="center"/>
    </xf>
    <xf numFmtId="0" fontId="54" fillId="0" borderId="12" xfId="0" applyFont="1" applyBorder="1"/>
    <xf numFmtId="0" fontId="47" fillId="9" borderId="0" xfId="0" applyFont="1" applyFill="1"/>
    <xf numFmtId="0" fontId="54" fillId="0" borderId="25" xfId="0" applyFont="1" applyBorder="1"/>
    <xf numFmtId="0" fontId="47" fillId="9" borderId="26" xfId="0" applyFont="1" applyFill="1" applyBorder="1"/>
    <xf numFmtId="5" fontId="6" fillId="0" borderId="13" xfId="0" applyNumberFormat="1" applyFont="1" applyBorder="1"/>
    <xf numFmtId="5" fontId="6" fillId="0" borderId="12" xfId="0" applyNumberFormat="1" applyFont="1" applyBorder="1"/>
    <xf numFmtId="0" fontId="6" fillId="0" borderId="16" xfId="0" applyFont="1" applyBorder="1" applyAlignment="1">
      <alignment horizontal="center"/>
    </xf>
    <xf numFmtId="5" fontId="6" fillId="0" borderId="17" xfId="0" applyNumberFormat="1" applyFont="1" applyBorder="1"/>
    <xf numFmtId="0" fontId="6" fillId="0" borderId="17" xfId="0" applyFont="1" applyBorder="1" applyAlignment="1">
      <alignment horizontal="center"/>
    </xf>
    <xf numFmtId="0" fontId="6" fillId="0" borderId="23" xfId="0" applyFont="1" applyBorder="1" applyAlignment="1">
      <alignment horizontal="center"/>
    </xf>
    <xf numFmtId="5" fontId="6" fillId="0" borderId="33" xfId="0" applyNumberFormat="1" applyFont="1" applyBorder="1"/>
    <xf numFmtId="37" fontId="6" fillId="0" borderId="33" xfId="0" applyNumberFormat="1" applyFont="1" applyBorder="1"/>
    <xf numFmtId="0" fontId="6" fillId="0" borderId="40" xfId="0" applyFont="1" applyBorder="1" applyAlignment="1">
      <alignment horizontal="center"/>
    </xf>
    <xf numFmtId="0" fontId="47" fillId="9" borderId="14" xfId="0" applyFont="1" applyFill="1" applyBorder="1"/>
    <xf numFmtId="37" fontId="6" fillId="0" borderId="37" xfId="0" applyNumberFormat="1" applyFont="1" applyBorder="1"/>
    <xf numFmtId="5" fontId="6" fillId="0" borderId="41" xfId="0" applyNumberFormat="1" applyFont="1" applyBorder="1"/>
    <xf numFmtId="0" fontId="0" fillId="0" borderId="11" xfId="0" applyBorder="1" applyAlignment="1">
      <alignment horizontal="center"/>
    </xf>
    <xf numFmtId="0" fontId="52" fillId="0" borderId="25" xfId="0" applyFont="1" applyBorder="1"/>
    <xf numFmtId="0" fontId="52" fillId="0" borderId="26" xfId="0" applyFont="1" applyBorder="1"/>
    <xf numFmtId="0" fontId="52" fillId="0" borderId="29" xfId="0" applyFont="1" applyBorder="1"/>
    <xf numFmtId="0" fontId="47" fillId="9" borderId="50" xfId="0" applyFont="1" applyFill="1" applyBorder="1" applyAlignment="1">
      <alignment horizontal="centerContinuous"/>
    </xf>
    <xf numFmtId="0" fontId="47" fillId="9" borderId="51" xfId="0" applyFont="1" applyFill="1" applyBorder="1" applyAlignment="1">
      <alignment horizontal="centerContinuous"/>
    </xf>
    <xf numFmtId="0" fontId="0" fillId="0" borderId="51" xfId="0" applyBorder="1" applyAlignment="1">
      <alignment horizontal="centerContinuous"/>
    </xf>
    <xf numFmtId="0" fontId="0" fillId="0" borderId="49" xfId="0" applyBorder="1" applyAlignment="1">
      <alignment horizontal="centerContinuous"/>
    </xf>
    <xf numFmtId="0" fontId="7" fillId="0" borderId="50" xfId="0" applyFont="1" applyBorder="1" applyAlignment="1">
      <alignment horizontal="centerContinuous"/>
    </xf>
    <xf numFmtId="0" fontId="0" fillId="0" borderId="18" xfId="0" applyBorder="1"/>
    <xf numFmtId="0" fontId="0" fillId="0" borderId="45" xfId="0" applyBorder="1"/>
    <xf numFmtId="5" fontId="20" fillId="0" borderId="45" xfId="0" applyNumberFormat="1" applyFont="1" applyBorder="1" applyProtection="1">
      <protection locked="0"/>
    </xf>
    <xf numFmtId="0" fontId="0" fillId="18" borderId="0" xfId="0" applyFill="1"/>
    <xf numFmtId="0" fontId="0" fillId="18" borderId="52" xfId="0" applyFill="1" applyBorder="1"/>
    <xf numFmtId="37" fontId="0" fillId="18" borderId="45" xfId="0" applyNumberFormat="1" applyFill="1" applyBorder="1"/>
    <xf numFmtId="10" fontId="20" fillId="0" borderId="52" xfId="0" applyNumberFormat="1" applyFont="1" applyBorder="1" applyProtection="1">
      <protection locked="0"/>
    </xf>
    <xf numFmtId="10" fontId="0" fillId="0" borderId="0" xfId="0" applyNumberFormat="1"/>
    <xf numFmtId="37" fontId="20" fillId="0" borderId="45" xfId="0" applyNumberFormat="1" applyFont="1" applyBorder="1" applyProtection="1">
      <protection locked="0"/>
    </xf>
    <xf numFmtId="37" fontId="0" fillId="0" borderId="45" xfId="0" applyNumberFormat="1" applyBorder="1"/>
    <xf numFmtId="0" fontId="0" fillId="18" borderId="13" xfId="0" applyFill="1" applyBorder="1"/>
    <xf numFmtId="0" fontId="0" fillId="0" borderId="21" xfId="0" applyBorder="1"/>
    <xf numFmtId="37" fontId="0" fillId="0" borderId="21" xfId="0" applyNumberFormat="1" applyBorder="1"/>
    <xf numFmtId="0" fontId="0" fillId="0" borderId="28" xfId="0" applyBorder="1"/>
    <xf numFmtId="37" fontId="0" fillId="0" borderId="28" xfId="0" applyNumberFormat="1" applyBorder="1"/>
    <xf numFmtId="10" fontId="0" fillId="0" borderId="14" xfId="0" applyNumberFormat="1" applyBorder="1"/>
    <xf numFmtId="0" fontId="55" fillId="0" borderId="0" xfId="0" applyFont="1"/>
    <xf numFmtId="0" fontId="0" fillId="0" borderId="12" xfId="0" applyBorder="1" applyAlignment="1">
      <alignment horizontal="centerContinuous"/>
    </xf>
    <xf numFmtId="0" fontId="29" fillId="0" borderId="10" xfId="0" applyFont="1" applyBorder="1" applyProtection="1">
      <protection locked="0"/>
    </xf>
    <xf numFmtId="0" fontId="56" fillId="0" borderId="10" xfId="0" applyFont="1" applyBorder="1" applyProtection="1">
      <protection locked="0"/>
    </xf>
    <xf numFmtId="0" fontId="6" fillId="0" borderId="50" xfId="0" applyFont="1" applyBorder="1"/>
    <xf numFmtId="0" fontId="6" fillId="0" borderId="51" xfId="0" applyFont="1" applyBorder="1" applyAlignment="1">
      <alignment horizontal="centerContinuous"/>
    </xf>
    <xf numFmtId="0" fontId="6" fillId="0" borderId="49" xfId="0" applyFont="1" applyBorder="1" applyAlignment="1">
      <alignment horizontal="centerContinuous"/>
    </xf>
    <xf numFmtId="0" fontId="0" fillId="0" borderId="38" xfId="0" applyBorder="1" applyAlignment="1">
      <alignment horizontal="center"/>
    </xf>
    <xf numFmtId="0" fontId="6" fillId="0" borderId="44" xfId="0" applyFont="1" applyBorder="1" applyAlignment="1">
      <alignment horizontal="center"/>
    </xf>
    <xf numFmtId="37" fontId="6" fillId="0" borderId="34" xfId="0" applyNumberFormat="1" applyFont="1" applyBorder="1"/>
    <xf numFmtId="37" fontId="6" fillId="0" borderId="36" xfId="0" applyNumberFormat="1" applyFont="1" applyBorder="1"/>
    <xf numFmtId="5" fontId="6" fillId="0" borderId="34" xfId="0" applyNumberFormat="1" applyFont="1" applyBorder="1"/>
    <xf numFmtId="37" fontId="6" fillId="0" borderId="32" xfId="0" applyNumberFormat="1" applyFont="1" applyBorder="1"/>
    <xf numFmtId="0" fontId="6" fillId="0" borderId="58" xfId="0" applyFont="1" applyBorder="1"/>
    <xf numFmtId="5" fontId="6" fillId="0" borderId="54" xfId="0" applyNumberFormat="1" applyFont="1" applyBorder="1"/>
    <xf numFmtId="5" fontId="6" fillId="0" borderId="43" xfId="0" applyNumberFormat="1" applyFont="1" applyBorder="1"/>
    <xf numFmtId="0" fontId="6" fillId="0" borderId="12" xfId="0" applyFont="1" applyBorder="1" applyAlignment="1">
      <alignment horizontal="centerContinuous"/>
    </xf>
    <xf numFmtId="0" fontId="29" fillId="0" borderId="32" xfId="0" applyFont="1" applyBorder="1" applyProtection="1">
      <protection locked="0"/>
    </xf>
    <xf numFmtId="5" fontId="6" fillId="0" borderId="52" xfId="0" applyNumberFormat="1" applyFont="1" applyBorder="1"/>
    <xf numFmtId="0" fontId="6" fillId="0" borderId="16" xfId="0" applyFont="1" applyBorder="1" applyAlignment="1">
      <alignment horizontal="centerContinuous"/>
    </xf>
    <xf numFmtId="5" fontId="6" fillId="0" borderId="32" xfId="0" applyNumberFormat="1" applyFont="1" applyBorder="1"/>
    <xf numFmtId="0" fontId="7" fillId="0" borderId="9" xfId="0" applyFont="1" applyBorder="1" applyAlignment="1">
      <alignment horizontal="centerContinuous"/>
    </xf>
    <xf numFmtId="0" fontId="7" fillId="0" borderId="10" xfId="0" applyFont="1" applyBorder="1" applyAlignment="1">
      <alignment horizontal="centerContinuous"/>
    </xf>
    <xf numFmtId="0" fontId="6" fillId="0" borderId="11" xfId="0" applyFont="1" applyBorder="1" applyAlignment="1">
      <alignment horizontal="centerContinuous"/>
    </xf>
    <xf numFmtId="5" fontId="6" fillId="0" borderId="35" xfId="0" applyNumberFormat="1" applyFont="1" applyBorder="1"/>
    <xf numFmtId="37" fontId="6" fillId="0" borderId="38" xfId="0" applyNumberFormat="1" applyFont="1" applyBorder="1" applyAlignment="1">
      <alignment horizontal="center"/>
    </xf>
    <xf numFmtId="37" fontId="6" fillId="0" borderId="40" xfId="0" applyNumberFormat="1" applyFont="1" applyBorder="1" applyAlignment="1">
      <alignment horizontal="center"/>
    </xf>
    <xf numFmtId="0" fontId="6" fillId="0" borderId="25" xfId="0" applyFont="1" applyBorder="1" applyAlignment="1">
      <alignment horizontal="centerContinuous"/>
    </xf>
    <xf numFmtId="0" fontId="6" fillId="0" borderId="29" xfId="0" applyFont="1" applyBorder="1" applyAlignment="1">
      <alignment horizontal="centerContinuous"/>
    </xf>
    <xf numFmtId="0" fontId="6" fillId="0" borderId="44" xfId="0" applyFont="1" applyBorder="1"/>
    <xf numFmtId="5" fontId="29" fillId="0" borderId="59" xfId="0" applyNumberFormat="1" applyFont="1" applyBorder="1" applyProtection="1">
      <protection locked="0"/>
    </xf>
    <xf numFmtId="5" fontId="29" fillId="0" borderId="60" xfId="0" applyNumberFormat="1" applyFont="1" applyBorder="1" applyProtection="1">
      <protection locked="0"/>
    </xf>
    <xf numFmtId="0" fontId="6" fillId="18" borderId="24" xfId="0" applyFont="1" applyFill="1" applyBorder="1"/>
    <xf numFmtId="0" fontId="6" fillId="18" borderId="13" xfId="0" applyFont="1" applyFill="1" applyBorder="1"/>
    <xf numFmtId="37" fontId="6" fillId="0" borderId="21" xfId="0" applyNumberFormat="1" applyFont="1" applyBorder="1"/>
    <xf numFmtId="37" fontId="6" fillId="0" borderId="22" xfId="0" applyNumberFormat="1" applyFont="1" applyBorder="1"/>
    <xf numFmtId="37" fontId="6" fillId="0" borderId="24" xfId="0" applyNumberFormat="1" applyFont="1" applyBorder="1"/>
    <xf numFmtId="5" fontId="6" fillId="0" borderId="61" xfId="0" applyNumberFormat="1" applyFont="1" applyBorder="1"/>
    <xf numFmtId="5" fontId="6" fillId="0" borderId="62" xfId="0" applyNumberFormat="1" applyFont="1" applyBorder="1"/>
    <xf numFmtId="5" fontId="29" fillId="0" borderId="24" xfId="0" applyNumberFormat="1" applyFont="1" applyBorder="1" applyProtection="1">
      <protection locked="0"/>
    </xf>
    <xf numFmtId="5" fontId="6" fillId="0" borderId="63" xfId="0" applyNumberFormat="1" applyFont="1" applyBorder="1"/>
    <xf numFmtId="0" fontId="57" fillId="0" borderId="9" xfId="0" applyFont="1" applyBorder="1"/>
    <xf numFmtId="0" fontId="57" fillId="0" borderId="10" xfId="0" applyFont="1" applyBorder="1"/>
    <xf numFmtId="0" fontId="57" fillId="0" borderId="11" xfId="0" applyFont="1" applyBorder="1"/>
    <xf numFmtId="0" fontId="30" fillId="0" borderId="0" xfId="0" applyFont="1" applyAlignment="1">
      <alignment horizontal="centerContinuous"/>
    </xf>
    <xf numFmtId="0" fontId="30" fillId="0" borderId="13" xfId="0" applyFont="1" applyBorder="1" applyAlignment="1">
      <alignment horizontal="centerContinuous"/>
    </xf>
    <xf numFmtId="0" fontId="30" fillId="0" borderId="12" xfId="0" applyFont="1" applyBorder="1"/>
    <xf numFmtId="0" fontId="58" fillId="0" borderId="0" xfId="0" applyFont="1"/>
    <xf numFmtId="0" fontId="0" fillId="0" borderId="44" xfId="0" applyBorder="1"/>
    <xf numFmtId="0" fontId="0" fillId="0" borderId="34" xfId="0" applyBorder="1"/>
    <xf numFmtId="0" fontId="0" fillId="0" borderId="32" xfId="0" applyBorder="1"/>
    <xf numFmtId="0" fontId="0" fillId="0" borderId="33" xfId="0" applyBorder="1"/>
    <xf numFmtId="0" fontId="0" fillId="0" borderId="39" xfId="0" applyBorder="1"/>
    <xf numFmtId="0" fontId="0" fillId="0" borderId="46" xfId="0" applyBorder="1"/>
    <xf numFmtId="0" fontId="20" fillId="0" borderId="45" xfId="0" applyFont="1" applyBorder="1" applyProtection="1">
      <protection locked="0"/>
    </xf>
    <xf numFmtId="0" fontId="20" fillId="0" borderId="52" xfId="0" applyFont="1" applyBorder="1" applyProtection="1">
      <protection locked="0"/>
    </xf>
    <xf numFmtId="37" fontId="20" fillId="20" borderId="45" xfId="0" applyNumberFormat="1" applyFont="1" applyFill="1" applyBorder="1" applyProtection="1">
      <protection locked="0"/>
    </xf>
    <xf numFmtId="0" fontId="20" fillId="20" borderId="45" xfId="0" applyFont="1" applyFill="1" applyBorder="1" applyProtection="1">
      <protection locked="0"/>
    </xf>
    <xf numFmtId="0" fontId="20" fillId="20" borderId="52" xfId="0" applyFont="1" applyFill="1" applyBorder="1" applyProtection="1">
      <protection locked="0"/>
    </xf>
    <xf numFmtId="5" fontId="0" fillId="0" borderId="45" xfId="0" applyNumberFormat="1" applyBorder="1"/>
    <xf numFmtId="37" fontId="20" fillId="0" borderId="21" xfId="0" applyNumberFormat="1" applyFont="1" applyBorder="1" applyProtection="1">
      <protection locked="0"/>
    </xf>
    <xf numFmtId="0" fontId="20" fillId="0" borderId="21" xfId="0" applyFont="1" applyBorder="1" applyProtection="1">
      <protection locked="0"/>
    </xf>
    <xf numFmtId="0" fontId="20" fillId="0" borderId="35" xfId="0" applyFont="1" applyBorder="1" applyProtection="1">
      <protection locked="0"/>
    </xf>
    <xf numFmtId="0" fontId="0" fillId="0" borderId="53" xfId="0" applyBorder="1"/>
    <xf numFmtId="0" fontId="0" fillId="0" borderId="56" xfId="0" applyBorder="1"/>
    <xf numFmtId="5" fontId="0" fillId="0" borderId="56" xfId="0" applyNumberFormat="1" applyBorder="1"/>
    <xf numFmtId="0" fontId="20" fillId="0" borderId="57" xfId="0" applyFont="1" applyBorder="1" applyProtection="1">
      <protection locked="0"/>
    </xf>
    <xf numFmtId="0" fontId="47" fillId="9" borderId="0" xfId="0" applyFont="1" applyFill="1" applyAlignment="1">
      <alignment horizontal="centerContinuous"/>
    </xf>
    <xf numFmtId="0" fontId="7" fillId="0" borderId="25" xfId="0" applyFont="1" applyBorder="1" applyAlignment="1">
      <alignment horizontal="centerContinuous"/>
    </xf>
    <xf numFmtId="0" fontId="47" fillId="9" borderId="26" xfId="0" applyFont="1" applyFill="1" applyBorder="1" applyAlignment="1">
      <alignment horizontal="centerContinuous"/>
    </xf>
    <xf numFmtId="0" fontId="47" fillId="9" borderId="44" xfId="0" applyFont="1" applyFill="1" applyBorder="1"/>
    <xf numFmtId="0" fontId="47" fillId="9" borderId="19" xfId="0" applyFont="1" applyFill="1" applyBorder="1"/>
    <xf numFmtId="0" fontId="47" fillId="9" borderId="39" xfId="0" applyFont="1" applyFill="1" applyBorder="1"/>
    <xf numFmtId="0" fontId="47" fillId="9" borderId="39" xfId="0" applyFont="1" applyFill="1" applyBorder="1" applyAlignment="1">
      <alignment horizontal="center"/>
    </xf>
    <xf numFmtId="0" fontId="47" fillId="9" borderId="51" xfId="0" applyFont="1" applyFill="1" applyBorder="1"/>
    <xf numFmtId="5" fontId="47" fillId="9" borderId="26" xfId="0" applyNumberFormat="1" applyFont="1" applyFill="1" applyBorder="1"/>
    <xf numFmtId="5" fontId="47" fillId="9" borderId="37" xfId="0" applyNumberFormat="1" applyFont="1" applyFill="1" applyBorder="1"/>
    <xf numFmtId="37" fontId="47" fillId="9" borderId="26" xfId="0" applyNumberFormat="1" applyFont="1" applyFill="1" applyBorder="1"/>
    <xf numFmtId="37" fontId="47" fillId="9" borderId="37" xfId="0" applyNumberFormat="1" applyFont="1" applyFill="1" applyBorder="1"/>
    <xf numFmtId="0" fontId="47" fillId="9" borderId="40" xfId="0" applyFont="1" applyFill="1" applyBorder="1" applyAlignment="1">
      <alignment horizontal="center"/>
    </xf>
    <xf numFmtId="5" fontId="47" fillId="9" borderId="14" xfId="0" applyNumberFormat="1" applyFont="1" applyFill="1" applyBorder="1"/>
    <xf numFmtId="5" fontId="47" fillId="9" borderId="57" xfId="0" applyNumberFormat="1" applyFont="1" applyFill="1" applyBorder="1"/>
    <xf numFmtId="5" fontId="6" fillId="0" borderId="24" xfId="0" applyNumberFormat="1" applyFont="1" applyBorder="1"/>
    <xf numFmtId="37" fontId="6" fillId="0" borderId="28" xfId="0" applyNumberFormat="1" applyFont="1" applyBorder="1"/>
    <xf numFmtId="0" fontId="6" fillId="0" borderId="43" xfId="0" applyFont="1" applyBorder="1"/>
    <xf numFmtId="0" fontId="6" fillId="18" borderId="31" xfId="0" applyFont="1" applyFill="1" applyBorder="1"/>
    <xf numFmtId="5" fontId="6" fillId="0" borderId="30" xfId="0" applyNumberFormat="1" applyFont="1" applyBorder="1"/>
    <xf numFmtId="0" fontId="6" fillId="0" borderId="43" xfId="0" applyFont="1" applyBorder="1" applyAlignment="1">
      <alignment horizontal="left"/>
    </xf>
    <xf numFmtId="0" fontId="6" fillId="18" borderId="43" xfId="0" applyFont="1" applyFill="1" applyBorder="1"/>
    <xf numFmtId="5" fontId="6" fillId="0" borderId="31" xfId="0" applyNumberFormat="1" applyFont="1" applyBorder="1"/>
    <xf numFmtId="0" fontId="7" fillId="0" borderId="12" xfId="0" applyFont="1" applyBorder="1"/>
    <xf numFmtId="0" fontId="0" fillId="0" borderId="51" xfId="0" applyBorder="1"/>
    <xf numFmtId="0" fontId="6" fillId="0" borderId="44" xfId="0" applyFont="1" applyBorder="1" applyAlignment="1">
      <alignment horizontal="centerContinuous"/>
    </xf>
    <xf numFmtId="0" fontId="6" fillId="0" borderId="46" xfId="0" applyFont="1" applyBorder="1" applyAlignment="1">
      <alignment horizontal="centerContinuous"/>
    </xf>
    <xf numFmtId="5" fontId="6" fillId="0" borderId="13" xfId="0" applyNumberFormat="1" applyFont="1" applyBorder="1" applyAlignment="1">
      <alignment horizontal="centerContinuous"/>
    </xf>
    <xf numFmtId="0" fontId="0" fillId="0" borderId="39" xfId="0" applyBorder="1" applyAlignment="1">
      <alignment horizontal="center"/>
    </xf>
    <xf numFmtId="37" fontId="6" fillId="0" borderId="31" xfId="0" applyNumberFormat="1" applyFont="1" applyBorder="1"/>
    <xf numFmtId="37" fontId="6" fillId="0" borderId="17" xfId="0" applyNumberFormat="1" applyFont="1" applyBorder="1"/>
    <xf numFmtId="0" fontId="9" fillId="0" borderId="32" xfId="0" applyFont="1" applyBorder="1"/>
    <xf numFmtId="37" fontId="6" fillId="0" borderId="33" xfId="0" applyNumberFormat="1" applyFont="1" applyBorder="1" applyAlignment="1">
      <alignment horizontal="center"/>
    </xf>
    <xf numFmtId="7" fontId="0" fillId="0" borderId="0" xfId="0" applyNumberFormat="1"/>
    <xf numFmtId="7" fontId="6" fillId="0" borderId="24" xfId="0" applyNumberFormat="1" applyFont="1" applyBorder="1"/>
    <xf numFmtId="7" fontId="6" fillId="0" borderId="13" xfId="0" applyNumberFormat="1" applyFont="1" applyBorder="1"/>
    <xf numFmtId="39" fontId="6" fillId="0" borderId="24" xfId="0" applyNumberFormat="1" applyFont="1" applyBorder="1"/>
    <xf numFmtId="39" fontId="6" fillId="0" borderId="13" xfId="0" applyNumberFormat="1" applyFont="1" applyBorder="1"/>
    <xf numFmtId="37" fontId="6" fillId="0" borderId="23" xfId="0" applyNumberFormat="1" applyFont="1" applyBorder="1"/>
    <xf numFmtId="37" fontId="6" fillId="0" borderId="50" xfId="0" applyNumberFormat="1" applyFont="1" applyBorder="1"/>
    <xf numFmtId="0" fontId="6" fillId="0" borderId="41" xfId="0" applyFont="1" applyBorder="1" applyAlignment="1">
      <alignment horizontal="center"/>
    </xf>
    <xf numFmtId="0" fontId="0" fillId="0" borderId="44" xfId="0" applyBorder="1" applyAlignment="1">
      <alignment horizontal="center"/>
    </xf>
    <xf numFmtId="0" fontId="10" fillId="0" borderId="0" xfId="0" applyFont="1"/>
    <xf numFmtId="37" fontId="0" fillId="0" borderId="24" xfId="0" applyNumberFormat="1" applyBorder="1"/>
    <xf numFmtId="0" fontId="0" fillId="0" borderId="40" xfId="0" applyBorder="1" applyAlignment="1">
      <alignment horizontal="center"/>
    </xf>
    <xf numFmtId="0" fontId="0" fillId="0" borderId="14" xfId="0" applyBorder="1" applyAlignment="1">
      <alignment horizontal="center"/>
    </xf>
    <xf numFmtId="5" fontId="0" fillId="0" borderId="57" xfId="0" applyNumberFormat="1" applyBorder="1"/>
    <xf numFmtId="0" fontId="0" fillId="0" borderId="34" xfId="0" applyBorder="1" applyAlignment="1">
      <alignment horizontal="centerContinuous"/>
    </xf>
    <xf numFmtId="0" fontId="0" fillId="0" borderId="36" xfId="0" applyBorder="1" applyAlignment="1">
      <alignment horizontal="centerContinuous"/>
    </xf>
    <xf numFmtId="37" fontId="0" fillId="0" borderId="33" xfId="0" applyNumberFormat="1" applyBorder="1"/>
    <xf numFmtId="5" fontId="0" fillId="0" borderId="33" xfId="0" applyNumberFormat="1" applyBorder="1"/>
    <xf numFmtId="5" fontId="0" fillId="0" borderId="52" xfId="0" applyNumberFormat="1" applyBorder="1"/>
    <xf numFmtId="0" fontId="0" fillId="0" borderId="58" xfId="0" applyBorder="1"/>
    <xf numFmtId="5" fontId="0" fillId="0" borderId="58" xfId="0" applyNumberFormat="1" applyBorder="1"/>
    <xf numFmtId="0" fontId="6" fillId="0" borderId="35" xfId="0" applyFont="1" applyBorder="1" applyAlignment="1">
      <alignment horizontal="center"/>
    </xf>
    <xf numFmtId="0" fontId="6" fillId="0" borderId="58" xfId="0" applyFont="1" applyBorder="1" applyAlignment="1">
      <alignment horizontal="center"/>
    </xf>
    <xf numFmtId="0" fontId="0" fillId="0" borderId="12" xfId="0" applyBorder="1" applyAlignment="1">
      <alignment horizontal="center"/>
    </xf>
    <xf numFmtId="0" fontId="0" fillId="0" borderId="25" xfId="0" applyBorder="1" applyAlignment="1">
      <alignment horizontal="center"/>
    </xf>
    <xf numFmtId="0" fontId="0" fillId="0" borderId="36" xfId="0" applyBorder="1"/>
    <xf numFmtId="0" fontId="0" fillId="18" borderId="45" xfId="0" applyFill="1" applyBorder="1"/>
    <xf numFmtId="0" fontId="0" fillId="18" borderId="51" xfId="0" applyFill="1" applyBorder="1"/>
    <xf numFmtId="0" fontId="0" fillId="0" borderId="0" xfId="0" applyAlignment="1">
      <alignment horizontal="center"/>
    </xf>
    <xf numFmtId="5" fontId="20" fillId="0" borderId="32" xfId="0" applyNumberFormat="1" applyFont="1" applyBorder="1" applyProtection="1">
      <protection locked="0"/>
    </xf>
    <xf numFmtId="37" fontId="0" fillId="0" borderId="52" xfId="0" applyNumberFormat="1" applyBorder="1"/>
    <xf numFmtId="0" fontId="0" fillId="0" borderId="16" xfId="0" applyBorder="1" applyAlignment="1">
      <alignment horizontal="center"/>
    </xf>
    <xf numFmtId="0" fontId="7" fillId="0" borderId="13" xfId="0" applyFont="1" applyBorder="1"/>
    <xf numFmtId="0" fontId="0" fillId="0" borderId="20" xfId="0" applyBorder="1"/>
    <xf numFmtId="0" fontId="6" fillId="0" borderId="20" xfId="0" applyFont="1" applyBorder="1" applyAlignment="1">
      <alignment horizontal="centerContinuous"/>
    </xf>
    <xf numFmtId="0" fontId="9" fillId="0" borderId="19" xfId="0" applyFont="1" applyBorder="1"/>
    <xf numFmtId="5" fontId="6" fillId="0" borderId="23" xfId="0" applyNumberFormat="1" applyFont="1" applyBorder="1"/>
    <xf numFmtId="0" fontId="6" fillId="0" borderId="40" xfId="0" applyFont="1" applyBorder="1"/>
    <xf numFmtId="0" fontId="6" fillId="18" borderId="64" xfId="0" applyFont="1" applyFill="1" applyBorder="1"/>
    <xf numFmtId="0" fontId="6" fillId="18" borderId="58" xfId="0" applyFont="1" applyFill="1" applyBorder="1"/>
    <xf numFmtId="5" fontId="6" fillId="18" borderId="58" xfId="0" applyNumberFormat="1" applyFont="1" applyFill="1" applyBorder="1"/>
    <xf numFmtId="0" fontId="6" fillId="0" borderId="9" xfId="0" applyFont="1" applyBorder="1" applyAlignment="1">
      <alignment horizontal="centerContinuous"/>
    </xf>
    <xf numFmtId="0" fontId="6" fillId="0" borderId="10" xfId="0" applyFont="1" applyBorder="1" applyAlignment="1">
      <alignment horizontal="centerContinuous"/>
    </xf>
    <xf numFmtId="0" fontId="46" fillId="0" borderId="13" xfId="0" applyFont="1" applyBorder="1"/>
    <xf numFmtId="0" fontId="6" fillId="0" borderId="65" xfId="0" applyFont="1" applyBorder="1" applyAlignment="1">
      <alignment horizontal="center"/>
    </xf>
    <xf numFmtId="0" fontId="6" fillId="0" borderId="66" xfId="0" applyFont="1" applyBorder="1" applyAlignment="1">
      <alignment horizontal="center"/>
    </xf>
    <xf numFmtId="0" fontId="6" fillId="0" borderId="47" xfId="0" applyFont="1" applyBorder="1" applyAlignment="1">
      <alignment horizontal="centerContinuous"/>
    </xf>
    <xf numFmtId="0" fontId="6" fillId="0" borderId="50" xfId="0" applyFont="1" applyBorder="1" applyAlignment="1">
      <alignment horizontal="centerContinuous"/>
    </xf>
    <xf numFmtId="0" fontId="6" fillId="0" borderId="32" xfId="0" applyFont="1" applyBorder="1" applyAlignment="1">
      <alignment horizontal="center"/>
    </xf>
    <xf numFmtId="0" fontId="6" fillId="0" borderId="36" xfId="0" applyFont="1" applyBorder="1" applyAlignment="1">
      <alignment horizontal="center"/>
    </xf>
    <xf numFmtId="37" fontId="0" fillId="0" borderId="32" xfId="0" applyNumberFormat="1" applyBorder="1"/>
    <xf numFmtId="0" fontId="0" fillId="20" borderId="32" xfId="0" applyFill="1" applyBorder="1"/>
    <xf numFmtId="5" fontId="6" fillId="0" borderId="64" xfId="0" applyNumberFormat="1" applyFont="1" applyBorder="1"/>
    <xf numFmtId="0" fontId="46" fillId="0" borderId="0" xfId="0" applyFont="1"/>
    <xf numFmtId="0" fontId="6" fillId="0" borderId="33" xfId="0" applyFont="1" applyBorder="1" applyAlignment="1">
      <alignment horizontal="centerContinuous"/>
    </xf>
    <xf numFmtId="5" fontId="6" fillId="9" borderId="32" xfId="0" applyNumberFormat="1" applyFont="1" applyFill="1" applyBorder="1"/>
    <xf numFmtId="0" fontId="6" fillId="9" borderId="32" xfId="0" applyFont="1" applyFill="1" applyBorder="1"/>
    <xf numFmtId="0" fontId="6" fillId="0" borderId="64" xfId="0" applyFont="1" applyBorder="1" applyAlignment="1">
      <alignment horizontal="center"/>
    </xf>
    <xf numFmtId="0" fontId="6" fillId="0" borderId="19" xfId="0" applyFont="1" applyBorder="1" applyAlignment="1">
      <alignment horizontal="centerContinuous"/>
    </xf>
    <xf numFmtId="0" fontId="6" fillId="0" borderId="34" xfId="0" applyFont="1" applyBorder="1" applyAlignment="1">
      <alignment horizontal="centerContinuous"/>
    </xf>
    <xf numFmtId="37" fontId="6" fillId="19" borderId="23" xfId="0" applyNumberFormat="1" applyFont="1" applyFill="1" applyBorder="1"/>
    <xf numFmtId="0" fontId="6" fillId="19" borderId="0" xfId="0" applyFont="1" applyFill="1"/>
    <xf numFmtId="37" fontId="6" fillId="19" borderId="24" xfId="0" applyNumberFormat="1" applyFont="1" applyFill="1" applyBorder="1"/>
    <xf numFmtId="37" fontId="6" fillId="19" borderId="32" xfId="0" applyNumberFormat="1" applyFont="1" applyFill="1" applyBorder="1"/>
    <xf numFmtId="37" fontId="6" fillId="19" borderId="33" xfId="0" applyNumberFormat="1" applyFont="1" applyFill="1" applyBorder="1"/>
    <xf numFmtId="37" fontId="6" fillId="19" borderId="25" xfId="0" applyNumberFormat="1" applyFont="1" applyFill="1" applyBorder="1"/>
    <xf numFmtId="0" fontId="6" fillId="19" borderId="36" xfId="0" applyFont="1" applyFill="1" applyBorder="1"/>
    <xf numFmtId="0" fontId="6" fillId="9" borderId="0" xfId="0" applyFont="1" applyFill="1"/>
    <xf numFmtId="37" fontId="47" fillId="9" borderId="33" xfId="0" applyNumberFormat="1" applyFont="1" applyFill="1" applyBorder="1"/>
    <xf numFmtId="0" fontId="6" fillId="0" borderId="24" xfId="0" applyFont="1" applyBorder="1" applyAlignment="1">
      <alignment horizontal="left"/>
    </xf>
    <xf numFmtId="5" fontId="6" fillId="0" borderId="50" xfId="0" applyNumberFormat="1" applyFont="1" applyBorder="1"/>
    <xf numFmtId="37" fontId="6" fillId="19" borderId="12" xfId="0" applyNumberFormat="1" applyFont="1" applyFill="1" applyBorder="1"/>
    <xf numFmtId="0" fontId="6" fillId="19" borderId="32" xfId="0" applyFont="1" applyFill="1" applyBorder="1"/>
    <xf numFmtId="5" fontId="6" fillId="0" borderId="20" xfId="0" applyNumberFormat="1" applyFont="1" applyBorder="1"/>
    <xf numFmtId="5" fontId="6" fillId="0" borderId="21" xfId="0" applyNumberFormat="1" applyFont="1" applyBorder="1"/>
    <xf numFmtId="5" fontId="6" fillId="0" borderId="55" xfId="0" applyNumberFormat="1" applyFont="1" applyBorder="1"/>
    <xf numFmtId="0" fontId="6" fillId="19" borderId="34" xfId="0" applyFont="1" applyFill="1" applyBorder="1"/>
    <xf numFmtId="0" fontId="6" fillId="19" borderId="19" xfId="0" applyFont="1" applyFill="1" applyBorder="1"/>
    <xf numFmtId="0" fontId="6" fillId="19" borderId="22" xfId="0" applyFont="1" applyFill="1" applyBorder="1"/>
    <xf numFmtId="0" fontId="6" fillId="19" borderId="18" xfId="0" applyFont="1" applyFill="1" applyBorder="1"/>
    <xf numFmtId="37" fontId="6" fillId="19" borderId="36" xfId="0" applyNumberFormat="1" applyFont="1" applyFill="1" applyBorder="1"/>
    <xf numFmtId="37" fontId="6" fillId="19" borderId="26" xfId="0" applyNumberFormat="1" applyFont="1" applyFill="1" applyBorder="1"/>
    <xf numFmtId="37" fontId="6" fillId="19" borderId="29" xfId="0" applyNumberFormat="1" applyFont="1" applyFill="1" applyBorder="1"/>
    <xf numFmtId="0" fontId="6" fillId="19" borderId="26" xfId="0" applyFont="1" applyFill="1" applyBorder="1"/>
    <xf numFmtId="0" fontId="6" fillId="0" borderId="45" xfId="0" applyFont="1" applyBorder="1"/>
    <xf numFmtId="0" fontId="6" fillId="19" borderId="13" xfId="0" applyFont="1" applyFill="1" applyBorder="1"/>
    <xf numFmtId="0" fontId="6" fillId="19" borderId="12" xfId="0" applyFont="1" applyFill="1" applyBorder="1"/>
    <xf numFmtId="0" fontId="6" fillId="19" borderId="29" xfId="0" applyFont="1" applyFill="1" applyBorder="1"/>
    <xf numFmtId="0" fontId="6" fillId="19" borderId="25" xfId="0" applyFont="1" applyFill="1" applyBorder="1"/>
    <xf numFmtId="5" fontId="6" fillId="0" borderId="26" xfId="0" applyNumberFormat="1" applyFont="1" applyBorder="1"/>
    <xf numFmtId="5" fontId="6" fillId="0" borderId="28" xfId="0" applyNumberFormat="1" applyFont="1" applyBorder="1"/>
    <xf numFmtId="5" fontId="6" fillId="0" borderId="37" xfId="0" applyNumberFormat="1" applyFont="1" applyBorder="1"/>
    <xf numFmtId="5" fontId="6" fillId="0" borderId="39" xfId="0" applyNumberFormat="1" applyFont="1" applyBorder="1"/>
    <xf numFmtId="37" fontId="6" fillId="0" borderId="39" xfId="0" applyNumberFormat="1" applyFont="1" applyBorder="1"/>
    <xf numFmtId="37" fontId="6" fillId="9" borderId="12" xfId="0" applyNumberFormat="1" applyFont="1" applyFill="1" applyBorder="1" applyAlignment="1">
      <alignment horizontal="center"/>
    </xf>
    <xf numFmtId="37" fontId="6" fillId="9" borderId="0" xfId="0" applyNumberFormat="1" applyFont="1" applyFill="1" applyAlignment="1">
      <alignment horizontal="centerContinuous"/>
    </xf>
    <xf numFmtId="37" fontId="6" fillId="9" borderId="13" xfId="0" applyNumberFormat="1" applyFont="1" applyFill="1" applyBorder="1" applyAlignment="1">
      <alignment horizontal="centerContinuous"/>
    </xf>
    <xf numFmtId="37" fontId="6" fillId="9" borderId="12" xfId="0" applyNumberFormat="1" applyFont="1" applyFill="1" applyBorder="1" applyAlignment="1">
      <alignment horizontal="centerContinuous"/>
    </xf>
    <xf numFmtId="37" fontId="6" fillId="9" borderId="13" xfId="0" applyNumberFormat="1" applyFont="1" applyFill="1" applyBorder="1" applyAlignment="1">
      <alignment horizontal="center"/>
    </xf>
    <xf numFmtId="37" fontId="6" fillId="9" borderId="13" xfId="0" applyNumberFormat="1" applyFont="1" applyFill="1" applyBorder="1"/>
    <xf numFmtId="37" fontId="6" fillId="9" borderId="12" xfId="0" applyNumberFormat="1" applyFont="1" applyFill="1" applyBorder="1"/>
    <xf numFmtId="37" fontId="6" fillId="9" borderId="0" xfId="0" applyNumberFormat="1" applyFont="1" applyFill="1" applyAlignment="1">
      <alignment horizontal="center"/>
    </xf>
    <xf numFmtId="37" fontId="6" fillId="9" borderId="16" xfId="0" applyNumberFormat="1" applyFont="1" applyFill="1" applyBorder="1"/>
    <xf numFmtId="37" fontId="6" fillId="9" borderId="14" xfId="0" applyNumberFormat="1" applyFont="1" applyFill="1" applyBorder="1"/>
    <xf numFmtId="37" fontId="6" fillId="9" borderId="17" xfId="0" applyNumberFormat="1" applyFont="1" applyFill="1" applyBorder="1"/>
    <xf numFmtId="0" fontId="47" fillId="9" borderId="9" xfId="0" applyFont="1" applyFill="1" applyBorder="1"/>
    <xf numFmtId="0" fontId="47" fillId="9" borderId="10" xfId="0" applyFont="1" applyFill="1" applyBorder="1"/>
    <xf numFmtId="0" fontId="47" fillId="9" borderId="11" xfId="0" applyFont="1" applyFill="1" applyBorder="1"/>
    <xf numFmtId="0" fontId="47" fillId="9" borderId="13" xfId="0" applyFont="1" applyFill="1" applyBorder="1" applyAlignment="1">
      <alignment horizontal="centerContinuous"/>
    </xf>
    <xf numFmtId="0" fontId="47" fillId="9" borderId="13" xfId="0" applyFont="1" applyFill="1" applyBorder="1"/>
    <xf numFmtId="0" fontId="0" fillId="0" borderId="12" xfId="0" applyBorder="1" applyAlignment="1">
      <alignment horizontal="right"/>
    </xf>
    <xf numFmtId="0" fontId="47" fillId="9" borderId="29" xfId="0" applyFont="1" applyFill="1" applyBorder="1"/>
    <xf numFmtId="0" fontId="47" fillId="9" borderId="33" xfId="0" applyFont="1" applyFill="1" applyBorder="1"/>
    <xf numFmtId="0" fontId="47" fillId="9" borderId="22" xfId="0" applyFont="1" applyFill="1" applyBorder="1"/>
    <xf numFmtId="0" fontId="10" fillId="0" borderId="0" xfId="0" applyFont="1" applyAlignment="1">
      <alignment horizontal="center"/>
    </xf>
    <xf numFmtId="5" fontId="47" fillId="9" borderId="13" xfId="0" applyNumberFormat="1" applyFont="1" applyFill="1" applyBorder="1"/>
    <xf numFmtId="5" fontId="0" fillId="0" borderId="32" xfId="0" applyNumberFormat="1" applyBorder="1"/>
    <xf numFmtId="37" fontId="0" fillId="0" borderId="26" xfId="0" applyNumberFormat="1" applyBorder="1"/>
    <xf numFmtId="37" fontId="47" fillId="9" borderId="29" xfId="0" applyNumberFormat="1" applyFont="1" applyFill="1" applyBorder="1"/>
    <xf numFmtId="5" fontId="47" fillId="9" borderId="59" xfId="0" applyNumberFormat="1" applyFont="1" applyFill="1" applyBorder="1"/>
    <xf numFmtId="5" fontId="47" fillId="9" borderId="67" xfId="0" applyNumberFormat="1" applyFont="1" applyFill="1" applyBorder="1"/>
    <xf numFmtId="5" fontId="47" fillId="9" borderId="60" xfId="0" applyNumberFormat="1" applyFont="1" applyFill="1" applyBorder="1"/>
    <xf numFmtId="37" fontId="47" fillId="9" borderId="13" xfId="0" applyNumberFormat="1" applyFont="1" applyFill="1" applyBorder="1"/>
    <xf numFmtId="0" fontId="15" fillId="0" borderId="0" xfId="0" applyFont="1"/>
    <xf numFmtId="0" fontId="0" fillId="18" borderId="33" xfId="0" applyFill="1" applyBorder="1"/>
    <xf numFmtId="5" fontId="0" fillId="0" borderId="63" xfId="0" applyNumberFormat="1" applyBorder="1"/>
    <xf numFmtId="0" fontId="0" fillId="0" borderId="43" xfId="0" applyBorder="1"/>
    <xf numFmtId="0" fontId="7" fillId="0" borderId="9" xfId="0" applyFont="1" applyBorder="1"/>
    <xf numFmtId="0" fontId="7" fillId="0" borderId="10" xfId="0" applyFont="1" applyBorder="1"/>
    <xf numFmtId="0" fontId="48" fillId="0" borderId="0" xfId="0" applyFont="1" applyAlignment="1" applyProtection="1">
      <alignment horizontal="centerContinuous"/>
      <protection locked="0"/>
    </xf>
    <xf numFmtId="37" fontId="7" fillId="0" borderId="0" xfId="0" applyNumberFormat="1" applyFont="1" applyAlignment="1">
      <alignment horizontal="centerContinuous"/>
    </xf>
    <xf numFmtId="37" fontId="7" fillId="0" borderId="13" xfId="0" applyNumberFormat="1" applyFont="1" applyBorder="1" applyAlignment="1">
      <alignment horizontal="centerContinuous"/>
    </xf>
    <xf numFmtId="0" fontId="47" fillId="0" borderId="0" xfId="0" applyFont="1" applyProtection="1">
      <protection locked="0"/>
    </xf>
    <xf numFmtId="0" fontId="29" fillId="0" borderId="13" xfId="0" applyFont="1" applyBorder="1" applyProtection="1">
      <protection locked="0"/>
    </xf>
    <xf numFmtId="0" fontId="29" fillId="0" borderId="17" xfId="0" applyFont="1" applyBorder="1" applyProtection="1">
      <protection locked="0"/>
    </xf>
    <xf numFmtId="0" fontId="6" fillId="0" borderId="10" xfId="0" applyFont="1" applyBorder="1" applyAlignment="1">
      <alignment horizontal="left"/>
    </xf>
    <xf numFmtId="0" fontId="0" fillId="0" borderId="10" xfId="0" applyBorder="1" applyAlignment="1">
      <alignment horizontal="centerContinuous"/>
    </xf>
    <xf numFmtId="0" fontId="0" fillId="0" borderId="10" xfId="0" applyBorder="1" applyAlignment="1">
      <alignment horizontal="left"/>
    </xf>
    <xf numFmtId="0" fontId="30" fillId="0" borderId="19" xfId="0" applyFont="1" applyBorder="1"/>
    <xf numFmtId="0" fontId="30" fillId="0" borderId="22" xfId="0" applyFont="1" applyBorder="1"/>
    <xf numFmtId="0" fontId="0" fillId="0" borderId="21" xfId="0" applyBorder="1" applyAlignment="1">
      <alignment horizontal="center"/>
    </xf>
    <xf numFmtId="0" fontId="0" fillId="0" borderId="32" xfId="0" applyBorder="1" applyAlignment="1">
      <alignment horizontal="center"/>
    </xf>
    <xf numFmtId="0" fontId="0" fillId="0" borderId="24" xfId="0" applyBorder="1" applyAlignment="1">
      <alignment horizontal="center"/>
    </xf>
    <xf numFmtId="0" fontId="0" fillId="0" borderId="28" xfId="0" applyBorder="1" applyAlignment="1">
      <alignment horizontal="center"/>
    </xf>
    <xf numFmtId="37" fontId="0" fillId="0" borderId="48" xfId="0" applyNumberFormat="1" applyBorder="1"/>
    <xf numFmtId="37" fontId="0" fillId="0" borderId="55" xfId="0" applyNumberFormat="1" applyBorder="1"/>
    <xf numFmtId="0" fontId="6" fillId="0" borderId="0" xfId="0" applyFont="1" applyAlignment="1">
      <alignment horizontal="centerContinuous" wrapText="1"/>
    </xf>
    <xf numFmtId="0" fontId="6" fillId="0" borderId="22" xfId="0" applyFont="1" applyBorder="1" applyAlignment="1">
      <alignment horizontal="center"/>
    </xf>
    <xf numFmtId="37" fontId="6" fillId="0" borderId="55" xfId="0" applyNumberFormat="1" applyFont="1" applyBorder="1"/>
    <xf numFmtId="37" fontId="6" fillId="0" borderId="42" xfId="0" applyNumberFormat="1" applyFont="1" applyBorder="1"/>
    <xf numFmtId="37" fontId="6" fillId="0" borderId="56" xfId="0" applyNumberFormat="1" applyFont="1" applyBorder="1"/>
    <xf numFmtId="0" fontId="59" fillId="0" borderId="12" xfId="0" applyFont="1" applyBorder="1" applyAlignment="1">
      <alignment horizontal="centerContinuous"/>
    </xf>
    <xf numFmtId="0" fontId="59" fillId="0" borderId="0" xfId="0" applyFont="1" applyAlignment="1">
      <alignment horizontal="centerContinuous"/>
    </xf>
    <xf numFmtId="0" fontId="59" fillId="0" borderId="13" xfId="0" applyFont="1" applyBorder="1" applyAlignment="1">
      <alignment horizontal="centerContinuous"/>
    </xf>
    <xf numFmtId="0" fontId="0" fillId="0" borderId="23" xfId="0" applyBorder="1" applyAlignment="1">
      <alignment horizontal="center"/>
    </xf>
    <xf numFmtId="0" fontId="0" fillId="0" borderId="13" xfId="0" applyBorder="1" applyAlignment="1">
      <alignment horizontal="center"/>
    </xf>
    <xf numFmtId="0" fontId="20" fillId="0" borderId="24" xfId="0" applyFont="1" applyBorder="1" applyProtection="1">
      <protection locked="0"/>
    </xf>
    <xf numFmtId="37" fontId="20" fillId="0" borderId="23" xfId="0" applyNumberFormat="1" applyFont="1" applyBorder="1" applyProtection="1">
      <protection locked="0"/>
    </xf>
    <xf numFmtId="39" fontId="20" fillId="0" borderId="23" xfId="0" applyNumberFormat="1" applyFont="1" applyBorder="1" applyProtection="1">
      <protection locked="0"/>
    </xf>
    <xf numFmtId="37" fontId="20" fillId="0" borderId="38" xfId="0" applyNumberFormat="1" applyFont="1" applyBorder="1" applyProtection="1">
      <protection locked="0"/>
    </xf>
    <xf numFmtId="39" fontId="20" fillId="0" borderId="13" xfId="0" applyNumberFormat="1" applyFont="1" applyBorder="1" applyProtection="1">
      <protection locked="0"/>
    </xf>
    <xf numFmtId="0" fontId="20" fillId="0" borderId="31" xfId="0" applyFont="1" applyBorder="1" applyProtection="1">
      <protection locked="0"/>
    </xf>
    <xf numFmtId="37" fontId="0" fillId="0" borderId="0" xfId="0" applyNumberFormat="1" applyAlignment="1">
      <alignment horizontal="centerContinuous"/>
    </xf>
    <xf numFmtId="39" fontId="0" fillId="0" borderId="0" xfId="0" applyNumberFormat="1" applyAlignment="1">
      <alignment horizontal="centerContinuous"/>
    </xf>
    <xf numFmtId="0" fontId="17" fillId="0" borderId="9" xfId="0" applyFont="1" applyBorder="1"/>
    <xf numFmtId="0" fontId="17" fillId="0" borderId="10" xfId="0" applyFont="1" applyBorder="1"/>
    <xf numFmtId="0" fontId="17" fillId="0" borderId="11" xfId="0" applyFont="1" applyBorder="1"/>
    <xf numFmtId="0" fontId="17" fillId="0" borderId="25" xfId="0" applyFont="1" applyBorder="1"/>
    <xf numFmtId="0" fontId="17" fillId="0" borderId="26" xfId="0" applyFont="1" applyBorder="1"/>
    <xf numFmtId="0" fontId="17" fillId="0" borderId="29" xfId="0" applyFont="1" applyBorder="1"/>
    <xf numFmtId="0" fontId="17" fillId="0" borderId="12" xfId="0" applyFont="1" applyBorder="1"/>
    <xf numFmtId="0" fontId="17" fillId="0" borderId="13" xfId="0" applyFont="1" applyBorder="1"/>
    <xf numFmtId="0" fontId="17" fillId="0" borderId="44" xfId="0" applyFont="1" applyBorder="1"/>
    <xf numFmtId="0" fontId="17" fillId="0" borderId="19" xfId="0" applyFont="1" applyBorder="1"/>
    <xf numFmtId="0" fontId="17" fillId="0" borderId="35" xfId="0" applyFont="1" applyBorder="1"/>
    <xf numFmtId="0" fontId="17" fillId="0" borderId="38" xfId="0" applyFont="1" applyBorder="1"/>
    <xf numFmtId="0" fontId="17" fillId="0" borderId="38" xfId="0" applyFont="1" applyBorder="1" applyAlignment="1">
      <alignment horizontal="center"/>
    </xf>
    <xf numFmtId="0" fontId="17" fillId="0" borderId="39" xfId="0" applyFont="1" applyBorder="1" applyAlignment="1">
      <alignment horizontal="center"/>
    </xf>
    <xf numFmtId="0" fontId="17" fillId="0" borderId="26" xfId="0" applyFont="1" applyBorder="1" applyAlignment="1">
      <alignment horizontal="centerContinuous"/>
    </xf>
    <xf numFmtId="5" fontId="17" fillId="0" borderId="33" xfId="0" applyNumberFormat="1" applyFont="1" applyBorder="1"/>
    <xf numFmtId="37" fontId="17" fillId="0" borderId="33" xfId="0" applyNumberFormat="1" applyFont="1" applyBorder="1"/>
    <xf numFmtId="0" fontId="17" fillId="0" borderId="51" xfId="0" applyFont="1" applyBorder="1"/>
    <xf numFmtId="5" fontId="17" fillId="0" borderId="52" xfId="0" applyNumberFormat="1" applyFont="1" applyBorder="1"/>
    <xf numFmtId="0" fontId="17" fillId="20" borderId="0" xfId="0" applyFont="1" applyFill="1"/>
    <xf numFmtId="5" fontId="17" fillId="20" borderId="33" xfId="0" applyNumberFormat="1" applyFont="1" applyFill="1" applyBorder="1"/>
    <xf numFmtId="0" fontId="17" fillId="0" borderId="40" xfId="0" applyFont="1" applyBorder="1" applyAlignment="1">
      <alignment horizontal="center"/>
    </xf>
    <xf numFmtId="0" fontId="17" fillId="0" borderId="58" xfId="0" applyFont="1" applyBorder="1"/>
    <xf numFmtId="0" fontId="0" fillId="0" borderId="23" xfId="0" applyBorder="1" applyAlignment="1">
      <alignment horizontal="right"/>
    </xf>
    <xf numFmtId="37" fontId="20" fillId="0" borderId="13" xfId="0" applyNumberFormat="1" applyFont="1" applyBorder="1" applyProtection="1">
      <protection locked="0"/>
    </xf>
    <xf numFmtId="0" fontId="0" fillId="0" borderId="30" xfId="0" applyBorder="1" applyAlignment="1">
      <alignment horizontal="right"/>
    </xf>
    <xf numFmtId="37" fontId="47" fillId="9" borderId="23" xfId="0" applyNumberFormat="1" applyFont="1" applyFill="1" applyBorder="1"/>
    <xf numFmtId="0" fontId="47" fillId="9" borderId="23" xfId="0" applyFont="1" applyFill="1" applyBorder="1"/>
    <xf numFmtId="0" fontId="47" fillId="9" borderId="45" xfId="0" applyFont="1" applyFill="1" applyBorder="1"/>
    <xf numFmtId="0" fontId="47" fillId="9" borderId="43" xfId="0" applyFont="1" applyFill="1" applyBorder="1"/>
    <xf numFmtId="0" fontId="0" fillId="0" borderId="23" xfId="0" applyBorder="1" applyAlignment="1">
      <alignment horizontal="left"/>
    </xf>
    <xf numFmtId="0" fontId="17" fillId="0" borderId="13" xfId="0" applyFont="1" applyBorder="1" applyAlignment="1">
      <alignment horizontal="centerContinuous" wrapText="1"/>
    </xf>
    <xf numFmtId="0" fontId="24" fillId="0" borderId="14" xfId="0" applyFont="1" applyBorder="1" applyAlignment="1" applyProtection="1">
      <alignment horizontal="left" wrapText="1"/>
      <protection locked="0"/>
    </xf>
    <xf numFmtId="5" fontId="20" fillId="0" borderId="13" xfId="0" applyNumberFormat="1" applyFont="1" applyBorder="1" applyProtection="1">
      <protection locked="0"/>
    </xf>
    <xf numFmtId="37" fontId="20" fillId="0" borderId="30" xfId="0" applyNumberFormat="1" applyFont="1" applyBorder="1" applyProtection="1">
      <protection locked="0"/>
    </xf>
    <xf numFmtId="0" fontId="52" fillId="0" borderId="12" xfId="0" applyFont="1" applyBorder="1" applyAlignment="1">
      <alignment horizontal="center"/>
    </xf>
    <xf numFmtId="169" fontId="0" fillId="0" borderId="0" xfId="0" applyNumberFormat="1"/>
    <xf numFmtId="169" fontId="6" fillId="0" borderId="13" xfId="0" applyNumberFormat="1" applyFont="1" applyBorder="1"/>
    <xf numFmtId="0" fontId="6" fillId="0" borderId="49" xfId="0" applyFont="1" applyBorder="1"/>
    <xf numFmtId="0" fontId="6" fillId="0" borderId="50" xfId="0" applyFont="1" applyBorder="1" applyAlignment="1">
      <alignment horizontal="center"/>
    </xf>
    <xf numFmtId="5" fontId="6" fillId="0" borderId="68" xfId="0" applyNumberFormat="1" applyFont="1" applyBorder="1"/>
    <xf numFmtId="0" fontId="6" fillId="0" borderId="13" xfId="0" applyFont="1" applyBorder="1" applyAlignment="1">
      <alignment horizontal="right"/>
    </xf>
    <xf numFmtId="0" fontId="6" fillId="0" borderId="24" xfId="0" applyFont="1" applyBorder="1" applyAlignment="1">
      <alignment horizontal="centerContinuous"/>
    </xf>
    <xf numFmtId="0" fontId="0" fillId="0" borderId="31" xfId="0" applyBorder="1"/>
    <xf numFmtId="37" fontId="6" fillId="0" borderId="41" xfId="0" applyNumberFormat="1" applyFont="1" applyBorder="1"/>
    <xf numFmtId="0" fontId="6" fillId="0" borderId="26" xfId="0" applyFont="1" applyBorder="1" applyAlignment="1">
      <alignment horizontal="left"/>
    </xf>
    <xf numFmtId="0" fontId="6" fillId="0" borderId="14" xfId="0" applyFont="1" applyBorder="1" applyAlignment="1">
      <alignment horizontal="left"/>
    </xf>
    <xf numFmtId="0" fontId="6" fillId="0" borderId="37" xfId="0" applyFont="1" applyBorder="1" applyAlignment="1">
      <alignment horizontal="centerContinuous"/>
    </xf>
    <xf numFmtId="37" fontId="47" fillId="9" borderId="0" xfId="0" applyNumberFormat="1" applyFont="1" applyFill="1"/>
    <xf numFmtId="0" fontId="48" fillId="9" borderId="0" xfId="0" applyFont="1" applyFill="1" applyAlignment="1">
      <alignment horizontal="centerContinuous"/>
    </xf>
    <xf numFmtId="0" fontId="47" fillId="9" borderId="0" xfId="0" applyFont="1" applyFill="1" applyAlignment="1">
      <alignment horizontal="right"/>
    </xf>
    <xf numFmtId="5" fontId="47" fillId="9" borderId="0" xfId="0" applyNumberFormat="1" applyFont="1" applyFill="1"/>
    <xf numFmtId="37" fontId="47" fillId="9" borderId="0" xfId="0" applyNumberFormat="1" applyFont="1" applyFill="1" applyProtection="1">
      <protection locked="0"/>
    </xf>
    <xf numFmtId="0" fontId="48" fillId="9" borderId="0" xfId="0" applyFont="1" applyFill="1" applyAlignment="1">
      <alignment horizontal="center"/>
    </xf>
    <xf numFmtId="0" fontId="0" fillId="0" borderId="10" xfId="0" applyBorder="1" applyAlignment="1">
      <alignment horizontal="center"/>
    </xf>
    <xf numFmtId="0" fontId="0" fillId="0" borderId="35" xfId="0" applyBorder="1" applyAlignment="1">
      <alignment horizontal="center"/>
    </xf>
    <xf numFmtId="0" fontId="0" fillId="0" borderId="37" xfId="0" applyBorder="1" applyAlignment="1">
      <alignment horizontal="center"/>
    </xf>
    <xf numFmtId="0" fontId="61" fillId="0" borderId="12" xfId="0" applyFont="1" applyBorder="1" applyAlignment="1">
      <alignment horizontal="centerContinuous"/>
    </xf>
    <xf numFmtId="0" fontId="61" fillId="0" borderId="0" xfId="0" applyFont="1" applyAlignment="1">
      <alignment horizontal="centerContinuous"/>
    </xf>
    <xf numFmtId="0" fontId="61" fillId="0" borderId="13" xfId="0" applyFont="1" applyBorder="1" applyAlignment="1">
      <alignment horizontal="centerContinuous"/>
    </xf>
    <xf numFmtId="0" fontId="0" fillId="0" borderId="33" xfId="0" applyBorder="1" applyAlignment="1">
      <alignment horizontal="center"/>
    </xf>
    <xf numFmtId="0" fontId="0" fillId="0" borderId="26" xfId="0" applyBorder="1" applyAlignment="1">
      <alignment horizontal="center"/>
    </xf>
    <xf numFmtId="0" fontId="10" fillId="0" borderId="24" xfId="0" applyFont="1" applyBorder="1"/>
    <xf numFmtId="0" fontId="0" fillId="20" borderId="24" xfId="0" applyFill="1" applyBorder="1"/>
    <xf numFmtId="37" fontId="0" fillId="20" borderId="0" xfId="0" applyNumberFormat="1" applyFill="1"/>
    <xf numFmtId="37" fontId="0" fillId="20" borderId="33" xfId="0" applyNumberFormat="1" applyFill="1" applyBorder="1"/>
    <xf numFmtId="5" fontId="0" fillId="0" borderId="51" xfId="0" applyNumberFormat="1" applyBorder="1"/>
    <xf numFmtId="37" fontId="0" fillId="0" borderId="14" xfId="0" applyNumberFormat="1" applyBorder="1"/>
    <xf numFmtId="37" fontId="0" fillId="20" borderId="14" xfId="0" applyNumberFormat="1" applyFill="1" applyBorder="1"/>
    <xf numFmtId="0" fontId="6" fillId="0" borderId="14" xfId="0" applyFont="1" applyBorder="1" applyAlignment="1">
      <alignment horizontal="left" wrapText="1"/>
    </xf>
    <xf numFmtId="0" fontId="6" fillId="0" borderId="0" xfId="0" applyFont="1" applyAlignment="1">
      <alignment horizontal="left" wrapText="1"/>
    </xf>
    <xf numFmtId="37" fontId="0" fillId="0" borderId="41" xfId="0" applyNumberFormat="1" applyBorder="1"/>
    <xf numFmtId="5" fontId="0" fillId="18" borderId="0" xfId="0" applyNumberFormat="1" applyFill="1"/>
    <xf numFmtId="5" fontId="0" fillId="18" borderId="33" xfId="0" applyNumberFormat="1" applyFill="1" applyBorder="1"/>
    <xf numFmtId="0" fontId="7" fillId="0" borderId="26" xfId="0" applyFont="1" applyBorder="1" applyAlignment="1">
      <alignment horizontal="centerContinuous"/>
    </xf>
    <xf numFmtId="0" fontId="47" fillId="9" borderId="29" xfId="0" applyFont="1" applyFill="1" applyBorder="1" applyAlignment="1">
      <alignment horizontal="centerContinuous"/>
    </xf>
    <xf numFmtId="0" fontId="47" fillId="9" borderId="18" xfId="0" applyFont="1" applyFill="1" applyBorder="1" applyAlignment="1">
      <alignment horizontal="center"/>
    </xf>
    <xf numFmtId="0" fontId="47" fillId="9" borderId="35" xfId="0" applyFont="1" applyFill="1" applyBorder="1" applyAlignment="1">
      <alignment horizontal="center"/>
    </xf>
    <xf numFmtId="0" fontId="0" fillId="0" borderId="48" xfId="0" applyBorder="1" applyAlignment="1">
      <alignment horizontal="centerContinuous"/>
    </xf>
    <xf numFmtId="0" fontId="0" fillId="0" borderId="47" xfId="0" applyBorder="1" applyAlignment="1">
      <alignment horizontal="centerContinuous"/>
    </xf>
    <xf numFmtId="0" fontId="0" fillId="0" borderId="49" xfId="0" applyBorder="1" applyAlignment="1">
      <alignment horizontal="center"/>
    </xf>
    <xf numFmtId="0" fontId="47" fillId="9" borderId="12" xfId="0" applyFont="1" applyFill="1" applyBorder="1" applyAlignment="1">
      <alignment horizontal="center"/>
    </xf>
    <xf numFmtId="0" fontId="47" fillId="9" borderId="33" xfId="0" applyFont="1" applyFill="1" applyBorder="1" applyAlignment="1">
      <alignment horizontal="center"/>
    </xf>
    <xf numFmtId="0" fontId="46" fillId="0" borderId="27" xfId="0" applyFont="1" applyBorder="1" applyAlignment="1">
      <alignment horizontal="centerContinuous"/>
    </xf>
    <xf numFmtId="0" fontId="47" fillId="9" borderId="21" xfId="0" applyFont="1" applyFill="1" applyBorder="1" applyAlignment="1">
      <alignment horizontal="center"/>
    </xf>
    <xf numFmtId="0" fontId="46" fillId="0" borderId="24" xfId="0" applyFont="1" applyBorder="1" applyAlignment="1">
      <alignment horizontal="center"/>
    </xf>
    <xf numFmtId="0" fontId="47" fillId="9" borderId="24" xfId="0" applyFont="1" applyFill="1" applyBorder="1" applyAlignment="1">
      <alignment horizontal="center"/>
    </xf>
    <xf numFmtId="0" fontId="0" fillId="0" borderId="29" xfId="0" applyBorder="1" applyAlignment="1">
      <alignment horizontal="center"/>
    </xf>
    <xf numFmtId="0" fontId="47" fillId="9" borderId="44" xfId="0" applyFont="1" applyFill="1" applyBorder="1" applyAlignment="1">
      <alignment horizontal="center"/>
    </xf>
    <xf numFmtId="37" fontId="0" fillId="0" borderId="35" xfId="0" applyNumberFormat="1" applyBorder="1"/>
    <xf numFmtId="0" fontId="47" fillId="9" borderId="18" xfId="0" applyFont="1" applyFill="1" applyBorder="1" applyAlignment="1">
      <alignment horizontal="right"/>
    </xf>
    <xf numFmtId="0" fontId="0" fillId="0" borderId="32" xfId="0" applyBorder="1" applyAlignment="1">
      <alignment horizontal="right"/>
    </xf>
    <xf numFmtId="0" fontId="47" fillId="9" borderId="38" xfId="0" applyFont="1" applyFill="1" applyBorder="1" applyAlignment="1">
      <alignment horizontal="center"/>
    </xf>
    <xf numFmtId="0" fontId="47" fillId="9" borderId="12" xfId="0" applyFont="1" applyFill="1" applyBorder="1" applyAlignment="1">
      <alignment horizontal="right"/>
    </xf>
    <xf numFmtId="37" fontId="47" fillId="9" borderId="32" xfId="0" applyNumberFormat="1" applyFont="1" applyFill="1" applyBorder="1"/>
    <xf numFmtId="37" fontId="47" fillId="9" borderId="36" xfId="0" applyNumberFormat="1" applyFont="1" applyFill="1" applyBorder="1"/>
    <xf numFmtId="0" fontId="47" fillId="9" borderId="64" xfId="0" applyFont="1" applyFill="1" applyBorder="1" applyAlignment="1">
      <alignment horizontal="center"/>
    </xf>
    <xf numFmtId="0" fontId="47" fillId="9" borderId="54" xfId="0" applyFont="1" applyFill="1" applyBorder="1" applyAlignment="1">
      <alignment horizontal="center"/>
    </xf>
    <xf numFmtId="5" fontId="47" fillId="9" borderId="54" xfId="0" applyNumberFormat="1" applyFont="1" applyFill="1" applyBorder="1"/>
    <xf numFmtId="0" fontId="47" fillId="19" borderId="64" xfId="0" applyFont="1" applyFill="1" applyBorder="1"/>
    <xf numFmtId="0" fontId="47" fillId="19" borderId="54" xfId="0" applyFont="1" applyFill="1" applyBorder="1"/>
    <xf numFmtId="0" fontId="0" fillId="0" borderId="57" xfId="0" applyBorder="1" applyAlignment="1">
      <alignment horizontal="center"/>
    </xf>
    <xf numFmtId="0" fontId="7" fillId="0" borderId="16" xfId="0" applyFont="1" applyBorder="1" applyAlignment="1">
      <alignment horizontal="centerContinuous"/>
    </xf>
    <xf numFmtId="0" fontId="7" fillId="0" borderId="14" xfId="0" applyFont="1" applyBorder="1" applyAlignment="1">
      <alignment horizontal="centerContinuous"/>
    </xf>
    <xf numFmtId="0" fontId="0" fillId="0" borderId="69" xfId="0" applyBorder="1" applyAlignment="1">
      <alignment horizontal="center"/>
    </xf>
    <xf numFmtId="0" fontId="0" fillId="0" borderId="11" xfId="0" applyBorder="1" applyAlignment="1">
      <alignment horizontal="centerContinuous"/>
    </xf>
    <xf numFmtId="0" fontId="0" fillId="0" borderId="9" xfId="0" applyBorder="1" applyAlignment="1">
      <alignment horizontal="centerContinuous"/>
    </xf>
    <xf numFmtId="0" fontId="0" fillId="0" borderId="70" xfId="0" applyBorder="1" applyAlignment="1">
      <alignment horizontal="centerContinuous"/>
    </xf>
    <xf numFmtId="0" fontId="0" fillId="0" borderId="71" xfId="0" applyBorder="1" applyAlignment="1">
      <alignment horizontal="centerContinuous"/>
    </xf>
    <xf numFmtId="0" fontId="0" fillId="0" borderId="65" xfId="0" applyBorder="1"/>
    <xf numFmtId="0" fontId="0" fillId="0" borderId="65" xfId="0" applyBorder="1" applyAlignment="1">
      <alignment horizontal="center"/>
    </xf>
    <xf numFmtId="0" fontId="0" fillId="0" borderId="66" xfId="0" applyBorder="1" applyAlignment="1">
      <alignment horizontal="center"/>
    </xf>
    <xf numFmtId="0" fontId="0" fillId="0" borderId="17" xfId="0" applyBorder="1" applyAlignment="1">
      <alignment horizontal="center"/>
    </xf>
    <xf numFmtId="0" fontId="0" fillId="0" borderId="16" xfId="0" applyBorder="1" applyAlignment="1">
      <alignment horizontal="centerContinuous"/>
    </xf>
    <xf numFmtId="0" fontId="0" fillId="0" borderId="66" xfId="0" applyBorder="1"/>
    <xf numFmtId="0" fontId="0" fillId="0" borderId="65" xfId="0" applyBorder="1" applyAlignment="1">
      <alignment horizontal="right"/>
    </xf>
    <xf numFmtId="37" fontId="0" fillId="0" borderId="13" xfId="0" applyNumberFormat="1" applyBorder="1" applyAlignment="1">
      <alignment horizontal="right"/>
    </xf>
    <xf numFmtId="0" fontId="0" fillId="0" borderId="64" xfId="0" applyBorder="1"/>
    <xf numFmtId="0" fontId="0" fillId="0" borderId="22" xfId="0" applyBorder="1" applyAlignment="1">
      <alignment horizontal="centerContinuous"/>
    </xf>
    <xf numFmtId="0" fontId="0" fillId="0" borderId="19"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23" xfId="0" applyBorder="1" applyAlignment="1">
      <alignment horizontal="centerContinuous"/>
    </xf>
    <xf numFmtId="0" fontId="62" fillId="0" borderId="0" xfId="0" applyFont="1" applyAlignment="1">
      <alignment horizontal="center"/>
    </xf>
    <xf numFmtId="0" fontId="0" fillId="0" borderId="27" xfId="0" applyBorder="1" applyAlignment="1">
      <alignment horizontal="centerContinuous"/>
    </xf>
    <xf numFmtId="0" fontId="0" fillId="0" borderId="27" xfId="0" applyBorder="1" applyAlignment="1">
      <alignment horizontal="center"/>
    </xf>
    <xf numFmtId="0" fontId="0" fillId="0" borderId="46" xfId="0" applyBorder="1" applyAlignment="1">
      <alignment horizontal="center"/>
    </xf>
    <xf numFmtId="0" fontId="0" fillId="0" borderId="51" xfId="0" applyBorder="1" applyAlignment="1">
      <alignment horizontal="center"/>
    </xf>
    <xf numFmtId="0" fontId="0" fillId="0" borderId="48" xfId="0" applyBorder="1"/>
    <xf numFmtId="0" fontId="0" fillId="18" borderId="34" xfId="0" applyFill="1" applyBorder="1"/>
    <xf numFmtId="0" fontId="0" fillId="18" borderId="19" xfId="0" applyFill="1" applyBorder="1"/>
    <xf numFmtId="0" fontId="0" fillId="18" borderId="22" xfId="0" applyFill="1" applyBorder="1"/>
    <xf numFmtId="37" fontId="20" fillId="0" borderId="26" xfId="0" applyNumberFormat="1" applyFont="1" applyBorder="1" applyProtection="1">
      <protection locked="0"/>
    </xf>
    <xf numFmtId="0" fontId="0" fillId="0" borderId="55" xfId="0" applyBorder="1"/>
    <xf numFmtId="37" fontId="0" fillId="0" borderId="17" xfId="0" applyNumberFormat="1" applyBorder="1"/>
    <xf numFmtId="0" fontId="20" fillId="0" borderId="12" xfId="0" applyFont="1" applyBorder="1" applyProtection="1">
      <protection locked="0"/>
    </xf>
    <xf numFmtId="0" fontId="20" fillId="0" borderId="13" xfId="0" applyFont="1" applyBorder="1" applyProtection="1">
      <protection locked="0"/>
    </xf>
    <xf numFmtId="0" fontId="20" fillId="0" borderId="16" xfId="0" applyFont="1" applyBorder="1" applyProtection="1">
      <protection locked="0"/>
    </xf>
    <xf numFmtId="0" fontId="20" fillId="0" borderId="14" xfId="0" applyFont="1" applyBorder="1" applyProtection="1">
      <protection locked="0"/>
    </xf>
    <xf numFmtId="0" fontId="20" fillId="0" borderId="17" xfId="0" applyFont="1" applyBorder="1" applyProtection="1">
      <protection locked="0"/>
    </xf>
    <xf numFmtId="0" fontId="59" fillId="0" borderId="0" xfId="0" applyFont="1"/>
    <xf numFmtId="0" fontId="59" fillId="0" borderId="9" xfId="0" applyFont="1" applyBorder="1"/>
    <xf numFmtId="0" fontId="59" fillId="0" borderId="10" xfId="0" applyFont="1" applyBorder="1"/>
    <xf numFmtId="0" fontId="59" fillId="0" borderId="11" xfId="0" applyFont="1" applyBorder="1"/>
    <xf numFmtId="0" fontId="20" fillId="0" borderId="26" xfId="0" applyFont="1" applyBorder="1" applyProtection="1">
      <protection locked="0"/>
    </xf>
    <xf numFmtId="9" fontId="20" fillId="0" borderId="26" xfId="0" applyNumberFormat="1" applyFont="1" applyBorder="1" applyProtection="1">
      <protection locked="0"/>
    </xf>
    <xf numFmtId="0" fontId="36" fillId="0" borderId="0" xfId="0" applyFont="1"/>
    <xf numFmtId="0" fontId="36" fillId="0" borderId="9" xfId="0" applyFont="1" applyBorder="1"/>
    <xf numFmtId="0" fontId="36" fillId="0" borderId="10" xfId="0" applyFont="1" applyBorder="1"/>
    <xf numFmtId="170" fontId="20" fillId="0" borderId="26" xfId="0" applyNumberFormat="1" applyFont="1" applyBorder="1" applyProtection="1">
      <protection locked="0"/>
    </xf>
    <xf numFmtId="9" fontId="0" fillId="0" borderId="26" xfId="0" applyNumberFormat="1" applyBorder="1"/>
    <xf numFmtId="0" fontId="36" fillId="0" borderId="0" xfId="0" applyFont="1" applyAlignment="1">
      <alignment horizontal="centerContinuous"/>
    </xf>
    <xf numFmtId="0" fontId="36" fillId="0" borderId="26" xfId="0" applyFont="1" applyBorder="1"/>
    <xf numFmtId="37" fontId="0" fillId="0" borderId="51" xfId="0" applyNumberFormat="1" applyBorder="1"/>
    <xf numFmtId="0" fontId="36" fillId="0" borderId="14" xfId="0" applyFont="1" applyBorder="1"/>
    <xf numFmtId="170" fontId="20" fillId="0" borderId="23" xfId="0" applyNumberFormat="1" applyFont="1" applyBorder="1" applyProtection="1">
      <protection locked="0"/>
    </xf>
    <xf numFmtId="170" fontId="20" fillId="18" borderId="52" xfId="0" applyNumberFormat="1" applyFont="1" applyFill="1" applyBorder="1" applyProtection="1">
      <protection locked="0"/>
    </xf>
    <xf numFmtId="0" fontId="20" fillId="0" borderId="23" xfId="0" applyFont="1" applyBorder="1" applyProtection="1">
      <protection locked="0"/>
    </xf>
    <xf numFmtId="0" fontId="20" fillId="0" borderId="30" xfId="0" applyFont="1" applyBorder="1" applyProtection="1">
      <protection locked="0"/>
    </xf>
    <xf numFmtId="37" fontId="20" fillId="0" borderId="17" xfId="0" applyNumberFormat="1" applyFont="1" applyBorder="1" applyProtection="1">
      <protection locked="0"/>
    </xf>
    <xf numFmtId="0" fontId="15" fillId="0" borderId="9" xfId="0" applyFont="1" applyBorder="1"/>
    <xf numFmtId="0" fontId="58" fillId="9" borderId="10" xfId="0" applyFont="1" applyFill="1" applyBorder="1"/>
    <xf numFmtId="0" fontId="15" fillId="0" borderId="11" xfId="0" applyFont="1" applyBorder="1"/>
    <xf numFmtId="0" fontId="48" fillId="9" borderId="12" xfId="0" applyFont="1" applyFill="1" applyBorder="1" applyAlignment="1">
      <alignment horizontal="centerContinuous" vertical="center"/>
    </xf>
    <xf numFmtId="0" fontId="6" fillId="0" borderId="0" xfId="0" applyFont="1" applyAlignment="1">
      <alignment horizontal="centerContinuous" vertical="center"/>
    </xf>
    <xf numFmtId="0" fontId="58" fillId="9" borderId="13" xfId="0" applyFont="1" applyFill="1" applyBorder="1" applyAlignment="1">
      <alignment horizontal="centerContinuous" vertical="center"/>
    </xf>
    <xf numFmtId="0" fontId="58" fillId="9" borderId="12" xfId="0" applyFont="1" applyFill="1" applyBorder="1"/>
    <xf numFmtId="0" fontId="58" fillId="9" borderId="13" xfId="0" applyFont="1" applyFill="1" applyBorder="1"/>
    <xf numFmtId="0" fontId="64" fillId="0" borderId="0" xfId="0" applyFont="1"/>
    <xf numFmtId="0" fontId="65" fillId="9" borderId="13" xfId="0" applyFont="1" applyFill="1" applyBorder="1"/>
    <xf numFmtId="0" fontId="15" fillId="0" borderId="26" xfId="0" applyFont="1" applyBorder="1"/>
    <xf numFmtId="0" fontId="64" fillId="0" borderId="26" xfId="0" applyFont="1" applyBorder="1"/>
    <xf numFmtId="0" fontId="65" fillId="9" borderId="29" xfId="0" applyFont="1" applyFill="1" applyBorder="1"/>
    <xf numFmtId="0" fontId="47" fillId="9" borderId="18" xfId="0" applyFont="1" applyFill="1" applyBorder="1"/>
    <xf numFmtId="0" fontId="47" fillId="9" borderId="12" xfId="0" applyFont="1" applyFill="1" applyBorder="1" applyAlignment="1">
      <alignment horizontal="centerContinuous"/>
    </xf>
    <xf numFmtId="0" fontId="47" fillId="9" borderId="25" xfId="0" applyFont="1" applyFill="1" applyBorder="1" applyAlignment="1">
      <alignment horizontal="centerContinuous"/>
    </xf>
    <xf numFmtId="0" fontId="47" fillId="9" borderId="30" xfId="0" applyFont="1" applyFill="1" applyBorder="1"/>
    <xf numFmtId="0" fontId="0" fillId="0" borderId="34" xfId="0" applyBorder="1" applyAlignment="1">
      <alignment horizontal="left"/>
    </xf>
    <xf numFmtId="0" fontId="0" fillId="0" borderId="36" xfId="0" applyBorder="1" applyAlignment="1">
      <alignment horizontal="center"/>
    </xf>
    <xf numFmtId="0" fontId="0" fillId="0" borderId="47" xfId="0" applyBorder="1" applyAlignment="1">
      <alignment horizontal="center"/>
    </xf>
    <xf numFmtId="0" fontId="0" fillId="0" borderId="50" xfId="0" applyBorder="1"/>
    <xf numFmtId="0" fontId="17" fillId="0" borderId="14" xfId="0" applyFont="1" applyBorder="1" applyAlignment="1">
      <alignment horizontal="left" wrapText="1"/>
    </xf>
    <xf numFmtId="37" fontId="20" fillId="0" borderId="14" xfId="0" applyNumberFormat="1" applyFont="1" applyBorder="1" applyProtection="1">
      <protection locked="0"/>
    </xf>
    <xf numFmtId="37" fontId="47" fillId="9" borderId="0" xfId="0" applyNumberFormat="1" applyFont="1" applyFill="1" applyAlignment="1" applyProtection="1">
      <alignment horizontal="left"/>
      <protection locked="0"/>
    </xf>
    <xf numFmtId="37" fontId="47" fillId="9" borderId="0" xfId="0" applyNumberFormat="1" applyFont="1" applyFill="1" applyAlignment="1">
      <alignment horizontal="centerContinuous"/>
    </xf>
    <xf numFmtId="37" fontId="47" fillId="9" borderId="0" xfId="0" applyNumberFormat="1" applyFont="1" applyFill="1" applyAlignment="1" applyProtection="1">
      <alignment horizontal="centerContinuous"/>
      <protection locked="0"/>
    </xf>
    <xf numFmtId="0" fontId="54" fillId="9" borderId="9" xfId="0" applyFont="1" applyFill="1" applyBorder="1"/>
    <xf numFmtId="0" fontId="54" fillId="9" borderId="10" xfId="0" applyFont="1" applyFill="1" applyBorder="1"/>
    <xf numFmtId="0" fontId="54" fillId="9" borderId="11" xfId="0" applyFont="1" applyFill="1" applyBorder="1"/>
    <xf numFmtId="0" fontId="54" fillId="9" borderId="0" xfId="0" applyFont="1" applyFill="1" applyAlignment="1">
      <alignment horizontal="centerContinuous"/>
    </xf>
    <xf numFmtId="0" fontId="54" fillId="9" borderId="13" xfId="0" applyFont="1" applyFill="1" applyBorder="1" applyAlignment="1">
      <alignment horizontal="centerContinuous"/>
    </xf>
    <xf numFmtId="0" fontId="54" fillId="9" borderId="25" xfId="0" applyFont="1" applyFill="1" applyBorder="1"/>
    <xf numFmtId="0" fontId="54" fillId="9" borderId="26" xfId="0" applyFont="1" applyFill="1" applyBorder="1"/>
    <xf numFmtId="0" fontId="54" fillId="9" borderId="29" xfId="0" applyFont="1" applyFill="1" applyBorder="1"/>
    <xf numFmtId="0" fontId="54" fillId="9" borderId="12" xfId="0" applyFont="1" applyFill="1" applyBorder="1"/>
    <xf numFmtId="0" fontId="54" fillId="9" borderId="0" xfId="0" applyFont="1" applyFill="1"/>
    <xf numFmtId="0" fontId="54" fillId="9" borderId="13" xfId="0" applyFont="1" applyFill="1" applyBorder="1"/>
    <xf numFmtId="0" fontId="54" fillId="9" borderId="44" xfId="0" applyFont="1" applyFill="1" applyBorder="1"/>
    <xf numFmtId="0" fontId="54" fillId="9" borderId="20" xfId="0" applyFont="1" applyFill="1" applyBorder="1"/>
    <xf numFmtId="0" fontId="54" fillId="9" borderId="51" xfId="0" applyFont="1" applyFill="1" applyBorder="1" applyAlignment="1">
      <alignment horizontal="centerContinuous"/>
    </xf>
    <xf numFmtId="0" fontId="54" fillId="9" borderId="38" xfId="0" applyFont="1" applyFill="1" applyBorder="1" applyAlignment="1">
      <alignment horizontal="center"/>
    </xf>
    <xf numFmtId="0" fontId="54" fillId="9" borderId="23" xfId="0" applyFont="1" applyFill="1" applyBorder="1" applyAlignment="1">
      <alignment horizontal="center"/>
    </xf>
    <xf numFmtId="0" fontId="54" fillId="9" borderId="0" xfId="0" applyFont="1" applyFill="1" applyAlignment="1">
      <alignment horizontal="center"/>
    </xf>
    <xf numFmtId="0" fontId="54" fillId="9" borderId="38" xfId="0" applyFont="1" applyFill="1" applyBorder="1"/>
    <xf numFmtId="0" fontId="54" fillId="9" borderId="13" xfId="0" applyFont="1" applyFill="1" applyBorder="1" applyAlignment="1">
      <alignment horizontal="center"/>
    </xf>
    <xf numFmtId="0" fontId="54" fillId="9" borderId="23" xfId="0" applyFont="1" applyFill="1" applyBorder="1"/>
    <xf numFmtId="0" fontId="54" fillId="9" borderId="44" xfId="0" applyFont="1" applyFill="1" applyBorder="1" applyAlignment="1">
      <alignment horizontal="center"/>
    </xf>
    <xf numFmtId="0" fontId="54" fillId="9" borderId="51" xfId="0" applyFont="1" applyFill="1" applyBorder="1"/>
    <xf numFmtId="0" fontId="54" fillId="9" borderId="40" xfId="0" applyFont="1" applyFill="1" applyBorder="1" applyAlignment="1">
      <alignment horizontal="center"/>
    </xf>
    <xf numFmtId="0" fontId="54" fillId="9" borderId="30" xfId="0" applyFont="1" applyFill="1" applyBorder="1"/>
    <xf numFmtId="0" fontId="54" fillId="9" borderId="33" xfId="0" applyFont="1" applyFill="1" applyBorder="1" applyAlignment="1">
      <alignment horizontal="center"/>
    </xf>
    <xf numFmtId="0" fontId="54" fillId="9" borderId="0" xfId="0" applyFont="1" applyFill="1" applyAlignment="1">
      <alignment horizontal="left"/>
    </xf>
    <xf numFmtId="0" fontId="40" fillId="9" borderId="0" xfId="0" applyFont="1" applyFill="1" applyAlignment="1">
      <alignment horizontal="centerContinuous"/>
    </xf>
    <xf numFmtId="0" fontId="54" fillId="9" borderId="28" xfId="0" applyFont="1" applyFill="1" applyBorder="1"/>
    <xf numFmtId="0" fontId="54" fillId="9" borderId="0" xfId="0" applyFont="1" applyFill="1" applyAlignment="1">
      <alignment horizontal="right"/>
    </xf>
    <xf numFmtId="0" fontId="54" fillId="9" borderId="19" xfId="0" applyFont="1" applyFill="1" applyBorder="1"/>
    <xf numFmtId="0" fontId="54" fillId="9" borderId="23" xfId="0" applyFont="1" applyFill="1" applyBorder="1" applyAlignment="1">
      <alignment horizontal="centerContinuous"/>
    </xf>
    <xf numFmtId="0" fontId="54" fillId="9" borderId="23" xfId="0" applyFont="1" applyFill="1" applyBorder="1" applyAlignment="1">
      <alignment horizontal="right"/>
    </xf>
    <xf numFmtId="0" fontId="0" fillId="0" borderId="0" xfId="0" applyAlignment="1">
      <alignment horizontal="centerContinuous" vertical="center"/>
    </xf>
    <xf numFmtId="0" fontId="54" fillId="9" borderId="0" xfId="0" applyFont="1" applyFill="1" applyAlignment="1">
      <alignment horizontal="centerContinuous" vertical="center"/>
    </xf>
    <xf numFmtId="0" fontId="54" fillId="9" borderId="21" xfId="0" applyFont="1" applyFill="1" applyBorder="1"/>
    <xf numFmtId="0" fontId="54" fillId="9" borderId="51" xfId="0" applyFont="1" applyFill="1" applyBorder="1" applyAlignment="1">
      <alignment horizontal="centerContinuous" vertical="center"/>
    </xf>
    <xf numFmtId="0" fontId="0" fillId="0" borderId="47" xfId="0" applyBorder="1" applyAlignment="1">
      <alignment horizontal="centerContinuous" vertical="center"/>
    </xf>
    <xf numFmtId="0" fontId="54" fillId="9" borderId="49" xfId="0" applyFont="1" applyFill="1" applyBorder="1" applyAlignment="1">
      <alignment horizontal="centerContinuous" vertical="center"/>
    </xf>
    <xf numFmtId="0" fontId="54" fillId="9" borderId="20" xfId="0" applyFont="1" applyFill="1" applyBorder="1" applyAlignment="1">
      <alignment horizontal="left"/>
    </xf>
    <xf numFmtId="0" fontId="54" fillId="9" borderId="23" xfId="0" applyFont="1" applyFill="1" applyBorder="1" applyAlignment="1">
      <alignment horizontal="left"/>
    </xf>
    <xf numFmtId="0" fontId="0" fillId="20" borderId="0" xfId="0" applyFill="1"/>
    <xf numFmtId="0" fontId="0" fillId="20" borderId="23" xfId="0" applyFill="1" applyBorder="1"/>
    <xf numFmtId="0" fontId="0" fillId="20" borderId="13" xfId="0" applyFill="1" applyBorder="1"/>
    <xf numFmtId="37" fontId="0" fillId="20" borderId="24" xfId="0" applyNumberFormat="1" applyFill="1" applyBorder="1"/>
    <xf numFmtId="0" fontId="0" fillId="0" borderId="30" xfId="0" applyBorder="1"/>
    <xf numFmtId="172" fontId="0" fillId="0" borderId="0" xfId="0" applyNumberFormat="1"/>
    <xf numFmtId="0" fontId="0" fillId="20" borderId="33" xfId="0" applyFill="1" applyBorder="1"/>
    <xf numFmtId="37" fontId="0" fillId="0" borderId="43" xfId="0" applyNumberFormat="1" applyBorder="1"/>
    <xf numFmtId="0" fontId="66" fillId="0" borderId="0" xfId="0" applyFont="1" applyAlignment="1">
      <alignment horizontal="centerContinuous"/>
    </xf>
    <xf numFmtId="0" fontId="67" fillId="0" borderId="0" xfId="0" applyFont="1" applyAlignment="1">
      <alignment horizontal="centerContinuous"/>
    </xf>
    <xf numFmtId="0" fontId="68" fillId="0" borderId="0" xfId="0" applyFont="1" applyAlignment="1">
      <alignment horizontal="centerContinuous"/>
    </xf>
    <xf numFmtId="0" fontId="59" fillId="0" borderId="0" xfId="0" applyFont="1" applyAlignment="1">
      <alignment horizontal="center"/>
    </xf>
    <xf numFmtId="0" fontId="17" fillId="0" borderId="0" xfId="0" applyFont="1" applyAlignment="1">
      <alignment horizontal="left"/>
    </xf>
    <xf numFmtId="5" fontId="59" fillId="0" borderId="0" xfId="0" applyNumberFormat="1" applyFont="1"/>
    <xf numFmtId="37" fontId="17" fillId="0" borderId="0" xfId="0" applyNumberFormat="1" applyFont="1" applyAlignment="1">
      <alignment horizontal="centerContinuous"/>
    </xf>
    <xf numFmtId="0" fontId="0" fillId="0" borderId="0" xfId="0" applyAlignment="1">
      <alignment horizontal="left"/>
    </xf>
    <xf numFmtId="0" fontId="59" fillId="0" borderId="0" xfId="0" applyFont="1" applyAlignment="1">
      <alignment horizontal="left"/>
    </xf>
    <xf numFmtId="173" fontId="0" fillId="0" borderId="0" xfId="0" applyNumberFormat="1"/>
    <xf numFmtId="173" fontId="0" fillId="0" borderId="0" xfId="0" applyNumberFormat="1" applyAlignment="1">
      <alignment horizontal="centerContinuous"/>
    </xf>
    <xf numFmtId="0" fontId="69" fillId="0" borderId="0" xfId="0" applyFont="1"/>
    <xf numFmtId="0" fontId="8" fillId="0" borderId="0" xfId="0" applyFont="1"/>
    <xf numFmtId="170" fontId="0" fillId="0" borderId="0" xfId="0" applyNumberFormat="1"/>
    <xf numFmtId="37" fontId="0" fillId="0" borderId="0" xfId="0" applyNumberFormat="1" applyAlignment="1">
      <alignment horizontal="right"/>
    </xf>
    <xf numFmtId="0" fontId="70" fillId="0" borderId="0" xfId="0" applyFont="1" applyAlignment="1">
      <alignment horizontal="left"/>
    </xf>
    <xf numFmtId="0" fontId="70" fillId="0" borderId="0" xfId="0" applyFont="1" applyAlignment="1">
      <alignment horizontal="centerContinuous" vertical="top" wrapText="1"/>
    </xf>
    <xf numFmtId="0" fontId="71" fillId="9" borderId="0" xfId="0" applyFont="1" applyFill="1"/>
    <xf numFmtId="0" fontId="47" fillId="9" borderId="28" xfId="0" applyFont="1" applyFill="1" applyBorder="1" applyAlignment="1">
      <alignment horizontal="center" vertical="center"/>
    </xf>
    <xf numFmtId="0" fontId="0" fillId="0" borderId="31" xfId="0" applyBorder="1" applyAlignment="1">
      <alignment horizontal="center"/>
    </xf>
    <xf numFmtId="0" fontId="47" fillId="9" borderId="24" xfId="0" applyFont="1" applyFill="1" applyBorder="1" applyAlignment="1">
      <alignment horizontal="center" vertical="center"/>
    </xf>
    <xf numFmtId="0" fontId="16" fillId="8" borderId="0" xfId="0" applyFont="1" applyFill="1" applyAlignment="1">
      <alignment horizontal="center"/>
    </xf>
    <xf numFmtId="0" fontId="23" fillId="12" borderId="0" xfId="0" applyFont="1" applyFill="1" applyAlignment="1" applyProtection="1">
      <alignment horizontal="center"/>
      <protection locked="0"/>
    </xf>
    <xf numFmtId="0" fontId="25" fillId="10" borderId="0" xfId="0" applyFont="1" applyFill="1" applyAlignment="1">
      <alignment horizontal="center"/>
    </xf>
    <xf numFmtId="0" fontId="6" fillId="0" borderId="19" xfId="0" applyFont="1" applyBorder="1" applyAlignment="1">
      <alignment horizontal="center"/>
    </xf>
    <xf numFmtId="0" fontId="6" fillId="0" borderId="21" xfId="0" applyFont="1" applyBorder="1" applyAlignment="1">
      <alignment horizontal="center"/>
    </xf>
    <xf numFmtId="0" fontId="6" fillId="0" borderId="26" xfId="0" applyFont="1" applyBorder="1" applyAlignment="1">
      <alignment horizontal="center"/>
    </xf>
    <xf numFmtId="0" fontId="6" fillId="0" borderId="28" xfId="0" applyFont="1" applyBorder="1" applyAlignment="1">
      <alignment horizontal="center"/>
    </xf>
    <xf numFmtId="164" fontId="6" fillId="0" borderId="0" xfId="0" applyNumberFormat="1" applyFont="1" applyAlignment="1">
      <alignment horizontal="center"/>
    </xf>
    <xf numFmtId="0" fontId="47" fillId="0" borderId="23" xfId="0" applyFont="1" applyBorder="1" applyAlignment="1">
      <alignment horizontal="center"/>
    </xf>
    <xf numFmtId="0" fontId="6" fillId="0" borderId="27" xfId="0" applyFont="1" applyBorder="1" applyAlignment="1">
      <alignment horizontal="center"/>
    </xf>
    <xf numFmtId="0" fontId="0" fillId="0" borderId="30" xfId="0" applyBorder="1" applyAlignment="1">
      <alignment horizontal="center"/>
    </xf>
    <xf numFmtId="37" fontId="47" fillId="0" borderId="32" xfId="0" applyNumberFormat="1" applyFont="1" applyBorder="1" applyAlignment="1">
      <alignment horizontal="center"/>
    </xf>
    <xf numFmtId="37" fontId="47" fillId="0" borderId="36" xfId="0" applyNumberFormat="1" applyFont="1" applyBorder="1" applyAlignment="1">
      <alignment horizontal="center"/>
    </xf>
    <xf numFmtId="37" fontId="47" fillId="0" borderId="37" xfId="0" applyNumberFormat="1" applyFont="1" applyBorder="1" applyAlignment="1">
      <alignment horizontal="center"/>
    </xf>
    <xf numFmtId="0" fontId="47" fillId="0" borderId="27" xfId="0" applyFont="1" applyBorder="1" applyAlignment="1">
      <alignment horizontal="center"/>
    </xf>
    <xf numFmtId="37" fontId="47" fillId="0" borderId="28" xfId="0" applyNumberFormat="1" applyFont="1" applyBorder="1" applyAlignment="1">
      <alignment horizontal="center"/>
    </xf>
    <xf numFmtId="37" fontId="47" fillId="0" borderId="33" xfId="0" applyNumberFormat="1" applyFont="1" applyBorder="1" applyAlignment="1">
      <alignment horizontal="center"/>
    </xf>
    <xf numFmtId="0" fontId="47" fillId="0" borderId="44" xfId="0" applyFont="1" applyBorder="1" applyAlignment="1">
      <alignment horizontal="center"/>
    </xf>
    <xf numFmtId="0" fontId="6" fillId="0" borderId="51" xfId="0" applyFont="1" applyBorder="1" applyAlignment="1">
      <alignment horizontal="center"/>
    </xf>
    <xf numFmtId="0" fontId="47" fillId="9" borderId="37" xfId="0" applyFont="1" applyFill="1" applyBorder="1" applyAlignment="1">
      <alignment horizontal="center"/>
    </xf>
    <xf numFmtId="0" fontId="0" fillId="0" borderId="45" xfId="0" applyBorder="1" applyAlignment="1">
      <alignment horizontal="center"/>
    </xf>
    <xf numFmtId="0" fontId="0" fillId="0" borderId="52" xfId="0" applyBorder="1" applyAlignment="1">
      <alignment horizontal="center"/>
    </xf>
    <xf numFmtId="0" fontId="6" fillId="0" borderId="54" xfId="0" applyFont="1" applyBorder="1" applyAlignment="1">
      <alignment horizontal="right"/>
    </xf>
    <xf numFmtId="0" fontId="6" fillId="0" borderId="47" xfId="0" applyFont="1" applyBorder="1" applyAlignment="1">
      <alignment horizontal="center"/>
    </xf>
    <xf numFmtId="0" fontId="6" fillId="0" borderId="54" xfId="0" applyFont="1" applyBorder="1" applyAlignment="1">
      <alignment horizontal="center"/>
    </xf>
    <xf numFmtId="0" fontId="52" fillId="0" borderId="32" xfId="0" applyFont="1" applyBorder="1" applyAlignment="1">
      <alignment horizontal="center"/>
    </xf>
    <xf numFmtId="0" fontId="52" fillId="0" borderId="36" xfId="0" applyFont="1" applyBorder="1" applyAlignment="1">
      <alignment horizontal="center"/>
    </xf>
    <xf numFmtId="0" fontId="6" fillId="0" borderId="34" xfId="0" applyFont="1" applyBorder="1" applyAlignment="1">
      <alignment horizontal="center"/>
    </xf>
    <xf numFmtId="0" fontId="47" fillId="9" borderId="26" xfId="0" applyFont="1" applyFill="1" applyBorder="1" applyAlignment="1">
      <alignment horizontal="center"/>
    </xf>
    <xf numFmtId="0" fontId="0" fillId="0" borderId="21" xfId="0" applyBorder="1" applyAlignment="1">
      <alignment horizontal="right"/>
    </xf>
    <xf numFmtId="0" fontId="0" fillId="0" borderId="56" xfId="0" applyBorder="1" applyAlignment="1">
      <alignment horizontal="right"/>
    </xf>
    <xf numFmtId="0" fontId="6" fillId="0" borderId="20" xfId="0" applyFont="1" applyBorder="1" applyAlignment="1">
      <alignment horizontal="center"/>
    </xf>
    <xf numFmtId="0" fontId="6" fillId="0" borderId="72" xfId="0" applyFont="1" applyBorder="1" applyAlignment="1">
      <alignment horizontal="center"/>
    </xf>
    <xf numFmtId="0" fontId="6" fillId="0" borderId="24" xfId="0" applyFont="1" applyBorder="1" applyAlignment="1">
      <alignment horizontal="right"/>
    </xf>
    <xf numFmtId="0" fontId="6" fillId="0" borderId="31" xfId="0" applyFont="1" applyBorder="1" applyAlignment="1">
      <alignment horizontal="right"/>
    </xf>
    <xf numFmtId="0" fontId="0" fillId="0" borderId="34" xfId="0" applyBorder="1" applyAlignment="1">
      <alignment horizontal="center"/>
    </xf>
    <xf numFmtId="0" fontId="47" fillId="9" borderId="22" xfId="0" applyFont="1" applyFill="1" applyBorder="1" applyAlignment="1">
      <alignment horizontal="center"/>
    </xf>
    <xf numFmtId="0" fontId="47" fillId="9" borderId="29" xfId="0" applyFont="1" applyFill="1" applyBorder="1" applyAlignment="1">
      <alignment horizontal="center"/>
    </xf>
    <xf numFmtId="37" fontId="47" fillId="0" borderId="28" xfId="0" applyNumberFormat="1" applyFont="1" applyBorder="1" applyAlignment="1" applyProtection="1">
      <alignment horizontal="center"/>
      <protection locked="0"/>
    </xf>
    <xf numFmtId="0" fontId="6" fillId="0" borderId="30" xfId="0" applyFont="1" applyBorder="1" applyAlignment="1">
      <alignment horizontal="center"/>
    </xf>
    <xf numFmtId="0" fontId="17" fillId="0" borderId="33" xfId="0" applyFont="1" applyBorder="1" applyAlignment="1">
      <alignment horizontal="center"/>
    </xf>
    <xf numFmtId="0" fontId="17" fillId="0" borderId="37" xfId="0" applyFont="1" applyBorder="1" applyAlignment="1">
      <alignment horizontal="center"/>
    </xf>
    <xf numFmtId="0" fontId="0" fillId="0" borderId="28" xfId="0" applyBorder="1" applyAlignment="1">
      <alignment horizontal="right"/>
    </xf>
    <xf numFmtId="0" fontId="0" fillId="0" borderId="56" xfId="0" applyBorder="1" applyAlignment="1">
      <alignment horizontal="center"/>
    </xf>
    <xf numFmtId="0" fontId="63" fillId="0" borderId="0" xfId="0" applyFont="1" applyAlignment="1">
      <alignment horizontal="center"/>
    </xf>
    <xf numFmtId="0" fontId="36" fillId="0" borderId="26" xfId="0" applyFont="1" applyBorder="1" applyAlignment="1">
      <alignment horizontal="center"/>
    </xf>
    <xf numFmtId="0" fontId="0" fillId="0" borderId="12" xfId="0" applyBorder="1" applyAlignment="1">
      <alignment horizontal="center" vertical="top"/>
    </xf>
    <xf numFmtId="0" fontId="36" fillId="0" borderId="0" xfId="0" applyFont="1" applyAlignment="1">
      <alignment horizontal="center"/>
    </xf>
    <xf numFmtId="0" fontId="47" fillId="9" borderId="14" xfId="0" applyFont="1" applyFill="1" applyBorder="1" applyAlignment="1">
      <alignment horizontal="center"/>
    </xf>
    <xf numFmtId="0" fontId="8" fillId="0" borderId="0" xfId="0" applyFont="1" applyAlignment="1">
      <alignment horizontal="center"/>
    </xf>
    <xf numFmtId="0" fontId="47" fillId="0" borderId="26" xfId="0" applyFont="1" applyBorder="1" applyAlignment="1">
      <alignment horizontal="left"/>
    </xf>
    <xf numFmtId="0" fontId="47" fillId="0" borderId="36" xfId="0" applyFont="1" applyBorder="1" applyAlignment="1">
      <alignment horizontal="left"/>
    </xf>
    <xf numFmtId="0" fontId="72" fillId="0" borderId="0" xfId="0" applyFont="1"/>
    <xf numFmtId="0" fontId="72" fillId="0" borderId="0" xfId="0" applyFont="1" applyAlignment="1">
      <alignment horizontal="centerContinuous"/>
    </xf>
    <xf numFmtId="0" fontId="72" fillId="0" borderId="0" xfId="0" applyFont="1" applyAlignment="1">
      <alignment horizontal="left"/>
    </xf>
    <xf numFmtId="0" fontId="72" fillId="0" borderId="26" xfId="0" applyFont="1" applyBorder="1" applyAlignment="1">
      <alignment horizontal="left"/>
    </xf>
    <xf numFmtId="0" fontId="72" fillId="0" borderId="26" xfId="0" applyFont="1" applyBorder="1"/>
    <xf numFmtId="0" fontId="72" fillId="0" borderId="26" xfId="0" applyFont="1" applyBorder="1" applyAlignment="1">
      <alignment horizontal="centerContinuous"/>
    </xf>
    <xf numFmtId="0" fontId="72" fillId="0" borderId="23" xfId="0" applyFont="1" applyBorder="1"/>
    <xf numFmtId="0" fontId="72" fillId="0" borderId="23" xfId="0" applyFont="1" applyBorder="1" applyAlignment="1">
      <alignment horizontal="centerContinuous"/>
    </xf>
    <xf numFmtId="0" fontId="72" fillId="0" borderId="13" xfId="0" applyFont="1" applyBorder="1" applyAlignment="1">
      <alignment horizontal="left"/>
    </xf>
    <xf numFmtId="0" fontId="72" fillId="0" borderId="13" xfId="0" applyFont="1" applyBorder="1"/>
    <xf numFmtId="0" fontId="72" fillId="0" borderId="27" xfId="0" applyFont="1" applyBorder="1"/>
    <xf numFmtId="0" fontId="72" fillId="0" borderId="29" xfId="0" applyFont="1" applyBorder="1"/>
    <xf numFmtId="0" fontId="49" fillId="0" borderId="0" xfId="0" applyFont="1" applyAlignment="1">
      <alignment horizontal="left"/>
    </xf>
    <xf numFmtId="0" fontId="49" fillId="0" borderId="26" xfId="0" applyFont="1" applyBorder="1" applyAlignment="1">
      <alignment horizontal="left"/>
    </xf>
    <xf numFmtId="165" fontId="6" fillId="0" borderId="26" xfId="0" applyNumberFormat="1" applyFont="1" applyBorder="1" applyAlignment="1">
      <alignment horizontal="center"/>
    </xf>
    <xf numFmtId="0" fontId="47" fillId="0" borderId="51" xfId="0" applyFont="1" applyBorder="1" applyAlignment="1">
      <alignment horizontal="left"/>
    </xf>
    <xf numFmtId="0" fontId="47" fillId="21" borderId="36" xfId="0" applyFont="1" applyFill="1" applyBorder="1" applyAlignment="1">
      <alignment horizontal="centerContinuous"/>
    </xf>
    <xf numFmtId="39" fontId="47" fillId="21" borderId="37" xfId="0" applyNumberFormat="1" applyFont="1" applyFill="1" applyBorder="1" applyAlignment="1">
      <alignment horizontal="centerContinuous"/>
    </xf>
    <xf numFmtId="37" fontId="47" fillId="21" borderId="37" xfId="0" applyNumberFormat="1" applyFont="1" applyFill="1" applyBorder="1" applyAlignment="1">
      <alignment horizontal="centerContinuous"/>
    </xf>
    <xf numFmtId="0" fontId="52" fillId="0" borderId="12" xfId="0" applyFont="1" applyBorder="1" applyAlignment="1">
      <alignment horizontal="left"/>
    </xf>
    <xf numFmtId="37" fontId="6" fillId="22" borderId="34" xfId="0" applyNumberFormat="1" applyFont="1" applyFill="1" applyBorder="1"/>
    <xf numFmtId="0" fontId="6" fillId="22" borderId="33" xfId="0" applyFont="1" applyFill="1" applyBorder="1"/>
    <xf numFmtId="0" fontId="6" fillId="22" borderId="36" xfId="0" applyFont="1" applyFill="1" applyBorder="1"/>
    <xf numFmtId="37" fontId="6" fillId="22" borderId="32" xfId="0" applyNumberFormat="1" applyFont="1" applyFill="1" applyBorder="1"/>
    <xf numFmtId="5" fontId="29" fillId="22" borderId="33" xfId="0" applyNumberFormat="1" applyFont="1" applyFill="1" applyBorder="1" applyProtection="1">
      <protection locked="0"/>
    </xf>
    <xf numFmtId="37" fontId="6" fillId="22" borderId="47" xfId="0" applyNumberFormat="1" applyFont="1" applyFill="1" applyBorder="1"/>
    <xf numFmtId="0" fontId="29" fillId="22" borderId="33" xfId="0" applyFont="1" applyFill="1" applyBorder="1" applyProtection="1">
      <protection locked="0"/>
    </xf>
    <xf numFmtId="37" fontId="6" fillId="22" borderId="33" xfId="0" applyNumberFormat="1" applyFont="1" applyFill="1" applyBorder="1"/>
    <xf numFmtId="5" fontId="6" fillId="22" borderId="33" xfId="0" applyNumberFormat="1" applyFont="1" applyFill="1" applyBorder="1"/>
    <xf numFmtId="0" fontId="6" fillId="22" borderId="41" xfId="0" applyFont="1" applyFill="1" applyBorder="1"/>
    <xf numFmtId="37" fontId="6" fillId="22" borderId="51" xfId="0" applyNumberFormat="1" applyFont="1" applyFill="1" applyBorder="1"/>
    <xf numFmtId="37" fontId="29" fillId="0" borderId="32" xfId="0" applyNumberFormat="1" applyFont="1" applyBorder="1" applyProtection="1">
      <protection locked="0"/>
    </xf>
    <xf numFmtId="5" fontId="29" fillId="0" borderId="13" xfId="0" applyNumberFormat="1" applyFont="1" applyBorder="1" applyProtection="1">
      <protection locked="0"/>
    </xf>
    <xf numFmtId="0" fontId="6" fillId="0" borderId="45" xfId="0" applyFont="1" applyBorder="1" applyAlignment="1">
      <alignment horizontal="right"/>
    </xf>
    <xf numFmtId="5" fontId="29" fillId="0" borderId="32" xfId="0" applyNumberFormat="1" applyFont="1" applyBorder="1" applyProtection="1">
      <protection locked="0"/>
    </xf>
    <xf numFmtId="0" fontId="6" fillId="0" borderId="73" xfId="0" applyFont="1" applyBorder="1"/>
    <xf numFmtId="0" fontId="6" fillId="0" borderId="31" xfId="0" applyFont="1" applyBorder="1" applyAlignment="1">
      <alignment horizontal="center"/>
    </xf>
    <xf numFmtId="0" fontId="6" fillId="0" borderId="43" xfId="0" applyFont="1" applyBorder="1" applyAlignment="1">
      <alignment horizontal="center"/>
    </xf>
    <xf numFmtId="0" fontId="6" fillId="22" borderId="45" xfId="0" applyFont="1" applyFill="1" applyBorder="1"/>
    <xf numFmtId="0" fontId="6" fillId="0" borderId="74" xfId="0" applyFont="1" applyBorder="1" applyAlignment="1">
      <alignment horizontal="center"/>
    </xf>
    <xf numFmtId="0" fontId="6" fillId="22" borderId="47" xfId="0" applyFont="1" applyFill="1" applyBorder="1"/>
    <xf numFmtId="0" fontId="6" fillId="0" borderId="69" xfId="0" applyFont="1" applyBorder="1"/>
    <xf numFmtId="5" fontId="29" fillId="0" borderId="69" xfId="0" applyNumberFormat="1" applyFont="1" applyBorder="1" applyProtection="1">
      <protection locked="0"/>
    </xf>
    <xf numFmtId="37" fontId="29" fillId="0" borderId="65" xfId="0" applyNumberFormat="1" applyFont="1" applyBorder="1" applyProtection="1">
      <protection locked="0"/>
    </xf>
    <xf numFmtId="37" fontId="29" fillId="0" borderId="66" xfId="0" applyNumberFormat="1" applyFont="1" applyBorder="1" applyProtection="1">
      <protection locked="0"/>
    </xf>
    <xf numFmtId="5" fontId="6" fillId="0" borderId="75" xfId="0" applyNumberFormat="1" applyFont="1" applyBorder="1"/>
    <xf numFmtId="37" fontId="29" fillId="0" borderId="69" xfId="0" applyNumberFormat="1" applyFont="1" applyBorder="1" applyProtection="1">
      <protection locked="0"/>
    </xf>
    <xf numFmtId="0" fontId="6" fillId="22" borderId="54" xfId="0" applyFont="1" applyFill="1" applyBorder="1"/>
    <xf numFmtId="0" fontId="6" fillId="22" borderId="58" xfId="0" applyFont="1" applyFill="1" applyBorder="1"/>
    <xf numFmtId="0" fontId="6" fillId="22" borderId="56" xfId="0" applyFont="1" applyFill="1" applyBorder="1"/>
    <xf numFmtId="0" fontId="6" fillId="22" borderId="49" xfId="0" applyFont="1" applyFill="1" applyBorder="1"/>
    <xf numFmtId="0" fontId="52" fillId="0" borderId="0" xfId="0" applyFont="1" applyAlignment="1">
      <alignment horizontal="left"/>
    </xf>
    <xf numFmtId="37" fontId="6" fillId="23" borderId="32" xfId="0" applyNumberFormat="1" applyFont="1" applyFill="1" applyBorder="1"/>
    <xf numFmtId="37" fontId="6" fillId="23" borderId="24" xfId="0" applyNumberFormat="1" applyFont="1" applyFill="1" applyBorder="1"/>
    <xf numFmtId="37" fontId="6" fillId="23" borderId="13" xfId="0" applyNumberFormat="1" applyFont="1" applyFill="1" applyBorder="1"/>
    <xf numFmtId="37" fontId="6" fillId="23" borderId="12" xfId="0" applyNumberFormat="1" applyFont="1" applyFill="1" applyBorder="1"/>
    <xf numFmtId="37" fontId="6" fillId="23" borderId="0" xfId="0" applyNumberFormat="1" applyFont="1" applyFill="1"/>
    <xf numFmtId="5" fontId="6" fillId="23" borderId="32" xfId="0" applyNumberFormat="1" applyFont="1" applyFill="1" applyBorder="1"/>
    <xf numFmtId="0" fontId="6" fillId="22" borderId="32" xfId="0" applyFont="1" applyFill="1" applyBorder="1"/>
    <xf numFmtId="37" fontId="6" fillId="22" borderId="24" xfId="0" applyNumberFormat="1" applyFont="1" applyFill="1" applyBorder="1"/>
    <xf numFmtId="39" fontId="6" fillId="22" borderId="13" xfId="0" applyNumberFormat="1" applyFont="1" applyFill="1" applyBorder="1"/>
    <xf numFmtId="37" fontId="6" fillId="22" borderId="12" xfId="0" applyNumberFormat="1" applyFont="1" applyFill="1" applyBorder="1"/>
    <xf numFmtId="37" fontId="6" fillId="22" borderId="0" xfId="0" applyNumberFormat="1" applyFont="1" applyFill="1"/>
    <xf numFmtId="39" fontId="6" fillId="23" borderId="13" xfId="0" applyNumberFormat="1" applyFont="1" applyFill="1" applyBorder="1"/>
    <xf numFmtId="0" fontId="6" fillId="22" borderId="43" xfId="0" applyFont="1" applyFill="1" applyBorder="1"/>
    <xf numFmtId="39" fontId="6" fillId="22" borderId="31" xfId="0" applyNumberFormat="1" applyFont="1" applyFill="1" applyBorder="1"/>
    <xf numFmtId="39" fontId="6" fillId="22" borderId="17" xfId="0" applyNumberFormat="1" applyFont="1" applyFill="1" applyBorder="1"/>
    <xf numFmtId="0" fontId="6" fillId="22" borderId="16" xfId="0" applyFont="1" applyFill="1" applyBorder="1"/>
    <xf numFmtId="0" fontId="6" fillId="22" borderId="14" xfId="0" applyFont="1" applyFill="1" applyBorder="1"/>
    <xf numFmtId="0" fontId="6" fillId="0" borderId="18" xfId="0" applyFont="1" applyBorder="1" applyAlignment="1">
      <alignment horizontal="left"/>
    </xf>
    <xf numFmtId="0" fontId="6" fillId="0" borderId="19" xfId="0" applyFont="1" applyBorder="1" applyAlignment="1">
      <alignment horizontal="left"/>
    </xf>
    <xf numFmtId="0" fontId="6" fillId="0" borderId="12" xfId="0" applyFont="1" applyBorder="1" applyAlignment="1">
      <alignment horizontal="left"/>
    </xf>
    <xf numFmtId="0" fontId="6" fillId="0" borderId="25" xfId="0" applyFont="1" applyBorder="1" applyAlignment="1">
      <alignment horizontal="left"/>
    </xf>
    <xf numFmtId="0" fontId="6" fillId="0" borderId="14" xfId="0" applyFont="1" applyBorder="1" applyAlignment="1">
      <alignment horizontal="center"/>
    </xf>
    <xf numFmtId="0" fontId="56" fillId="0" borderId="0" xfId="0" applyFont="1" applyProtection="1">
      <protection locked="0"/>
    </xf>
    <xf numFmtId="0" fontId="6" fillId="24" borderId="32" xfId="0" applyFont="1" applyFill="1" applyBorder="1"/>
    <xf numFmtId="0" fontId="6" fillId="24" borderId="33" xfId="0" applyFont="1" applyFill="1" applyBorder="1"/>
    <xf numFmtId="0" fontId="6" fillId="0" borderId="11" xfId="0" applyFont="1" applyBorder="1" applyAlignment="1">
      <alignment horizontal="left"/>
    </xf>
    <xf numFmtId="0" fontId="6" fillId="0" borderId="35" xfId="0" applyFont="1" applyBorder="1" applyAlignment="1">
      <alignment horizontal="centerContinuous"/>
    </xf>
    <xf numFmtId="7" fontId="6" fillId="0" borderId="49" xfId="0" applyNumberFormat="1" applyFont="1" applyBorder="1"/>
    <xf numFmtId="7" fontId="6" fillId="0" borderId="42" xfId="0" applyNumberFormat="1" applyFont="1" applyBorder="1"/>
    <xf numFmtId="166" fontId="6" fillId="0" borderId="13" xfId="0" applyNumberFormat="1" applyFont="1" applyBorder="1"/>
    <xf numFmtId="167" fontId="6" fillId="0" borderId="13" xfId="0" applyNumberFormat="1" applyFont="1" applyBorder="1"/>
    <xf numFmtId="167" fontId="6" fillId="0" borderId="42" xfId="0" applyNumberFormat="1" applyFont="1" applyBorder="1"/>
    <xf numFmtId="49" fontId="52" fillId="0" borderId="0" xfId="0" applyNumberFormat="1" applyFont="1"/>
    <xf numFmtId="0" fontId="47" fillId="9" borderId="20" xfId="0" applyFont="1" applyFill="1" applyBorder="1" applyAlignment="1">
      <alignment horizontal="center"/>
    </xf>
    <xf numFmtId="0" fontId="47" fillId="9" borderId="27" xfId="0" applyFont="1" applyFill="1" applyBorder="1" applyAlignment="1">
      <alignment horizontal="center"/>
    </xf>
    <xf numFmtId="0" fontId="0" fillId="0" borderId="26" xfId="0" applyBorder="1" applyAlignment="1">
      <alignment horizontal="left"/>
    </xf>
    <xf numFmtId="0" fontId="0" fillId="0" borderId="12" xfId="0" applyBorder="1" applyAlignment="1">
      <alignment horizontal="left"/>
    </xf>
    <xf numFmtId="5" fontId="56" fillId="0" borderId="23" xfId="0" applyNumberFormat="1" applyFont="1" applyBorder="1" applyProtection="1">
      <protection locked="0"/>
    </xf>
    <xf numFmtId="37" fontId="56" fillId="0" borderId="23" xfId="0" applyNumberFormat="1" applyFont="1" applyBorder="1" applyProtection="1">
      <protection locked="0"/>
    </xf>
    <xf numFmtId="37" fontId="56" fillId="0" borderId="24" xfId="0" applyNumberFormat="1" applyFont="1" applyBorder="1" applyProtection="1">
      <protection locked="0"/>
    </xf>
    <xf numFmtId="0" fontId="6" fillId="0" borderId="32" xfId="0" applyFont="1" applyBorder="1" applyAlignment="1">
      <alignment horizontal="left"/>
    </xf>
    <xf numFmtId="5" fontId="56" fillId="0" borderId="24" xfId="0" applyNumberFormat="1" applyFont="1" applyBorder="1" applyProtection="1">
      <protection locked="0"/>
    </xf>
    <xf numFmtId="5" fontId="56" fillId="0" borderId="13" xfId="0" applyNumberFormat="1" applyFont="1" applyBorder="1" applyProtection="1">
      <protection locked="0"/>
    </xf>
    <xf numFmtId="0" fontId="6" fillId="0" borderId="30" xfId="0" applyFont="1" applyBorder="1" applyAlignment="1">
      <alignment horizontal="right"/>
    </xf>
    <xf numFmtId="5" fontId="6" fillId="0" borderId="42" xfId="0" applyNumberFormat="1" applyFont="1" applyBorder="1"/>
    <xf numFmtId="0" fontId="6" fillId="0" borderId="10" xfId="0" applyFont="1" applyBorder="1" applyAlignment="1">
      <alignment horizontal="center"/>
    </xf>
    <xf numFmtId="0" fontId="9" fillId="0" borderId="12" xfId="0" applyFont="1" applyBorder="1"/>
    <xf numFmtId="0" fontId="0" fillId="0" borderId="76" xfId="0" applyBorder="1"/>
    <xf numFmtId="0" fontId="47" fillId="9" borderId="25" xfId="0" applyFont="1" applyFill="1" applyBorder="1"/>
    <xf numFmtId="0" fontId="47" fillId="9" borderId="20" xfId="0" applyFont="1" applyFill="1" applyBorder="1"/>
    <xf numFmtId="0" fontId="47" fillId="9" borderId="49" xfId="0" applyFont="1" applyFill="1" applyBorder="1" applyAlignment="1">
      <alignment horizontal="centerContinuous"/>
    </xf>
    <xf numFmtId="0" fontId="47" fillId="9" borderId="23" xfId="0" applyFont="1" applyFill="1" applyBorder="1" applyAlignment="1">
      <alignment horizontal="center"/>
    </xf>
    <xf numFmtId="171" fontId="47" fillId="9" borderId="23" xfId="0" applyNumberFormat="1" applyFont="1" applyFill="1" applyBorder="1"/>
    <xf numFmtId="0" fontId="47" fillId="9" borderId="27" xfId="0" applyFont="1" applyFill="1" applyBorder="1"/>
    <xf numFmtId="0" fontId="47" fillId="9" borderId="48" xfId="0" applyFont="1" applyFill="1" applyBorder="1" applyAlignment="1">
      <alignment horizontal="centerContinuous"/>
    </xf>
    <xf numFmtId="0" fontId="47" fillId="9" borderId="48" xfId="0" applyFont="1" applyFill="1" applyBorder="1"/>
    <xf numFmtId="0" fontId="47" fillId="9" borderId="27" xfId="0" applyFont="1" applyFill="1" applyBorder="1" applyAlignment="1">
      <alignment horizontal="centerContinuous"/>
    </xf>
    <xf numFmtId="0" fontId="47" fillId="9" borderId="17" xfId="0" applyFont="1" applyFill="1" applyBorder="1"/>
    <xf numFmtId="0" fontId="47" fillId="9" borderId="35" xfId="0" applyFont="1" applyFill="1" applyBorder="1"/>
    <xf numFmtId="0" fontId="47" fillId="9" borderId="19" xfId="0" applyFont="1" applyFill="1" applyBorder="1" applyAlignment="1">
      <alignment horizontal="center"/>
    </xf>
    <xf numFmtId="0" fontId="47" fillId="9" borderId="0" xfId="0" applyFont="1" applyFill="1" applyAlignment="1">
      <alignment horizontal="left"/>
    </xf>
    <xf numFmtId="0" fontId="47" fillId="9" borderId="16" xfId="0" applyFont="1" applyFill="1" applyBorder="1" applyAlignment="1">
      <alignment horizontal="center"/>
    </xf>
    <xf numFmtId="37" fontId="47" fillId="9" borderId="38" xfId="0" applyNumberFormat="1" applyFont="1" applyFill="1" applyBorder="1" applyAlignment="1">
      <alignment horizontal="center"/>
    </xf>
    <xf numFmtId="0" fontId="47" fillId="9" borderId="28" xfId="0" applyFont="1" applyFill="1" applyBorder="1"/>
    <xf numFmtId="39" fontId="47" fillId="9" borderId="23" xfId="0" applyNumberFormat="1" applyFont="1" applyFill="1" applyBorder="1"/>
    <xf numFmtId="39" fontId="47" fillId="9" borderId="13" xfId="0" applyNumberFormat="1" applyFont="1" applyFill="1" applyBorder="1"/>
    <xf numFmtId="39" fontId="6" fillId="0" borderId="23" xfId="0" applyNumberFormat="1" applyFont="1" applyBorder="1"/>
    <xf numFmtId="39" fontId="47" fillId="9" borderId="27" xfId="0" applyNumberFormat="1" applyFont="1" applyFill="1" applyBorder="1"/>
    <xf numFmtId="39" fontId="47" fillId="9" borderId="29" xfId="0" applyNumberFormat="1" applyFont="1" applyFill="1" applyBorder="1"/>
    <xf numFmtId="39" fontId="6" fillId="0" borderId="27" xfId="0" applyNumberFormat="1" applyFont="1" applyBorder="1"/>
    <xf numFmtId="0" fontId="6" fillId="0" borderId="24" xfId="0" applyFont="1" applyBorder="1" applyAlignment="1">
      <alignment horizontal="center" vertical="center"/>
    </xf>
    <xf numFmtId="0" fontId="6" fillId="0" borderId="41" xfId="0" applyFont="1" applyBorder="1"/>
    <xf numFmtId="0" fontId="7" fillId="0" borderId="12" xfId="0" applyFont="1" applyBorder="1" applyAlignment="1">
      <alignment horizontal="left"/>
    </xf>
    <xf numFmtId="0" fontId="70" fillId="0" borderId="0" xfId="0" applyFont="1" applyAlignment="1">
      <alignment horizontal="left" vertical="top"/>
    </xf>
    <xf numFmtId="39" fontId="6" fillId="0" borderId="29" xfId="0" applyNumberFormat="1" applyFont="1" applyBorder="1"/>
    <xf numFmtId="0" fontId="6" fillId="0" borderId="10" xfId="0" applyFont="1" applyBorder="1" applyAlignment="1">
      <alignment horizontal="right"/>
    </xf>
    <xf numFmtId="0" fontId="48" fillId="9" borderId="26" xfId="0" applyFont="1" applyFill="1" applyBorder="1" applyAlignment="1">
      <alignment horizontal="centerContinuous"/>
    </xf>
    <xf numFmtId="0" fontId="47" fillId="9" borderId="46" xfId="0" applyFont="1" applyFill="1" applyBorder="1" applyAlignment="1">
      <alignment horizontal="center"/>
    </xf>
    <xf numFmtId="0" fontId="47" fillId="9" borderId="49" xfId="0" applyFont="1" applyFill="1" applyBorder="1"/>
    <xf numFmtId="0" fontId="47" fillId="9" borderId="50" xfId="0" applyFont="1" applyFill="1" applyBorder="1" applyAlignment="1">
      <alignment horizontal="center"/>
    </xf>
    <xf numFmtId="0" fontId="6" fillId="0" borderId="18" xfId="0" applyFont="1" applyBorder="1" applyAlignment="1">
      <alignment horizontal="centerContinuous"/>
    </xf>
    <xf numFmtId="0" fontId="7" fillId="0" borderId="12" xfId="0" applyFont="1" applyBorder="1" applyAlignment="1">
      <alignment horizontal="centerContinuous" vertical="center"/>
    </xf>
    <xf numFmtId="0" fontId="6" fillId="0" borderId="12" xfId="0" applyFont="1" applyBorder="1" applyAlignment="1">
      <alignment horizontal="centerContinuous" vertical="center"/>
    </xf>
    <xf numFmtId="171" fontId="47" fillId="9" borderId="0" xfId="0" applyNumberFormat="1" applyFont="1" applyFill="1" applyAlignment="1">
      <alignment horizontal="center"/>
    </xf>
    <xf numFmtId="0" fontId="47" fillId="9" borderId="47" xfId="0" applyFont="1" applyFill="1" applyBorder="1" applyAlignment="1">
      <alignment horizontal="centerContinuous"/>
    </xf>
    <xf numFmtId="0" fontId="47" fillId="9" borderId="23" xfId="0" applyFont="1" applyFill="1" applyBorder="1" applyAlignment="1">
      <alignment horizontal="centerContinuous"/>
    </xf>
    <xf numFmtId="0" fontId="47" fillId="9" borderId="23" xfId="0" applyFont="1" applyFill="1" applyBorder="1" applyAlignment="1">
      <alignment horizontal="right"/>
    </xf>
    <xf numFmtId="0" fontId="47" fillId="25" borderId="19" xfId="0" applyFont="1" applyFill="1" applyBorder="1"/>
    <xf numFmtId="0" fontId="47" fillId="25" borderId="20" xfId="0" applyFont="1" applyFill="1" applyBorder="1"/>
    <xf numFmtId="0" fontId="47" fillId="25" borderId="23" xfId="0" applyFont="1" applyFill="1" applyBorder="1"/>
    <xf numFmtId="0" fontId="47" fillId="25" borderId="0" xfId="0" applyFont="1" applyFill="1"/>
    <xf numFmtId="0" fontId="47" fillId="9" borderId="56" xfId="0" applyFont="1" applyFill="1" applyBorder="1"/>
    <xf numFmtId="0" fontId="47" fillId="25" borderId="14" xfId="0" applyFont="1" applyFill="1" applyBorder="1"/>
    <xf numFmtId="0" fontId="47" fillId="25" borderId="30" xfId="0" applyFont="1" applyFill="1" applyBorder="1"/>
    <xf numFmtId="0" fontId="47" fillId="9" borderId="0" xfId="0" applyFont="1" applyFill="1" applyAlignment="1">
      <alignment horizontal="centerContinuous" vertical="center"/>
    </xf>
    <xf numFmtId="0" fontId="6" fillId="0" borderId="48" xfId="0" applyFont="1" applyBorder="1" applyAlignment="1">
      <alignment horizontal="centerContinuous"/>
    </xf>
    <xf numFmtId="172" fontId="6" fillId="0" borderId="0" xfId="0" applyNumberFormat="1" applyFont="1"/>
    <xf numFmtId="172" fontId="6" fillId="0" borderId="23" xfId="0" applyNumberFormat="1" applyFont="1" applyBorder="1"/>
    <xf numFmtId="0" fontId="9" fillId="0" borderId="24" xfId="0" applyFont="1" applyBorder="1" applyAlignment="1">
      <alignment horizontal="left"/>
    </xf>
    <xf numFmtId="172" fontId="6" fillId="20" borderId="55" xfId="0" applyNumberFormat="1" applyFont="1" applyFill="1" applyBorder="1"/>
    <xf numFmtId="0" fontId="6" fillId="26" borderId="9" xfId="0" applyFont="1" applyFill="1" applyBorder="1"/>
    <xf numFmtId="0" fontId="6" fillId="26" borderId="10" xfId="0" applyFont="1" applyFill="1" applyBorder="1"/>
    <xf numFmtId="0" fontId="6" fillId="26" borderId="11" xfId="0" applyFont="1" applyFill="1" applyBorder="1"/>
    <xf numFmtId="0" fontId="7" fillId="26" borderId="12" xfId="0" applyFont="1" applyFill="1" applyBorder="1" applyAlignment="1">
      <alignment horizontal="centerContinuous"/>
    </xf>
    <xf numFmtId="0" fontId="6" fillId="26" borderId="0" xfId="0" applyFont="1" applyFill="1" applyAlignment="1">
      <alignment horizontal="centerContinuous"/>
    </xf>
    <xf numFmtId="0" fontId="6" fillId="26" borderId="13" xfId="0" applyFont="1" applyFill="1" applyBorder="1" applyAlignment="1">
      <alignment horizontal="centerContinuous"/>
    </xf>
    <xf numFmtId="0" fontId="6" fillId="26" borderId="25" xfId="0" applyFont="1" applyFill="1" applyBorder="1" applyAlignment="1">
      <alignment horizontal="centerContinuous"/>
    </xf>
    <xf numFmtId="0" fontId="6" fillId="26" borderId="29" xfId="0" applyFont="1" applyFill="1" applyBorder="1"/>
    <xf numFmtId="0" fontId="6" fillId="26" borderId="12" xfId="0" applyFont="1" applyFill="1" applyBorder="1" applyAlignment="1">
      <alignment horizontal="centerContinuous"/>
    </xf>
    <xf numFmtId="0" fontId="6" fillId="26" borderId="24" xfId="0" applyFont="1" applyFill="1" applyBorder="1" applyAlignment="1">
      <alignment horizontal="center" vertical="center"/>
    </xf>
    <xf numFmtId="0" fontId="6" fillId="26" borderId="0" xfId="0" applyFont="1" applyFill="1"/>
    <xf numFmtId="0" fontId="6" fillId="26" borderId="33" xfId="0" applyFont="1" applyFill="1" applyBorder="1"/>
    <xf numFmtId="0" fontId="6" fillId="26" borderId="36" xfId="0" applyFont="1" applyFill="1" applyBorder="1" applyAlignment="1">
      <alignment horizontal="centerContinuous"/>
    </xf>
    <xf numFmtId="0" fontId="6" fillId="26" borderId="37" xfId="0" applyFont="1" applyFill="1" applyBorder="1" applyAlignment="1">
      <alignment horizontal="center"/>
    </xf>
    <xf numFmtId="0" fontId="6" fillId="26" borderId="12" xfId="0" applyFont="1" applyFill="1" applyBorder="1"/>
    <xf numFmtId="0" fontId="6" fillId="26" borderId="24" xfId="0" applyFont="1" applyFill="1" applyBorder="1" applyAlignment="1">
      <alignment horizontal="center"/>
    </xf>
    <xf numFmtId="0" fontId="6" fillId="26" borderId="33" xfId="0" applyFont="1" applyFill="1" applyBorder="1" applyAlignment="1">
      <alignment horizontal="center"/>
    </xf>
    <xf numFmtId="0" fontId="6" fillId="26" borderId="24" xfId="0" applyFont="1" applyFill="1" applyBorder="1"/>
    <xf numFmtId="0" fontId="0" fillId="0" borderId="77" xfId="0" applyBorder="1"/>
    <xf numFmtId="0" fontId="0" fillId="0" borderId="78" xfId="0" applyBorder="1"/>
    <xf numFmtId="0" fontId="0" fillId="0" borderId="79" xfId="0" applyBorder="1"/>
    <xf numFmtId="0" fontId="7" fillId="0" borderId="80" xfId="0" applyFont="1" applyBorder="1" applyAlignment="1">
      <alignment horizontal="centerContinuous"/>
    </xf>
    <xf numFmtId="0" fontId="0" fillId="0" borderId="81" xfId="0" applyBorder="1"/>
    <xf numFmtId="0" fontId="15" fillId="0" borderId="80" xfId="0" applyFont="1" applyBorder="1"/>
    <xf numFmtId="0" fontId="6" fillId="0" borderId="0" xfId="0" applyFont="1" applyAlignment="1">
      <alignment horizontal="left" vertical="center" wrapText="1"/>
    </xf>
    <xf numFmtId="0" fontId="6" fillId="0" borderId="80" xfId="0" applyFont="1" applyBorder="1" applyAlignment="1">
      <alignment vertical="top"/>
    </xf>
    <xf numFmtId="0" fontId="6" fillId="0" borderId="80" xfId="0" applyFont="1" applyBorder="1"/>
    <xf numFmtId="0" fontId="0" fillId="0" borderId="80" xfId="0" applyBorder="1"/>
    <xf numFmtId="0" fontId="0" fillId="0" borderId="82" xfId="0" applyBorder="1"/>
    <xf numFmtId="0" fontId="0" fillId="0" borderId="83" xfId="0" applyBorder="1"/>
    <xf numFmtId="0" fontId="47" fillId="0" borderId="12" xfId="0" applyFont="1" applyBorder="1" applyAlignment="1">
      <alignment horizontal="left"/>
    </xf>
    <xf numFmtId="0" fontId="47" fillId="0" borderId="25" xfId="0" applyFont="1" applyBorder="1" applyAlignment="1">
      <alignment horizontal="left"/>
    </xf>
    <xf numFmtId="0" fontId="47" fillId="0" borderId="19" xfId="0" applyFont="1" applyBorder="1" applyAlignment="1">
      <alignment horizontal="left"/>
    </xf>
    <xf numFmtId="37" fontId="47" fillId="0" borderId="45" xfId="0" applyNumberFormat="1" applyFont="1" applyBorder="1"/>
    <xf numFmtId="37" fontId="47" fillId="0" borderId="37" xfId="0" applyNumberFormat="1" applyFont="1" applyBorder="1" applyProtection="1">
      <protection locked="0"/>
    </xf>
    <xf numFmtId="37" fontId="47" fillId="9" borderId="46" xfId="0" applyNumberFormat="1" applyFont="1" applyFill="1" applyBorder="1" applyProtection="1">
      <protection locked="0"/>
    </xf>
    <xf numFmtId="37" fontId="47" fillId="0" borderId="27" xfId="0" applyNumberFormat="1" applyFont="1" applyBorder="1" applyProtection="1">
      <protection locked="0"/>
    </xf>
    <xf numFmtId="5" fontId="47" fillId="0" borderId="37" xfId="0" applyNumberFormat="1" applyFont="1" applyBorder="1" applyProtection="1">
      <protection locked="0"/>
    </xf>
    <xf numFmtId="5" fontId="47" fillId="0" borderId="39" xfId="0" applyNumberFormat="1" applyFont="1" applyBorder="1" applyProtection="1">
      <protection locked="0"/>
    </xf>
    <xf numFmtId="5" fontId="47" fillId="0" borderId="27" xfId="0" applyNumberFormat="1" applyFont="1" applyBorder="1" applyProtection="1">
      <protection locked="0"/>
    </xf>
    <xf numFmtId="37" fontId="47" fillId="9" borderId="39" xfId="0" applyNumberFormat="1" applyFont="1" applyFill="1" applyBorder="1" applyProtection="1">
      <protection locked="0"/>
    </xf>
    <xf numFmtId="37" fontId="47" fillId="0" borderId="39" xfId="0" applyNumberFormat="1" applyFont="1" applyBorder="1" applyProtection="1">
      <protection locked="0"/>
    </xf>
    <xf numFmtId="37" fontId="47" fillId="0" borderId="39" xfId="0" applyNumberFormat="1" applyFont="1" applyBorder="1"/>
    <xf numFmtId="37" fontId="47" fillId="0" borderId="27" xfId="0" applyNumberFormat="1" applyFont="1" applyBorder="1"/>
    <xf numFmtId="37" fontId="47" fillId="18" borderId="36" xfId="0" applyNumberFormat="1" applyFont="1" applyFill="1" applyBorder="1"/>
    <xf numFmtId="37" fontId="47" fillId="18" borderId="29" xfId="0" applyNumberFormat="1" applyFont="1" applyFill="1" applyBorder="1"/>
    <xf numFmtId="37" fontId="47" fillId="19" borderId="46" xfId="0" applyNumberFormat="1" applyFont="1" applyFill="1" applyBorder="1"/>
    <xf numFmtId="37" fontId="47" fillId="18" borderId="26" xfId="0" applyNumberFormat="1" applyFont="1" applyFill="1" applyBorder="1"/>
    <xf numFmtId="37" fontId="47" fillId="18" borderId="27" xfId="0" applyNumberFormat="1" applyFont="1" applyFill="1" applyBorder="1"/>
    <xf numFmtId="37" fontId="47" fillId="9" borderId="25" xfId="0" applyNumberFormat="1" applyFont="1" applyFill="1" applyBorder="1" applyProtection="1">
      <protection locked="0"/>
    </xf>
    <xf numFmtId="37" fontId="47" fillId="0" borderId="28" xfId="0" applyNumberFormat="1" applyFont="1" applyBorder="1" applyProtection="1">
      <protection locked="0"/>
    </xf>
    <xf numFmtId="37" fontId="47" fillId="9" borderId="25" xfId="0" applyNumberFormat="1" applyFont="1" applyFill="1" applyBorder="1"/>
    <xf numFmtId="5" fontId="47" fillId="9" borderId="25" xfId="0" applyNumberFormat="1" applyFont="1" applyFill="1" applyBorder="1"/>
    <xf numFmtId="0" fontId="47" fillId="0" borderId="51" xfId="0" applyFont="1" applyBorder="1"/>
    <xf numFmtId="0" fontId="47" fillId="9" borderId="84" xfId="0" applyFont="1" applyFill="1" applyBorder="1"/>
    <xf numFmtId="0" fontId="38" fillId="0" borderId="0" xfId="0" applyFont="1" applyAlignment="1">
      <alignment horizontal="right"/>
    </xf>
    <xf numFmtId="0" fontId="16" fillId="27" borderId="0" xfId="0" applyFont="1" applyFill="1" applyAlignment="1">
      <alignment horizontal="centerContinuous"/>
    </xf>
    <xf numFmtId="5" fontId="47" fillId="0" borderId="27" xfId="0" applyNumberFormat="1" applyFont="1" applyBorder="1"/>
    <xf numFmtId="5" fontId="47" fillId="0" borderId="26" xfId="0" applyNumberFormat="1" applyFont="1" applyBorder="1"/>
    <xf numFmtId="37" fontId="47" fillId="9" borderId="39" xfId="0" applyNumberFormat="1" applyFont="1" applyFill="1" applyBorder="1"/>
    <xf numFmtId="5" fontId="47" fillId="9" borderId="39" xfId="0" applyNumberFormat="1" applyFont="1" applyFill="1" applyBorder="1"/>
    <xf numFmtId="0" fontId="6" fillId="0" borderId="19" xfId="0" applyFont="1" applyBorder="1" applyAlignment="1">
      <alignment horizontal="centerContinuous" wrapText="1"/>
    </xf>
    <xf numFmtId="0" fontId="60" fillId="9" borderId="14" xfId="0" applyFont="1" applyFill="1" applyBorder="1" applyAlignment="1">
      <alignment horizontal="left"/>
    </xf>
    <xf numFmtId="0" fontId="6" fillId="0" borderId="85" xfId="0" applyFont="1" applyBorder="1" applyAlignment="1">
      <alignment horizontal="center"/>
    </xf>
    <xf numFmtId="3" fontId="6" fillId="0" borderId="43" xfId="0" applyNumberFormat="1" applyFont="1" applyBorder="1"/>
    <xf numFmtId="3" fontId="6" fillId="0" borderId="41" xfId="0" applyNumberFormat="1" applyFont="1" applyBorder="1"/>
    <xf numFmtId="38" fontId="6" fillId="0" borderId="13" xfId="0" applyNumberFormat="1" applyFont="1" applyBorder="1"/>
    <xf numFmtId="38" fontId="6" fillId="0" borderId="48" xfId="0" applyNumberFormat="1" applyFont="1" applyBorder="1"/>
    <xf numFmtId="38" fontId="6" fillId="0" borderId="49" xfId="0" applyNumberFormat="1" applyFont="1" applyBorder="1"/>
    <xf numFmtId="38" fontId="6" fillId="0" borderId="23" xfId="0" applyNumberFormat="1" applyFont="1" applyBorder="1"/>
    <xf numFmtId="38" fontId="6" fillId="0" borderId="24" xfId="0" applyNumberFormat="1" applyFont="1" applyBorder="1"/>
    <xf numFmtId="38" fontId="6" fillId="0" borderId="0" xfId="0" applyNumberFormat="1" applyFont="1"/>
    <xf numFmtId="38" fontId="6" fillId="0" borderId="0" xfId="0" applyNumberFormat="1" applyFont="1" applyAlignment="1">
      <alignment horizontal="centerContinuous"/>
    </xf>
    <xf numFmtId="38" fontId="6" fillId="0" borderId="10" xfId="0" applyNumberFormat="1" applyFont="1" applyBorder="1"/>
    <xf numFmtId="38" fontId="6" fillId="0" borderId="11" xfId="0" applyNumberFormat="1" applyFont="1" applyBorder="1"/>
    <xf numFmtId="38" fontId="6" fillId="0" borderId="13" xfId="0" applyNumberFormat="1" applyFont="1" applyBorder="1" applyAlignment="1">
      <alignment horizontal="centerContinuous"/>
    </xf>
    <xf numFmtId="38" fontId="6" fillId="0" borderId="26" xfId="0" applyNumberFormat="1" applyFont="1" applyBorder="1"/>
    <xf numFmtId="38" fontId="6" fillId="0" borderId="29" xfId="0" applyNumberFormat="1" applyFont="1" applyBorder="1"/>
    <xf numFmtId="38" fontId="6" fillId="0" borderId="23" xfId="0" applyNumberFormat="1" applyFont="1" applyBorder="1" applyAlignment="1">
      <alignment horizontal="center"/>
    </xf>
    <xf numFmtId="38" fontId="6" fillId="0" borderId="27" xfId="0" applyNumberFormat="1" applyFont="1" applyBorder="1" applyAlignment="1">
      <alignment horizontal="center"/>
    </xf>
    <xf numFmtId="38" fontId="0" fillId="0" borderId="32" xfId="0" applyNumberFormat="1" applyBorder="1"/>
    <xf numFmtId="38" fontId="47" fillId="9" borderId="32" xfId="0" applyNumberFormat="1" applyFont="1" applyFill="1" applyBorder="1"/>
    <xf numFmtId="38" fontId="47" fillId="9" borderId="36" xfId="0" applyNumberFormat="1" applyFont="1" applyFill="1" applyBorder="1"/>
    <xf numFmtId="37" fontId="0" fillId="0" borderId="23" xfId="0" applyNumberFormat="1" applyBorder="1"/>
    <xf numFmtId="38" fontId="54" fillId="9" borderId="20" xfId="0" applyNumberFormat="1" applyFont="1" applyFill="1" applyBorder="1"/>
    <xf numFmtId="38" fontId="54" fillId="9" borderId="22" xfId="0" applyNumberFormat="1" applyFont="1" applyFill="1" applyBorder="1"/>
    <xf numFmtId="38" fontId="54" fillId="9" borderId="23" xfId="0" applyNumberFormat="1" applyFont="1" applyFill="1" applyBorder="1"/>
    <xf numFmtId="38" fontId="54" fillId="9" borderId="13" xfId="0" applyNumberFormat="1" applyFont="1" applyFill="1" applyBorder="1"/>
    <xf numFmtId="38" fontId="54" fillId="9" borderId="30" xfId="0" applyNumberFormat="1" applyFont="1" applyFill="1" applyBorder="1"/>
    <xf numFmtId="38" fontId="54" fillId="9" borderId="17" xfId="0" applyNumberFormat="1" applyFont="1" applyFill="1" applyBorder="1"/>
    <xf numFmtId="15" fontId="20" fillId="10" borderId="0" xfId="0" applyNumberFormat="1" applyFont="1" applyFill="1" applyProtection="1">
      <protection locked="0"/>
    </xf>
    <xf numFmtId="22" fontId="15" fillId="10" borderId="0" xfId="0" applyNumberFormat="1" applyFont="1" applyFill="1"/>
    <xf numFmtId="15" fontId="0" fillId="0" borderId="0" xfId="0" applyNumberFormat="1"/>
    <xf numFmtId="175" fontId="0" fillId="0" borderId="0" xfId="0" applyNumberFormat="1"/>
    <xf numFmtId="49" fontId="15" fillId="10" borderId="0" xfId="0" applyNumberFormat="1" applyFont="1" applyFill="1"/>
    <xf numFmtId="49" fontId="28" fillId="0" borderId="0" xfId="0" applyNumberFormat="1" applyFont="1" applyAlignment="1" applyProtection="1">
      <alignment horizontal="left"/>
      <protection locked="0"/>
    </xf>
    <xf numFmtId="175" fontId="28" fillId="9" borderId="0" xfId="0" applyNumberFormat="1" applyFont="1" applyFill="1" applyProtection="1">
      <protection locked="0"/>
    </xf>
    <xf numFmtId="175" fontId="28" fillId="9" borderId="0" xfId="0" applyNumberFormat="1" applyFont="1" applyFill="1" applyAlignment="1" applyProtection="1">
      <alignment horizontal="left"/>
      <protection locked="0"/>
    </xf>
    <xf numFmtId="14" fontId="6" fillId="0" borderId="32" xfId="0" applyNumberFormat="1" applyFont="1" applyBorder="1"/>
    <xf numFmtId="37" fontId="29" fillId="0" borderId="33" xfId="0" applyNumberFormat="1" applyFont="1" applyBorder="1" applyAlignment="1" applyProtection="1">
      <alignment horizontal="center"/>
      <protection locked="0"/>
    </xf>
    <xf numFmtId="3" fontId="47" fillId="0" borderId="28" xfId="0" applyNumberFormat="1" applyFont="1" applyBorder="1"/>
    <xf numFmtId="3" fontId="47" fillId="0" borderId="27" xfId="0" applyNumberFormat="1" applyFont="1" applyBorder="1"/>
    <xf numFmtId="37" fontId="6" fillId="0" borderId="0" xfId="0" applyNumberFormat="1" applyFont="1" applyAlignment="1">
      <alignment horizontal="center"/>
    </xf>
    <xf numFmtId="37" fontId="6" fillId="0" borderId="32" xfId="0" applyNumberFormat="1" applyFont="1" applyBorder="1" applyAlignment="1">
      <alignment horizontal="center"/>
    </xf>
    <xf numFmtId="39" fontId="6" fillId="0" borderId="13" xfId="0" applyNumberFormat="1" applyFont="1" applyBorder="1" applyAlignment="1">
      <alignment horizontal="center"/>
    </xf>
    <xf numFmtId="38" fontId="6" fillId="0" borderId="52" xfId="0" applyNumberFormat="1" applyFont="1" applyBorder="1"/>
    <xf numFmtId="38" fontId="6" fillId="0" borderId="33" xfId="0" applyNumberFormat="1" applyFont="1" applyBorder="1"/>
    <xf numFmtId="0" fontId="54" fillId="9" borderId="20" xfId="0" applyFont="1" applyFill="1" applyBorder="1" applyAlignment="1">
      <alignment horizontal="center"/>
    </xf>
    <xf numFmtId="171" fontId="54" fillId="9" borderId="23" xfId="0" applyNumberFormat="1" applyFont="1" applyFill="1" applyBorder="1"/>
    <xf numFmtId="173" fontId="54" fillId="9" borderId="23" xfId="0" applyNumberFormat="1" applyFont="1" applyFill="1" applyBorder="1" applyAlignment="1">
      <alignment horizontal="center"/>
    </xf>
    <xf numFmtId="0" fontId="54" fillId="9" borderId="27" xfId="0" applyFont="1" applyFill="1" applyBorder="1"/>
    <xf numFmtId="173" fontId="54" fillId="9" borderId="27" xfId="0" applyNumberFormat="1" applyFont="1" applyFill="1" applyBorder="1" applyAlignment="1">
      <alignment horizontal="center"/>
    </xf>
    <xf numFmtId="0" fontId="54" fillId="9" borderId="36" xfId="0" applyFont="1" applyFill="1" applyBorder="1" applyAlignment="1">
      <alignment horizontal="center"/>
    </xf>
    <xf numFmtId="0" fontId="54" fillId="9" borderId="27" xfId="0" applyFont="1" applyFill="1" applyBorder="1" applyAlignment="1">
      <alignment horizontal="center"/>
    </xf>
    <xf numFmtId="0" fontId="54" fillId="9" borderId="29" xfId="0" applyFont="1" applyFill="1" applyBorder="1" applyAlignment="1">
      <alignment horizontal="center"/>
    </xf>
    <xf numFmtId="169" fontId="54" fillId="9" borderId="23" xfId="0" applyNumberFormat="1" applyFont="1" applyFill="1" applyBorder="1" applyAlignment="1">
      <alignment horizontal="center"/>
    </xf>
    <xf numFmtId="172" fontId="54" fillId="9" borderId="23" xfId="0" applyNumberFormat="1" applyFont="1" applyFill="1" applyBorder="1"/>
    <xf numFmtId="176" fontId="54" fillId="9" borderId="23" xfId="0" applyNumberFormat="1" applyFont="1" applyFill="1" applyBorder="1" applyAlignment="1">
      <alignment horizontal="center"/>
    </xf>
    <xf numFmtId="0" fontId="42" fillId="9" borderId="85" xfId="0" applyFont="1" applyFill="1" applyBorder="1"/>
    <xf numFmtId="0" fontId="42" fillId="9" borderId="86" xfId="0" applyFont="1" applyFill="1" applyBorder="1"/>
    <xf numFmtId="0" fontId="38" fillId="0" borderId="73" xfId="0" applyFont="1" applyBorder="1"/>
    <xf numFmtId="173" fontId="42" fillId="9" borderId="86" xfId="0" applyNumberFormat="1" applyFont="1" applyFill="1" applyBorder="1"/>
    <xf numFmtId="0" fontId="42" fillId="9" borderId="87" xfId="0" applyFont="1" applyFill="1" applyBorder="1" applyAlignment="1">
      <alignment horizontal="centerContinuous"/>
    </xf>
    <xf numFmtId="0" fontId="42" fillId="9" borderId="88" xfId="0" applyFont="1" applyFill="1" applyBorder="1" applyAlignment="1">
      <alignment horizontal="centerContinuous"/>
    </xf>
    <xf numFmtId="0" fontId="42" fillId="9" borderId="89" xfId="0" applyFont="1" applyFill="1" applyBorder="1" applyAlignment="1">
      <alignment vertical="center"/>
    </xf>
    <xf numFmtId="0" fontId="42" fillId="9" borderId="38" xfId="0" applyFont="1" applyFill="1" applyBorder="1" applyAlignment="1">
      <alignment horizontal="center"/>
    </xf>
    <xf numFmtId="0" fontId="42" fillId="9" borderId="23" xfId="0" applyFont="1" applyFill="1" applyBorder="1" applyAlignment="1">
      <alignment horizontal="center"/>
    </xf>
    <xf numFmtId="0" fontId="38" fillId="0" borderId="23" xfId="0" applyFont="1" applyBorder="1" applyAlignment="1">
      <alignment horizontal="center"/>
    </xf>
    <xf numFmtId="173" fontId="42" fillId="9" borderId="23" xfId="0" applyNumberFormat="1" applyFont="1" applyFill="1" applyBorder="1" applyAlignment="1">
      <alignment horizontal="center"/>
    </xf>
    <xf numFmtId="0" fontId="42" fillId="9" borderId="26" xfId="0" applyFont="1" applyFill="1" applyBorder="1" applyAlignment="1">
      <alignment horizontal="centerContinuous"/>
    </xf>
    <xf numFmtId="0" fontId="42" fillId="9" borderId="27" xfId="0" applyFont="1" applyFill="1" applyBorder="1" applyAlignment="1">
      <alignment horizontal="centerContinuous"/>
    </xf>
    <xf numFmtId="0" fontId="42" fillId="9" borderId="90" xfId="0" applyFont="1" applyFill="1" applyBorder="1" applyAlignment="1">
      <alignment horizontal="center"/>
    </xf>
    <xf numFmtId="0" fontId="42" fillId="9" borderId="24" xfId="0" applyFont="1" applyFill="1" applyBorder="1" applyAlignment="1">
      <alignment horizontal="center"/>
    </xf>
    <xf numFmtId="173" fontId="42" fillId="9" borderId="24" xfId="0" applyNumberFormat="1" applyFont="1" applyFill="1" applyBorder="1" applyAlignment="1">
      <alignment horizontal="center"/>
    </xf>
    <xf numFmtId="0" fontId="42" fillId="9" borderId="24" xfId="0" applyFont="1" applyFill="1" applyBorder="1"/>
    <xf numFmtId="0" fontId="42" fillId="9" borderId="38" xfId="0" applyFont="1" applyFill="1" applyBorder="1"/>
    <xf numFmtId="0" fontId="42" fillId="9" borderId="90" xfId="0" applyFont="1" applyFill="1" applyBorder="1" applyAlignment="1">
      <alignment horizontal="center" vertical="center"/>
    </xf>
    <xf numFmtId="0" fontId="42" fillId="9" borderId="28" xfId="0" applyFont="1" applyFill="1" applyBorder="1"/>
    <xf numFmtId="0" fontId="0" fillId="0" borderId="0" xfId="0" quotePrefix="1" applyAlignment="1">
      <alignment horizontal="left"/>
    </xf>
    <xf numFmtId="0" fontId="42" fillId="9" borderId="24" xfId="0" applyFont="1" applyFill="1" applyBorder="1" applyAlignment="1">
      <alignment horizontal="center" vertical="center"/>
    </xf>
    <xf numFmtId="173" fontId="42" fillId="9" borderId="24" xfId="0" applyNumberFormat="1" applyFont="1" applyFill="1" applyBorder="1" applyAlignment="1">
      <alignment horizontal="center" vertical="center"/>
    </xf>
    <xf numFmtId="171" fontId="42" fillId="9" borderId="24" xfId="0" applyNumberFormat="1" applyFont="1" applyFill="1" applyBorder="1"/>
    <xf numFmtId="0" fontId="42" fillId="9" borderId="28" xfId="0" applyFont="1" applyFill="1" applyBorder="1" applyAlignment="1">
      <alignment horizontal="center"/>
    </xf>
    <xf numFmtId="0" fontId="42" fillId="9" borderId="24" xfId="0" applyFont="1" applyFill="1" applyBorder="1" applyAlignment="1">
      <alignment horizontal="left" vertical="center"/>
    </xf>
    <xf numFmtId="0" fontId="42" fillId="9" borderId="38" xfId="0" applyFont="1" applyFill="1" applyBorder="1" applyAlignment="1">
      <alignment horizontal="center" vertical="center"/>
    </xf>
    <xf numFmtId="0" fontId="38" fillId="0" borderId="38" xfId="0" applyFont="1" applyBorder="1" applyAlignment="1">
      <alignment horizontal="center" vertical="center"/>
    </xf>
    <xf numFmtId="0" fontId="38" fillId="0" borderId="24" xfId="0" applyFont="1" applyBorder="1" applyAlignment="1">
      <alignment horizontal="center" vertical="center"/>
    </xf>
    <xf numFmtId="173" fontId="38" fillId="0" borderId="24" xfId="0" applyNumberFormat="1" applyFont="1" applyBorder="1" applyAlignment="1">
      <alignment horizontal="center" vertical="center"/>
    </xf>
    <xf numFmtId="0" fontId="38" fillId="0" borderId="24" xfId="0" applyFont="1" applyBorder="1" applyAlignment="1">
      <alignment horizontal="left" vertical="center"/>
    </xf>
    <xf numFmtId="1" fontId="42" fillId="9" borderId="90" xfId="0" applyNumberFormat="1" applyFont="1" applyFill="1" applyBorder="1" applyAlignment="1">
      <alignment horizontal="center" vertical="center"/>
    </xf>
    <xf numFmtId="0" fontId="42" fillId="9" borderId="28" xfId="0" applyFont="1" applyFill="1" applyBorder="1" applyAlignment="1">
      <alignment horizontal="center" vertical="center"/>
    </xf>
    <xf numFmtId="0" fontId="0" fillId="0" borderId="24" xfId="0" applyBorder="1" applyAlignment="1">
      <alignment horizontal="center" vertical="center"/>
    </xf>
    <xf numFmtId="0" fontId="42" fillId="9" borderId="40" xfId="0" applyFont="1" applyFill="1" applyBorder="1" applyAlignment="1">
      <alignment horizontal="center"/>
    </xf>
    <xf numFmtId="0" fontId="42" fillId="9" borderId="31" xfId="0" applyFont="1" applyFill="1" applyBorder="1" applyAlignment="1">
      <alignment horizontal="left" vertical="center"/>
    </xf>
    <xf numFmtId="0" fontId="42" fillId="9" borderId="31" xfId="0" applyFont="1" applyFill="1" applyBorder="1" applyAlignment="1">
      <alignment horizontal="center" vertical="center"/>
    </xf>
    <xf numFmtId="173" fontId="42" fillId="9" borderId="31" xfId="0" applyNumberFormat="1" applyFont="1" applyFill="1" applyBorder="1" applyAlignment="1">
      <alignment horizontal="center" vertical="center"/>
    </xf>
    <xf numFmtId="0" fontId="42" fillId="9" borderId="31" xfId="0" applyFont="1" applyFill="1" applyBorder="1"/>
    <xf numFmtId="0" fontId="42" fillId="9" borderId="12" xfId="0" applyFont="1" applyFill="1" applyBorder="1" applyAlignment="1">
      <alignment horizontal="center"/>
    </xf>
    <xf numFmtId="0" fontId="42" fillId="9" borderId="0" xfId="0" applyFont="1" applyFill="1" applyAlignment="1">
      <alignment horizontal="center" vertical="center"/>
    </xf>
    <xf numFmtId="173" fontId="42" fillId="9" borderId="0" xfId="0" applyNumberFormat="1" applyFont="1" applyFill="1" applyAlignment="1">
      <alignment horizontal="center" vertical="center"/>
    </xf>
    <xf numFmtId="0" fontId="42" fillId="9" borderId="0" xfId="0" applyFont="1" applyFill="1"/>
    <xf numFmtId="0" fontId="42" fillId="9" borderId="13" xfId="0" applyFont="1" applyFill="1" applyBorder="1" applyAlignment="1">
      <alignment horizontal="center" vertical="center"/>
    </xf>
    <xf numFmtId="0" fontId="73" fillId="9" borderId="0" xfId="0" quotePrefix="1" applyFont="1" applyFill="1" applyAlignment="1">
      <alignment horizontal="left" vertical="center"/>
    </xf>
    <xf numFmtId="0" fontId="73" fillId="9" borderId="0" xfId="0" applyFont="1" applyFill="1" applyAlignment="1">
      <alignment horizontal="left" vertical="center"/>
    </xf>
    <xf numFmtId="0" fontId="0" fillId="0" borderId="13" xfId="0" applyBorder="1" applyAlignment="1">
      <alignment vertical="center"/>
    </xf>
    <xf numFmtId="0" fontId="42" fillId="9" borderId="16" xfId="0" applyFont="1" applyFill="1" applyBorder="1" applyAlignment="1">
      <alignment horizontal="center"/>
    </xf>
    <xf numFmtId="0" fontId="73" fillId="9" borderId="14" xfId="0" applyFont="1" applyFill="1" applyBorder="1" applyAlignment="1">
      <alignment horizontal="left" vertical="center"/>
    </xf>
    <xf numFmtId="173" fontId="0" fillId="0" borderId="14" xfId="0" applyNumberFormat="1" applyBorder="1"/>
    <xf numFmtId="0" fontId="0" fillId="0" borderId="17" xfId="0" applyBorder="1" applyAlignment="1">
      <alignment vertical="center"/>
    </xf>
    <xf numFmtId="0" fontId="42" fillId="9" borderId="0" xfId="0" quotePrefix="1" applyFont="1" applyFill="1" applyAlignment="1">
      <alignment horizontal="left"/>
    </xf>
    <xf numFmtId="0" fontId="42" fillId="9" borderId="0" xfId="0" applyFont="1" applyFill="1" applyAlignment="1">
      <alignment horizontal="centerContinuous"/>
    </xf>
    <xf numFmtId="173" fontId="42" fillId="9" borderId="0" xfId="0" applyNumberFormat="1" applyFont="1" applyFill="1" applyAlignment="1">
      <alignment horizontal="centerContinuous"/>
    </xf>
    <xf numFmtId="0" fontId="38" fillId="0" borderId="0" xfId="0" applyFont="1" applyAlignment="1">
      <alignment horizontal="centerContinuous"/>
    </xf>
    <xf numFmtId="0" fontId="38" fillId="0" borderId="0" xfId="0" applyFont="1" applyAlignment="1">
      <alignment horizontal="centerContinuous" vertical="center"/>
    </xf>
    <xf numFmtId="0" fontId="42" fillId="9" borderId="85" xfId="0" applyFont="1" applyFill="1" applyBorder="1" applyAlignment="1">
      <alignment vertical="center"/>
    </xf>
    <xf numFmtId="0" fontId="42" fillId="9" borderId="86" xfId="0" applyFont="1" applyFill="1" applyBorder="1" applyAlignment="1">
      <alignment vertical="center"/>
    </xf>
    <xf numFmtId="0" fontId="38" fillId="0" borderId="73" xfId="0" applyFont="1" applyBorder="1" applyAlignment="1">
      <alignment vertical="center"/>
    </xf>
    <xf numFmtId="0" fontId="42" fillId="9" borderId="87" xfId="0" applyFont="1" applyFill="1" applyBorder="1" applyAlignment="1">
      <alignment horizontal="centerContinuous" vertical="center"/>
    </xf>
    <xf numFmtId="0" fontId="42" fillId="9" borderId="91" xfId="0" applyFont="1" applyFill="1" applyBorder="1" applyAlignment="1">
      <alignment vertical="center"/>
    </xf>
    <xf numFmtId="0" fontId="42" fillId="9" borderId="23" xfId="0" applyFont="1" applyFill="1" applyBorder="1" applyAlignment="1">
      <alignment horizontal="center" vertical="center"/>
    </xf>
    <xf numFmtId="0" fontId="38" fillId="0" borderId="23" xfId="0" applyFont="1" applyBorder="1" applyAlignment="1">
      <alignment horizontal="center" vertical="center"/>
    </xf>
    <xf numFmtId="0" fontId="42" fillId="9" borderId="26" xfId="0" applyFont="1" applyFill="1" applyBorder="1" applyAlignment="1">
      <alignment horizontal="centerContinuous" vertical="center"/>
    </xf>
    <xf numFmtId="0" fontId="42" fillId="9" borderId="27" xfId="0" applyFont="1" applyFill="1" applyBorder="1" applyAlignment="1">
      <alignment horizontal="centerContinuous" vertical="center"/>
    </xf>
    <xf numFmtId="0" fontId="42" fillId="9" borderId="33" xfId="0" applyFont="1" applyFill="1" applyBorder="1" applyAlignment="1">
      <alignment horizontal="center" vertical="center"/>
    </xf>
    <xf numFmtId="0" fontId="42" fillId="9" borderId="23" xfId="0" applyFont="1" applyFill="1" applyBorder="1" applyAlignment="1">
      <alignment vertical="center"/>
    </xf>
    <xf numFmtId="0" fontId="42" fillId="9" borderId="38" xfId="0" applyFont="1" applyFill="1" applyBorder="1" applyAlignment="1">
      <alignment vertical="center"/>
    </xf>
    <xf numFmtId="0" fontId="42" fillId="9" borderId="27" xfId="0" applyFont="1" applyFill="1" applyBorder="1" applyAlignment="1">
      <alignment horizontal="center" vertical="center"/>
    </xf>
    <xf numFmtId="0" fontId="0" fillId="0" borderId="24" xfId="0" applyBorder="1" applyAlignment="1">
      <alignment vertical="center"/>
    </xf>
    <xf numFmtId="0" fontId="42" fillId="9" borderId="24" xfId="0" applyFont="1" applyFill="1" applyBorder="1" applyAlignment="1">
      <alignment vertical="center"/>
    </xf>
    <xf numFmtId="37" fontId="42" fillId="9" borderId="24" xfId="0" applyNumberFormat="1" applyFont="1" applyFill="1" applyBorder="1" applyAlignment="1">
      <alignment horizontal="center" vertical="center"/>
    </xf>
    <xf numFmtId="37" fontId="42" fillId="9" borderId="33" xfId="0" applyNumberFormat="1" applyFont="1" applyFill="1" applyBorder="1" applyAlignment="1">
      <alignment horizontal="center" vertical="center"/>
    </xf>
    <xf numFmtId="0" fontId="38" fillId="0" borderId="28" xfId="0" applyFont="1" applyBorder="1" applyAlignment="1">
      <alignment horizontal="center" vertical="center"/>
    </xf>
    <xf numFmtId="0" fontId="0" fillId="0" borderId="32" xfId="0" applyBorder="1" applyAlignment="1">
      <alignment horizontal="center" vertical="center"/>
    </xf>
    <xf numFmtId="0" fontId="42" fillId="9" borderId="16" xfId="0" applyFont="1" applyFill="1" applyBorder="1" applyAlignment="1">
      <alignment horizontal="center" vertical="center"/>
    </xf>
    <xf numFmtId="0" fontId="38" fillId="0" borderId="31" xfId="0" applyFont="1" applyBorder="1" applyAlignment="1">
      <alignment horizontal="center" vertical="center"/>
    </xf>
    <xf numFmtId="0" fontId="42" fillId="9" borderId="12" xfId="0" applyFont="1" applyFill="1" applyBorder="1" applyAlignment="1">
      <alignment horizontal="center" vertical="center"/>
    </xf>
    <xf numFmtId="0" fontId="42" fillId="9" borderId="0" xfId="0" applyFont="1" applyFill="1" applyAlignment="1">
      <alignment horizontal="left" vertical="center"/>
    </xf>
    <xf numFmtId="0" fontId="38" fillId="0" borderId="0" xfId="0" applyFont="1" applyAlignment="1">
      <alignment horizontal="center" vertical="center"/>
    </xf>
    <xf numFmtId="0" fontId="0" fillId="0" borderId="0" xfId="0" applyAlignment="1">
      <alignment horizontal="center" vertical="center"/>
    </xf>
    <xf numFmtId="0" fontId="42" fillId="9" borderId="0" xfId="0" applyFont="1" applyFill="1" applyAlignment="1">
      <alignment vertical="center"/>
    </xf>
    <xf numFmtId="0" fontId="0" fillId="0" borderId="16" xfId="0" applyBorder="1" applyAlignment="1">
      <alignment vertical="center"/>
    </xf>
    <xf numFmtId="0" fontId="0" fillId="0" borderId="14" xfId="0" applyBorder="1" applyAlignment="1">
      <alignment vertical="center"/>
    </xf>
    <xf numFmtId="0" fontId="42" fillId="9" borderId="0" xfId="0" quotePrefix="1" applyFont="1" applyFill="1" applyAlignment="1">
      <alignment horizontal="left" vertical="center"/>
    </xf>
    <xf numFmtId="0" fontId="42" fillId="9" borderId="0" xfId="0" applyFont="1" applyFill="1" applyAlignment="1">
      <alignment horizontal="centerContinuous" vertical="center"/>
    </xf>
    <xf numFmtId="0" fontId="0" fillId="0" borderId="85" xfId="0" applyBorder="1"/>
    <xf numFmtId="0" fontId="0" fillId="0" borderId="73" xfId="0" applyBorder="1"/>
    <xf numFmtId="0" fontId="0" fillId="0" borderId="73" xfId="0" applyBorder="1" applyAlignment="1">
      <alignment horizontal="center" vertical="center"/>
    </xf>
    <xf numFmtId="0" fontId="0" fillId="9" borderId="91" xfId="0" applyFill="1" applyBorder="1" applyAlignment="1">
      <alignment horizontal="center" vertical="center"/>
    </xf>
    <xf numFmtId="0" fontId="54" fillId="9" borderId="24" xfId="0" applyFont="1" applyFill="1" applyBorder="1" applyAlignment="1">
      <alignment horizontal="center" vertical="center"/>
    </xf>
    <xf numFmtId="0" fontId="54" fillId="9" borderId="33" xfId="0" applyFont="1" applyFill="1" applyBorder="1" applyAlignment="1">
      <alignment horizontal="center" vertical="center"/>
    </xf>
    <xf numFmtId="0" fontId="54" fillId="9" borderId="27" xfId="0" applyFont="1" applyFill="1" applyBorder="1" applyAlignment="1">
      <alignment horizontal="center" vertical="center"/>
    </xf>
    <xf numFmtId="0" fontId="54" fillId="9" borderId="28" xfId="0" applyFont="1" applyFill="1" applyBorder="1" applyAlignment="1">
      <alignment horizontal="center" vertical="center"/>
    </xf>
    <xf numFmtId="0" fontId="0" fillId="0" borderId="28" xfId="0" applyBorder="1" applyAlignment="1">
      <alignment horizontal="center" vertical="center"/>
    </xf>
    <xf numFmtId="0" fontId="54" fillId="9" borderId="37" xfId="0" applyFont="1" applyFill="1" applyBorder="1" applyAlignment="1">
      <alignment horizontal="center" vertical="center"/>
    </xf>
    <xf numFmtId="0" fontId="54" fillId="9" borderId="23" xfId="0" applyFont="1" applyFill="1" applyBorder="1" applyAlignment="1">
      <alignment horizontal="center" vertical="center"/>
    </xf>
    <xf numFmtId="0" fontId="54" fillId="9" borderId="39" xfId="0" applyFont="1" applyFill="1" applyBorder="1" applyAlignment="1">
      <alignment horizontal="center"/>
    </xf>
    <xf numFmtId="0" fontId="54" fillId="9" borderId="37" xfId="0" applyFont="1" applyFill="1" applyBorder="1" applyAlignment="1">
      <alignment horizontal="center"/>
    </xf>
    <xf numFmtId="7" fontId="54" fillId="9" borderId="38" xfId="0" applyNumberFormat="1" applyFont="1" applyFill="1" applyBorder="1" applyAlignment="1">
      <alignment horizontal="center"/>
    </xf>
    <xf numFmtId="7" fontId="54" fillId="9" borderId="23" xfId="0" applyNumberFormat="1" applyFont="1" applyFill="1" applyBorder="1"/>
    <xf numFmtId="0" fontId="54" fillId="9" borderId="0" xfId="0" quotePrefix="1" applyFont="1" applyFill="1" applyAlignment="1">
      <alignment horizontal="left"/>
    </xf>
    <xf numFmtId="0" fontId="0" fillId="9" borderId="73" xfId="0" applyFill="1" applyBorder="1" applyAlignment="1">
      <alignment horizontal="center" vertical="center"/>
    </xf>
    <xf numFmtId="0" fontId="0" fillId="0" borderId="91" xfId="0" applyBorder="1" applyAlignment="1">
      <alignment horizontal="center" vertical="center"/>
    </xf>
    <xf numFmtId="0" fontId="0" fillId="9" borderId="24" xfId="0" applyFill="1" applyBorder="1" applyAlignment="1">
      <alignment horizontal="center" vertical="center"/>
    </xf>
    <xf numFmtId="0" fontId="0" fillId="0" borderId="33" xfId="0" applyBorder="1" applyAlignment="1">
      <alignment horizontal="center" vertical="center"/>
    </xf>
    <xf numFmtId="0" fontId="0" fillId="9" borderId="28" xfId="0" applyFill="1" applyBorder="1" applyAlignment="1">
      <alignment horizontal="center" vertical="center"/>
    </xf>
    <xf numFmtId="0" fontId="0" fillId="0" borderId="37" xfId="0" applyBorder="1" applyAlignment="1">
      <alignment horizontal="center" vertical="center"/>
    </xf>
    <xf numFmtId="16" fontId="54" fillId="9" borderId="38" xfId="0" quotePrefix="1" applyNumberFormat="1" applyFont="1" applyFill="1" applyBorder="1" applyAlignment="1">
      <alignment horizontal="center"/>
    </xf>
    <xf numFmtId="7" fontId="54" fillId="9" borderId="40" xfId="0" applyNumberFormat="1" applyFont="1" applyFill="1" applyBorder="1" applyAlignment="1">
      <alignment horizontal="center"/>
    </xf>
    <xf numFmtId="0" fontId="54" fillId="9" borderId="29" xfId="0" applyFont="1" applyFill="1" applyBorder="1" applyAlignment="1">
      <alignment horizontal="center" vertical="center"/>
    </xf>
    <xf numFmtId="0" fontId="0" fillId="9" borderId="85" xfId="0" applyFill="1" applyBorder="1"/>
    <xf numFmtId="0" fontId="0" fillId="9" borderId="73" xfId="0" applyFill="1" applyBorder="1"/>
    <xf numFmtId="0" fontId="0" fillId="9" borderId="24" xfId="0" applyFill="1" applyBorder="1"/>
    <xf numFmtId="7" fontId="54" fillId="9" borderId="0" xfId="0" applyNumberFormat="1" applyFont="1" applyFill="1" applyAlignment="1">
      <alignment horizontal="center"/>
    </xf>
    <xf numFmtId="0" fontId="54" fillId="9" borderId="13" xfId="0" applyFont="1" applyFill="1" applyBorder="1" applyAlignment="1">
      <alignment horizontal="center" vertical="center"/>
    </xf>
    <xf numFmtId="0" fontId="0" fillId="0" borderId="74" xfId="0" applyBorder="1" applyAlignment="1">
      <alignment horizontal="center" vertical="center"/>
    </xf>
    <xf numFmtId="0" fontId="54" fillId="9" borderId="32" xfId="0" applyFont="1" applyFill="1" applyBorder="1" applyAlignment="1">
      <alignment horizontal="center" vertical="center"/>
    </xf>
    <xf numFmtId="0" fontId="54" fillId="9" borderId="92" xfId="0" applyFont="1" applyFill="1" applyBorder="1" applyAlignment="1">
      <alignment horizontal="center" vertical="center"/>
    </xf>
    <xf numFmtId="0" fontId="54" fillId="9" borderId="93" xfId="0" applyFont="1" applyFill="1" applyBorder="1" applyAlignment="1">
      <alignment horizontal="center"/>
    </xf>
    <xf numFmtId="0" fontId="54" fillId="9" borderId="92" xfId="0" applyFont="1" applyFill="1" applyBorder="1" applyAlignment="1">
      <alignment horizontal="center"/>
    </xf>
    <xf numFmtId="0" fontId="54" fillId="9" borderId="29" xfId="0" quotePrefix="1" applyFont="1" applyFill="1" applyBorder="1" applyAlignment="1">
      <alignment horizontal="center"/>
    </xf>
    <xf numFmtId="0" fontId="48" fillId="9" borderId="23" xfId="0" applyFont="1" applyFill="1" applyBorder="1"/>
    <xf numFmtId="0" fontId="48" fillId="9" borderId="23" xfId="0" quotePrefix="1" applyFont="1" applyFill="1" applyBorder="1" applyAlignment="1">
      <alignment horizontal="left"/>
    </xf>
    <xf numFmtId="37" fontId="0" fillId="0" borderId="32" xfId="0" applyNumberFormat="1" applyBorder="1" applyAlignment="1">
      <alignment horizontal="center" vertical="center"/>
    </xf>
    <xf numFmtId="0" fontId="42" fillId="9" borderId="80" xfId="0" applyFont="1" applyFill="1" applyBorder="1" applyAlignment="1">
      <alignment horizontal="center"/>
    </xf>
    <xf numFmtId="0" fontId="42" fillId="9" borderId="81" xfId="0" applyFont="1" applyFill="1" applyBorder="1" applyAlignment="1">
      <alignment horizontal="center"/>
    </xf>
    <xf numFmtId="0" fontId="3" fillId="0" borderId="0" xfId="0" applyFont="1"/>
    <xf numFmtId="0" fontId="42" fillId="9" borderId="83" xfId="0" applyFont="1" applyFill="1" applyBorder="1" applyAlignment="1">
      <alignment horizontal="centerContinuous" vertical="center"/>
    </xf>
    <xf numFmtId="0" fontId="3" fillId="0" borderId="0" xfId="0" applyFont="1" applyAlignment="1">
      <alignment horizontal="centerContinuous"/>
    </xf>
    <xf numFmtId="0" fontId="3" fillId="0" borderId="0" xfId="0" applyFont="1" applyAlignment="1">
      <alignment horizontal="center" vertical="center"/>
    </xf>
    <xf numFmtId="0" fontId="3" fillId="0" borderId="0" xfId="0" applyFont="1" applyAlignment="1">
      <alignment horizontal="centerContinuous" vertical="center"/>
    </xf>
    <xf numFmtId="0" fontId="54" fillId="9" borderId="0" xfId="0" applyFont="1" applyFill="1" applyAlignment="1">
      <alignment horizontal="center" vertical="center"/>
    </xf>
    <xf numFmtId="0" fontId="42" fillId="9" borderId="77" xfId="0" applyFont="1" applyFill="1" applyBorder="1" applyAlignment="1">
      <alignment horizontal="center"/>
    </xf>
    <xf numFmtId="0" fontId="42" fillId="9" borderId="99" xfId="0" applyFont="1" applyFill="1" applyBorder="1" applyAlignment="1">
      <alignment horizontal="center"/>
    </xf>
    <xf numFmtId="0" fontId="42" fillId="9" borderId="79" xfId="0" applyFont="1" applyFill="1" applyBorder="1" applyAlignment="1">
      <alignment horizontal="center"/>
    </xf>
    <xf numFmtId="0" fontId="42" fillId="9" borderId="98" xfId="0" applyFont="1" applyFill="1" applyBorder="1" applyAlignment="1">
      <alignment horizontal="center"/>
    </xf>
    <xf numFmtId="0" fontId="42" fillId="9" borderId="100" xfId="0" applyFont="1" applyFill="1" applyBorder="1" applyAlignment="1">
      <alignment horizontal="center"/>
    </xf>
    <xf numFmtId="0" fontId="42" fillId="9" borderId="99" xfId="0" quotePrefix="1" applyFont="1" applyFill="1" applyBorder="1" applyAlignment="1">
      <alignment horizontal="center"/>
    </xf>
    <xf numFmtId="0" fontId="42" fillId="9" borderId="99" xfId="0" applyFont="1" applyFill="1" applyBorder="1"/>
    <xf numFmtId="0" fontId="42" fillId="9" borderId="20" xfId="0" applyFont="1" applyFill="1" applyBorder="1" applyAlignment="1">
      <alignment horizontal="center" vertical="center"/>
    </xf>
    <xf numFmtId="0" fontId="42" fillId="9" borderId="20" xfId="0" applyFont="1" applyFill="1" applyBorder="1" applyAlignment="1">
      <alignment horizontal="left" vertical="center"/>
    </xf>
    <xf numFmtId="0" fontId="42" fillId="9" borderId="22" xfId="0" applyFont="1" applyFill="1" applyBorder="1" applyAlignment="1">
      <alignment horizontal="center" vertical="center"/>
    </xf>
    <xf numFmtId="172" fontId="42" fillId="9" borderId="23" xfId="0" applyNumberFormat="1" applyFont="1" applyFill="1" applyBorder="1" applyAlignment="1">
      <alignment horizontal="center" vertical="center"/>
    </xf>
    <xf numFmtId="0" fontId="42" fillId="9" borderId="23" xfId="0" applyFont="1" applyFill="1" applyBorder="1" applyAlignment="1">
      <alignment horizontal="left" vertical="center"/>
    </xf>
    <xf numFmtId="37" fontId="42" fillId="9" borderId="23" xfId="0" applyNumberFormat="1" applyFont="1" applyFill="1" applyBorder="1" applyAlignment="1">
      <alignment horizontal="center" vertical="center"/>
    </xf>
    <xf numFmtId="0" fontId="42" fillId="9" borderId="23" xfId="0" quotePrefix="1" applyFont="1" applyFill="1" applyBorder="1" applyAlignment="1">
      <alignment horizontal="center" vertical="center"/>
    </xf>
    <xf numFmtId="0" fontId="49" fillId="9" borderId="23" xfId="0" applyFont="1" applyFill="1" applyBorder="1" applyAlignment="1">
      <alignment horizontal="centerContinuous"/>
    </xf>
    <xf numFmtId="0" fontId="42" fillId="9" borderId="101" xfId="0" applyFont="1" applyFill="1" applyBorder="1" applyAlignment="1">
      <alignment horizontal="center"/>
    </xf>
    <xf numFmtId="0" fontId="3" fillId="0" borderId="102" xfId="0" applyFont="1" applyBorder="1" applyAlignment="1">
      <alignment horizontal="center"/>
    </xf>
    <xf numFmtId="0" fontId="38" fillId="0" borderId="102" xfId="0" applyFont="1" applyBorder="1" applyAlignment="1">
      <alignment horizontal="centerContinuous"/>
    </xf>
    <xf numFmtId="0" fontId="3" fillId="0" borderId="99" xfId="0" applyFont="1" applyBorder="1"/>
    <xf numFmtId="0" fontId="3" fillId="0" borderId="79" xfId="0" applyFont="1" applyBorder="1"/>
    <xf numFmtId="0" fontId="42" fillId="9" borderId="103" xfId="0" applyFont="1" applyFill="1" applyBorder="1" applyAlignment="1">
      <alignment horizontal="center"/>
    </xf>
    <xf numFmtId="0" fontId="42" fillId="9" borderId="105" xfId="0" applyFont="1" applyFill="1" applyBorder="1" applyAlignment="1">
      <alignment horizontal="left"/>
    </xf>
    <xf numFmtId="0" fontId="42" fillId="9" borderId="103" xfId="0" applyFont="1" applyFill="1" applyBorder="1" applyAlignment="1">
      <alignment horizontal="left"/>
    </xf>
    <xf numFmtId="0" fontId="3" fillId="0" borderId="103" xfId="0" applyFont="1" applyBorder="1"/>
    <xf numFmtId="0" fontId="42" fillId="9" borderId="105" xfId="0" applyFont="1" applyFill="1" applyBorder="1"/>
    <xf numFmtId="0" fontId="42" fillId="9" borderId="103" xfId="0" applyFont="1" applyFill="1" applyBorder="1" applyAlignment="1">
      <alignment horizontal="left" vertical="center"/>
    </xf>
    <xf numFmtId="0" fontId="42" fillId="9" borderId="103" xfId="0" applyFont="1" applyFill="1" applyBorder="1"/>
    <xf numFmtId="0" fontId="43" fillId="9" borderId="107" xfId="0" applyFont="1" applyFill="1" applyBorder="1"/>
    <xf numFmtId="37" fontId="42" fillId="9" borderId="109" xfId="0" applyNumberFormat="1" applyFont="1" applyFill="1" applyBorder="1"/>
    <xf numFmtId="0" fontId="75" fillId="0" borderId="0" xfId="0" applyFont="1" applyAlignment="1">
      <alignment horizontal="right"/>
    </xf>
    <xf numFmtId="0" fontId="75" fillId="0" borderId="0" xfId="0" applyFont="1"/>
    <xf numFmtId="37" fontId="75" fillId="0" borderId="0" xfId="0" applyNumberFormat="1" applyFont="1"/>
    <xf numFmtId="0" fontId="42" fillId="9" borderId="44" xfId="0" applyFont="1" applyFill="1" applyBorder="1"/>
    <xf numFmtId="0" fontId="42" fillId="9" borderId="103" xfId="0" applyFont="1" applyFill="1" applyBorder="1" applyAlignment="1">
      <alignment horizontal="centerContinuous" vertical="center"/>
    </xf>
    <xf numFmtId="37" fontId="0" fillId="0" borderId="93" xfId="0" applyNumberFormat="1" applyBorder="1"/>
    <xf numFmtId="37" fontId="0" fillId="0" borderId="24" xfId="0" applyNumberFormat="1" applyBorder="1" applyAlignment="1">
      <alignment horizontal="center" vertical="center"/>
    </xf>
    <xf numFmtId="37" fontId="0" fillId="0" borderId="122" xfId="0" applyNumberForma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61" fillId="0" borderId="0" xfId="0" applyFont="1" applyAlignment="1">
      <alignment horizontal="centerContinuous" vertical="center"/>
    </xf>
    <xf numFmtId="0" fontId="61" fillId="0" borderId="13" xfId="0" applyFont="1" applyBorder="1" applyAlignment="1">
      <alignment horizontal="centerContinuous" vertical="center"/>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36" xfId="0" applyBorder="1" applyAlignment="1">
      <alignment horizontal="centerContinuous" vertical="center"/>
    </xf>
    <xf numFmtId="0" fontId="0" fillId="0" borderId="26" xfId="0" applyBorder="1" applyAlignment="1">
      <alignment horizontal="centerContinuous" vertical="center"/>
    </xf>
    <xf numFmtId="0" fontId="0" fillId="0" borderId="45" xfId="0" applyBorder="1" applyAlignment="1">
      <alignment horizontal="centerContinuous" vertical="center"/>
    </xf>
    <xf numFmtId="0" fontId="0" fillId="0" borderId="29" xfId="0" applyBorder="1" applyAlignment="1">
      <alignment horizontal="centerContinuous" vertical="center"/>
    </xf>
    <xf numFmtId="0" fontId="0" fillId="0" borderId="14" xfId="0" applyBorder="1" applyAlignment="1">
      <alignment horizontal="center" vertical="center"/>
    </xf>
    <xf numFmtId="37" fontId="0" fillId="0" borderId="43" xfId="0" applyNumberFormat="1" applyBorder="1" applyAlignment="1">
      <alignment horizontal="center" vertical="center"/>
    </xf>
    <xf numFmtId="0" fontId="0" fillId="9" borderId="31" xfId="0" applyFill="1" applyBorder="1" applyAlignment="1">
      <alignment horizontal="center" vertical="center"/>
    </xf>
    <xf numFmtId="37" fontId="0" fillId="0" borderId="31" xfId="0" applyNumberFormat="1" applyBorder="1" applyAlignment="1">
      <alignment horizontal="center" vertical="center"/>
    </xf>
    <xf numFmtId="0" fontId="0" fillId="0" borderId="31" xfId="0" applyBorder="1" applyAlignment="1">
      <alignment horizontal="center" vertical="center"/>
    </xf>
    <xf numFmtId="0" fontId="77" fillId="0" borderId="85" xfId="0" applyFont="1" applyBorder="1" applyAlignment="1">
      <alignment horizontal="right"/>
    </xf>
    <xf numFmtId="37" fontId="0" fillId="0" borderId="74" xfId="0" applyNumberFormat="1" applyBorder="1" applyAlignment="1">
      <alignment horizontal="center" vertical="center"/>
    </xf>
    <xf numFmtId="0" fontId="0" fillId="0" borderId="43" xfId="0" applyBorder="1" applyAlignment="1">
      <alignment horizontal="center" vertical="center"/>
    </xf>
    <xf numFmtId="0" fontId="0" fillId="9" borderId="32" xfId="0" applyFill="1" applyBorder="1" applyAlignment="1">
      <alignment horizontal="center" vertical="center"/>
    </xf>
    <xf numFmtId="0" fontId="0" fillId="0" borderId="30" xfId="0" applyBorder="1" applyAlignment="1">
      <alignment horizontal="center" vertical="center"/>
    </xf>
    <xf numFmtId="37" fontId="0" fillId="0" borderId="123" xfId="0" applyNumberFormat="1" applyBorder="1" applyAlignment="1">
      <alignment horizontal="center" vertical="center"/>
    </xf>
    <xf numFmtId="0" fontId="0" fillId="0" borderId="123" xfId="0" applyBorder="1" applyAlignment="1">
      <alignment horizontal="center" vertical="center"/>
    </xf>
    <xf numFmtId="0" fontId="0" fillId="0" borderId="124" xfId="0" applyBorder="1" applyAlignment="1">
      <alignment horizontal="center" vertical="center"/>
    </xf>
    <xf numFmtId="0" fontId="0" fillId="0" borderId="26" xfId="0" applyBorder="1" applyAlignment="1">
      <alignment vertical="center"/>
    </xf>
    <xf numFmtId="0" fontId="77" fillId="0" borderId="38" xfId="0" applyFont="1" applyBorder="1" applyAlignment="1">
      <alignment horizontal="right"/>
    </xf>
    <xf numFmtId="0" fontId="0" fillId="0" borderId="125" xfId="0" applyBorder="1"/>
    <xf numFmtId="0" fontId="0" fillId="0" borderId="76" xfId="0" applyBorder="1" applyAlignment="1">
      <alignment horizontal="center" vertical="center"/>
    </xf>
    <xf numFmtId="0" fontId="0" fillId="0" borderId="126" xfId="0" applyBorder="1" applyAlignment="1">
      <alignment horizontal="center" vertical="center"/>
    </xf>
    <xf numFmtId="0" fontId="0" fillId="0" borderId="127" xfId="0" applyBorder="1" applyAlignment="1">
      <alignment horizontal="center" vertical="center"/>
    </xf>
    <xf numFmtId="0" fontId="77" fillId="0" borderId="9" xfId="0" applyFont="1" applyBorder="1" applyAlignment="1">
      <alignment horizontal="right"/>
    </xf>
    <xf numFmtId="0" fontId="0" fillId="0" borderId="128" xfId="0" applyBorder="1" applyAlignment="1">
      <alignment horizontal="center" vertical="center"/>
    </xf>
    <xf numFmtId="0" fontId="0" fillId="0" borderId="129" xfId="0" applyBorder="1" applyAlignment="1">
      <alignment horizontal="center" vertical="center"/>
    </xf>
    <xf numFmtId="0" fontId="77" fillId="0" borderId="12" xfId="0" applyFont="1" applyBorder="1" applyAlignment="1">
      <alignment horizontal="right"/>
    </xf>
    <xf numFmtId="0" fontId="0" fillId="0" borderId="130" xfId="0" applyBorder="1" applyAlignment="1">
      <alignment horizontal="center" vertical="center"/>
    </xf>
    <xf numFmtId="175" fontId="59" fillId="0" borderId="0" xfId="0" applyNumberFormat="1" applyFont="1" applyAlignment="1">
      <alignment horizontal="center"/>
    </xf>
    <xf numFmtId="0" fontId="6" fillId="0" borderId="12" xfId="0" applyFont="1" applyBorder="1" applyAlignment="1">
      <alignment horizontal="right"/>
    </xf>
    <xf numFmtId="0" fontId="47" fillId="9" borderId="0" xfId="0" quotePrefix="1" applyFont="1" applyFill="1" applyAlignment="1">
      <alignment horizontal="left"/>
    </xf>
    <xf numFmtId="178" fontId="6" fillId="0" borderId="0" xfId="36" applyNumberFormat="1" applyFont="1"/>
    <xf numFmtId="43" fontId="6" fillId="0" borderId="0" xfId="36" applyFont="1"/>
    <xf numFmtId="37" fontId="47" fillId="0" borderId="37" xfId="0" applyNumberFormat="1" applyFont="1" applyBorder="1" applyAlignment="1">
      <alignment horizontal="right"/>
    </xf>
    <xf numFmtId="39" fontId="47" fillId="0" borderId="0" xfId="0" applyNumberFormat="1" applyFont="1"/>
    <xf numFmtId="43" fontId="6" fillId="0" borderId="0" xfId="0" applyNumberFormat="1" applyFont="1"/>
    <xf numFmtId="37" fontId="29" fillId="0" borderId="29" xfId="0" applyNumberFormat="1" applyFont="1" applyBorder="1" applyAlignment="1" applyProtection="1">
      <alignment horizontal="center"/>
      <protection locked="0"/>
    </xf>
    <xf numFmtId="14" fontId="6" fillId="0" borderId="28" xfId="0" applyNumberFormat="1" applyFont="1" applyBorder="1"/>
    <xf numFmtId="2" fontId="0" fillId="0" borderId="0" xfId="0" applyNumberFormat="1"/>
    <xf numFmtId="37" fontId="47" fillId="15" borderId="37" xfId="0" applyNumberFormat="1" applyFont="1" applyFill="1" applyBorder="1"/>
    <xf numFmtId="39" fontId="47" fillId="0" borderId="0" xfId="0" applyNumberFormat="1" applyFont="1" applyAlignment="1">
      <alignment horizontal="centerContinuous"/>
    </xf>
    <xf numFmtId="0" fontId="47" fillId="14" borderId="37" xfId="0" applyFont="1" applyFill="1" applyBorder="1"/>
    <xf numFmtId="5" fontId="6" fillId="0" borderId="13" xfId="0" applyNumberFormat="1" applyFont="1" applyBorder="1" applyAlignment="1">
      <alignment horizontal="right"/>
    </xf>
    <xf numFmtId="37" fontId="6" fillId="0" borderId="24" xfId="0" applyNumberFormat="1" applyFont="1" applyBorder="1" applyAlignment="1">
      <alignment horizontal="right"/>
    </xf>
    <xf numFmtId="37" fontId="47" fillId="14" borderId="52" xfId="0" applyNumberFormat="1" applyFont="1" applyFill="1" applyBorder="1"/>
    <xf numFmtId="14" fontId="0" fillId="0" borderId="24" xfId="0" applyNumberFormat="1" applyBorder="1"/>
    <xf numFmtId="14" fontId="0" fillId="0" borderId="0" xfId="0" applyNumberFormat="1"/>
    <xf numFmtId="38" fontId="6" fillId="0" borderId="35" xfId="0" applyNumberFormat="1" applyFont="1" applyBorder="1"/>
    <xf numFmtId="0" fontId="7" fillId="0" borderId="0" xfId="0" applyFont="1" applyAlignment="1">
      <alignment horizontal="left"/>
    </xf>
    <xf numFmtId="0" fontId="7" fillId="0" borderId="26" xfId="0" applyFont="1" applyBorder="1" applyAlignment="1">
      <alignment horizontal="left"/>
    </xf>
    <xf numFmtId="0" fontId="6" fillId="0" borderId="0" xfId="0" quotePrefix="1" applyFont="1" applyAlignment="1">
      <alignment horizontal="left"/>
    </xf>
    <xf numFmtId="181" fontId="0" fillId="0" borderId="33" xfId="45" applyNumberFormat="1" applyFont="1" applyBorder="1" applyProtection="1"/>
    <xf numFmtId="37" fontId="0" fillId="0" borderId="42" xfId="0" applyNumberFormat="1" applyBorder="1"/>
    <xf numFmtId="0" fontId="47" fillId="9" borderId="28" xfId="0" applyFont="1" applyFill="1" applyBorder="1" applyAlignment="1">
      <alignment horizontal="center"/>
    </xf>
    <xf numFmtId="37" fontId="0" fillId="0" borderId="0" xfId="0" applyNumberFormat="1" applyAlignment="1">
      <alignment horizontal="centerContinuous" vertical="center"/>
    </xf>
    <xf numFmtId="39" fontId="6" fillId="0" borderId="12" xfId="0" applyNumberFormat="1" applyFont="1" applyBorder="1"/>
    <xf numFmtId="0" fontId="42" fillId="0" borderId="24" xfId="0" applyFont="1" applyBorder="1" applyAlignment="1">
      <alignment horizontal="left"/>
    </xf>
    <xf numFmtId="0" fontId="42" fillId="0" borderId="24" xfId="0" applyFont="1" applyBorder="1" applyAlignment="1">
      <alignment horizontal="center"/>
    </xf>
    <xf numFmtId="12" fontId="0" fillId="0" borderId="0" xfId="0" applyNumberFormat="1" applyAlignment="1">
      <alignment horizontal="center" vertical="center"/>
    </xf>
    <xf numFmtId="12" fontId="0" fillId="0" borderId="43" xfId="0" applyNumberFormat="1" applyBorder="1" applyAlignment="1">
      <alignment horizontal="center" vertical="center"/>
    </xf>
    <xf numFmtId="12" fontId="0" fillId="0" borderId="14" xfId="0" applyNumberFormat="1" applyBorder="1" applyAlignment="1">
      <alignment horizontal="center" vertical="center"/>
    </xf>
    <xf numFmtId="12" fontId="0" fillId="9" borderId="24" xfId="0" applyNumberFormat="1" applyFill="1" applyBorder="1" applyAlignment="1">
      <alignment horizontal="center" vertical="center"/>
    </xf>
    <xf numFmtId="12" fontId="0" fillId="0" borderId="24" xfId="0" applyNumberFormat="1" applyBorder="1" applyAlignment="1">
      <alignment horizontal="center" vertical="center"/>
    </xf>
    <xf numFmtId="5" fontId="6" fillId="0" borderId="23" xfId="0" applyNumberFormat="1" applyFont="1" applyBorder="1" applyAlignment="1">
      <alignment horizontal="right" wrapText="1"/>
    </xf>
    <xf numFmtId="37" fontId="47" fillId="9" borderId="13" xfId="0" applyNumberFormat="1" applyFont="1" applyFill="1" applyBorder="1" applyAlignment="1">
      <alignment horizontal="center"/>
    </xf>
    <xf numFmtId="5" fontId="47" fillId="0" borderId="0" xfId="0" applyNumberFormat="1" applyFont="1" applyAlignment="1">
      <alignment horizontal="centerContinuous"/>
    </xf>
    <xf numFmtId="5" fontId="47" fillId="0" borderId="13" xfId="0" applyNumberFormat="1" applyFont="1" applyBorder="1" applyAlignment="1">
      <alignment horizontal="centerContinuous"/>
    </xf>
    <xf numFmtId="37" fontId="6" fillId="0" borderId="33" xfId="0" applyNumberFormat="1" applyFont="1" applyBorder="1" applyAlignment="1">
      <alignment horizontal="right"/>
    </xf>
    <xf numFmtId="5" fontId="6" fillId="0" borderId="24" xfId="0" applyNumberFormat="1" applyFont="1" applyBorder="1" applyProtection="1">
      <protection locked="0"/>
    </xf>
    <xf numFmtId="37" fontId="6" fillId="0" borderId="24" xfId="0" applyNumberFormat="1" applyFont="1" applyBorder="1" applyProtection="1">
      <protection locked="0"/>
    </xf>
    <xf numFmtId="37" fontId="6" fillId="0" borderId="33" xfId="0" applyNumberFormat="1" applyFont="1" applyBorder="1" applyProtection="1">
      <protection locked="0"/>
    </xf>
    <xf numFmtId="37" fontId="6" fillId="0" borderId="37" xfId="0" applyNumberFormat="1" applyFont="1" applyBorder="1" applyProtection="1">
      <protection locked="0"/>
    </xf>
    <xf numFmtId="3" fontId="72" fillId="0" borderId="27" xfId="0" applyNumberFormat="1" applyFont="1" applyBorder="1" applyAlignment="1">
      <alignment horizontal="left"/>
    </xf>
    <xf numFmtId="175" fontId="72" fillId="0" borderId="13" xfId="0" applyNumberFormat="1" applyFont="1" applyBorder="1" applyAlignment="1">
      <alignment horizontal="center"/>
    </xf>
    <xf numFmtId="5" fontId="47" fillId="0" borderId="0" xfId="0" applyNumberFormat="1" applyFont="1"/>
    <xf numFmtId="0" fontId="47" fillId="18" borderId="21" xfId="0" applyFont="1" applyFill="1" applyBorder="1"/>
    <xf numFmtId="0" fontId="47" fillId="18" borderId="38" xfId="0" applyFont="1" applyFill="1" applyBorder="1" applyAlignment="1">
      <alignment horizontal="centerContinuous"/>
    </xf>
    <xf numFmtId="0" fontId="47" fillId="18" borderId="37" xfId="0" applyFont="1" applyFill="1" applyBorder="1" applyAlignment="1">
      <alignment horizontal="centerContinuous"/>
    </xf>
    <xf numFmtId="5" fontId="0" fillId="0" borderId="43" xfId="0" applyNumberFormat="1" applyBorder="1"/>
    <xf numFmtId="5" fontId="0" fillId="0" borderId="31" xfId="0" applyNumberFormat="1" applyBorder="1"/>
    <xf numFmtId="5" fontId="0" fillId="0" borderId="14" xfId="0" applyNumberFormat="1" applyBorder="1"/>
    <xf numFmtId="5" fontId="0" fillId="0" borderId="41" xfId="0" applyNumberFormat="1" applyBorder="1"/>
    <xf numFmtId="170" fontId="20" fillId="0" borderId="0" xfId="0" applyNumberFormat="1" applyFont="1" applyProtection="1">
      <protection locked="0"/>
    </xf>
    <xf numFmtId="5" fontId="47" fillId="0" borderId="52" xfId="0" applyNumberFormat="1" applyFont="1" applyBorder="1"/>
    <xf numFmtId="37" fontId="47" fillId="0" borderId="52" xfId="0" applyNumberFormat="1" applyFont="1" applyBorder="1"/>
    <xf numFmtId="178" fontId="0" fillId="0" borderId="0" xfId="36" applyNumberFormat="1" applyFont="1"/>
    <xf numFmtId="4" fontId="0" fillId="0" borderId="0" xfId="0" applyNumberFormat="1"/>
    <xf numFmtId="3" fontId="0" fillId="0" borderId="0" xfId="0" applyNumberFormat="1"/>
    <xf numFmtId="6" fontId="6" fillId="0" borderId="24" xfId="0" applyNumberFormat="1" applyFont="1" applyBorder="1"/>
    <xf numFmtId="37" fontId="6" fillId="0" borderId="52" xfId="79" applyNumberFormat="1" applyFont="1" applyBorder="1"/>
    <xf numFmtId="178" fontId="6" fillId="0" borderId="0" xfId="44" applyNumberFormat="1" applyFont="1" applyProtection="1"/>
    <xf numFmtId="178" fontId="6" fillId="0" borderId="27" xfId="44" applyNumberFormat="1" applyFont="1" applyBorder="1" applyProtection="1"/>
    <xf numFmtId="0" fontId="6" fillId="0" borderId="51" xfId="0" applyFont="1" applyBorder="1" applyAlignment="1">
      <alignment horizontal="right"/>
    </xf>
    <xf numFmtId="0" fontId="6" fillId="0" borderId="32" xfId="0" applyFont="1" applyBorder="1" applyAlignment="1">
      <alignment horizontal="right"/>
    </xf>
    <xf numFmtId="0" fontId="0" fillId="0" borderId="32" xfId="0" quotePrefix="1" applyBorder="1" applyAlignment="1">
      <alignment horizontal="left"/>
    </xf>
    <xf numFmtId="14" fontId="6" fillId="0" borderId="23" xfId="0" quotePrefix="1" applyNumberFormat="1" applyFont="1" applyBorder="1" applyAlignment="1">
      <alignment horizontal="center"/>
    </xf>
    <xf numFmtId="14" fontId="6" fillId="0" borderId="38" xfId="0" quotePrefix="1" applyNumberFormat="1" applyFont="1" applyBorder="1" applyAlignment="1">
      <alignment horizontal="center"/>
    </xf>
    <xf numFmtId="5" fontId="47" fillId="0" borderId="12" xfId="0" applyNumberFormat="1" applyFont="1" applyBorder="1"/>
    <xf numFmtId="5" fontId="47" fillId="0" borderId="18" xfId="0" applyNumberFormat="1" applyFont="1" applyBorder="1"/>
    <xf numFmtId="5" fontId="47" fillId="0" borderId="16" xfId="0" applyNumberFormat="1" applyFont="1" applyBorder="1"/>
    <xf numFmtId="5" fontId="47" fillId="0" borderId="14" xfId="0" applyNumberFormat="1" applyFont="1" applyBorder="1" applyAlignment="1">
      <alignment horizontal="centerContinuous"/>
    </xf>
    <xf numFmtId="37" fontId="47" fillId="9" borderId="52" xfId="0" applyNumberFormat="1" applyFont="1" applyFill="1" applyBorder="1"/>
    <xf numFmtId="1" fontId="42" fillId="0" borderId="24" xfId="0" applyNumberFormat="1" applyFont="1" applyBorder="1" applyAlignment="1">
      <alignment horizontal="center" vertical="center"/>
    </xf>
    <xf numFmtId="43" fontId="0" fillId="0" borderId="0" xfId="36" applyFont="1"/>
    <xf numFmtId="178" fontId="6" fillId="0" borderId="0" xfId="36" applyNumberFormat="1" applyFont="1" applyFill="1"/>
    <xf numFmtId="43" fontId="0" fillId="0" borderId="0" xfId="0" applyNumberFormat="1"/>
    <xf numFmtId="0" fontId="0" fillId="0" borderId="24" xfId="0" applyBorder="1" applyAlignment="1">
      <alignment horizontal="left"/>
    </xf>
    <xf numFmtId="0" fontId="47" fillId="0" borderId="49" xfId="0" applyFont="1" applyBorder="1" applyAlignment="1">
      <alignment horizontal="centerContinuous"/>
    </xf>
    <xf numFmtId="0" fontId="47" fillId="15" borderId="48" xfId="0" applyFont="1" applyFill="1" applyBorder="1" applyAlignment="1">
      <alignment horizontal="centerContinuous"/>
    </xf>
    <xf numFmtId="0" fontId="47" fillId="0" borderId="21" xfId="0" applyFont="1" applyBorder="1"/>
    <xf numFmtId="37" fontId="47" fillId="14" borderId="45" xfId="0" applyNumberFormat="1" applyFont="1" applyFill="1" applyBorder="1"/>
    <xf numFmtId="37" fontId="0" fillId="0" borderId="12" xfId="0" applyNumberFormat="1" applyBorder="1"/>
    <xf numFmtId="165" fontId="7" fillId="0" borderId="0" xfId="0" applyNumberFormat="1" applyFont="1" applyAlignment="1">
      <alignment horizontal="centerContinuous"/>
    </xf>
    <xf numFmtId="4" fontId="6" fillId="0" borderId="0" xfId="0" applyNumberFormat="1" applyFont="1" applyAlignment="1">
      <alignment horizontal="right"/>
    </xf>
    <xf numFmtId="4" fontId="6" fillId="0" borderId="0" xfId="0" applyNumberFormat="1" applyFont="1" applyAlignment="1">
      <alignment horizontal="centerContinuous"/>
    </xf>
    <xf numFmtId="4" fontId="6" fillId="0" borderId="0" xfId="0" applyNumberFormat="1" applyFont="1"/>
    <xf numFmtId="38" fontId="0" fillId="0" borderId="0" xfId="0" applyNumberFormat="1"/>
    <xf numFmtId="37" fontId="9" fillId="0" borderId="33" xfId="0" applyNumberFormat="1" applyFont="1" applyBorder="1"/>
    <xf numFmtId="5" fontId="6" fillId="0" borderId="0" xfId="36" applyNumberFormat="1" applyFont="1" applyFill="1" applyProtection="1"/>
    <xf numFmtId="43" fontId="6" fillId="0" borderId="0" xfId="36" applyFont="1" applyFill="1" applyProtection="1"/>
    <xf numFmtId="37" fontId="37" fillId="0" borderId="0" xfId="0" applyNumberFormat="1" applyFont="1" applyAlignment="1">
      <alignment horizontal="centerContinuous"/>
    </xf>
    <xf numFmtId="0" fontId="5" fillId="0" borderId="0" xfId="0" applyFont="1" applyAlignment="1">
      <alignment horizontal="left"/>
    </xf>
    <xf numFmtId="37" fontId="9" fillId="0" borderId="37" xfId="0" applyNumberFormat="1" applyFont="1" applyBorder="1"/>
    <xf numFmtId="4" fontId="30" fillId="0" borderId="0" xfId="0" applyNumberFormat="1" applyFont="1"/>
    <xf numFmtId="37" fontId="30" fillId="0" borderId="0" xfId="0" applyNumberFormat="1" applyFont="1"/>
    <xf numFmtId="0" fontId="17" fillId="0" borderId="10" xfId="0" applyFont="1" applyBorder="1" applyAlignment="1">
      <alignment horizontal="centerContinuous"/>
    </xf>
    <xf numFmtId="0" fontId="7" fillId="0" borderId="11" xfId="0" applyFont="1" applyBorder="1" applyAlignment="1">
      <alignment horizontal="centerContinuous"/>
    </xf>
    <xf numFmtId="43" fontId="0" fillId="0" borderId="0" xfId="36" applyFont="1" applyProtection="1"/>
    <xf numFmtId="178" fontId="6" fillId="0" borderId="23" xfId="0" applyNumberFormat="1" applyFont="1" applyBorder="1" applyAlignment="1">
      <alignment horizontal="left" wrapText="1"/>
    </xf>
    <xf numFmtId="0" fontId="54" fillId="0" borderId="32" xfId="0" applyFont="1" applyBorder="1" applyAlignment="1">
      <alignment horizontal="center" vertical="center"/>
    </xf>
    <xf numFmtId="0" fontId="54" fillId="0" borderId="24" xfId="0" applyFont="1" applyBorder="1" applyAlignment="1">
      <alignment horizontal="center" vertical="center"/>
    </xf>
    <xf numFmtId="0" fontId="54" fillId="0" borderId="36" xfId="0" applyFont="1" applyBorder="1" applyAlignment="1">
      <alignment horizontal="center" vertical="center"/>
    </xf>
    <xf numFmtId="0" fontId="54" fillId="0" borderId="28" xfId="0" applyFont="1" applyBorder="1" applyAlignment="1">
      <alignment horizontal="center" vertical="center"/>
    </xf>
    <xf numFmtId="0" fontId="54" fillId="0" borderId="23" xfId="0" applyFont="1" applyBorder="1" applyAlignment="1">
      <alignment horizontal="center"/>
    </xf>
    <xf numFmtId="0" fontId="54" fillId="0" borderId="27" xfId="0" applyFont="1" applyBorder="1" applyAlignment="1">
      <alignment horizontal="center"/>
    </xf>
    <xf numFmtId="0" fontId="54" fillId="0" borderId="23" xfId="0" applyFont="1" applyBorder="1"/>
    <xf numFmtId="5" fontId="6" fillId="0" borderId="45" xfId="79" applyNumberFormat="1" applyFont="1" applyBorder="1"/>
    <xf numFmtId="5" fontId="6" fillId="0" borderId="46" xfId="79" applyNumberFormat="1" applyFont="1" applyBorder="1"/>
    <xf numFmtId="5" fontId="6" fillId="0" borderId="48" xfId="79" applyNumberFormat="1" applyFont="1" applyBorder="1"/>
    <xf numFmtId="37" fontId="6" fillId="0" borderId="45" xfId="79" applyNumberFormat="1" applyFont="1" applyBorder="1"/>
    <xf numFmtId="37" fontId="6" fillId="0" borderId="49" xfId="79" applyNumberFormat="1" applyFont="1" applyBorder="1"/>
    <xf numFmtId="37" fontId="6" fillId="0" borderId="46" xfId="79" applyNumberFormat="1" applyFont="1" applyBorder="1"/>
    <xf numFmtId="37" fontId="6" fillId="0" borderId="48" xfId="79" applyNumberFormat="1" applyFont="1" applyBorder="1"/>
    <xf numFmtId="37" fontId="6" fillId="0" borderId="51" xfId="79" applyNumberFormat="1" applyFont="1" applyBorder="1"/>
    <xf numFmtId="37" fontId="6" fillId="0" borderId="47" xfId="79" applyNumberFormat="1" applyFont="1" applyBorder="1"/>
    <xf numFmtId="5" fontId="6" fillId="0" borderId="47" xfId="79" applyNumberFormat="1" applyFont="1" applyBorder="1"/>
    <xf numFmtId="37" fontId="6" fillId="0" borderId="0" xfId="79" applyNumberFormat="1" applyFont="1" applyAlignment="1">
      <alignment horizontal="right"/>
    </xf>
    <xf numFmtId="0" fontId="6" fillId="0" borderId="14" xfId="79" applyFont="1" applyBorder="1"/>
    <xf numFmtId="49" fontId="6" fillId="0" borderId="0" xfId="46" applyNumberFormat="1" applyFont="1" applyAlignment="1" applyProtection="1">
      <alignment horizontal="left" vertical="center"/>
    </xf>
    <xf numFmtId="3" fontId="6" fillId="0" borderId="14" xfId="46" applyNumberFormat="1" applyFont="1" applyBorder="1" applyAlignment="1" applyProtection="1">
      <alignment horizontal="center"/>
    </xf>
    <xf numFmtId="37" fontId="6" fillId="22" borderId="19" xfId="81" applyNumberFormat="1" applyFont="1" applyFill="1" applyBorder="1"/>
    <xf numFmtId="37" fontId="6" fillId="22" borderId="34" xfId="81" applyNumberFormat="1" applyFont="1" applyFill="1" applyBorder="1"/>
    <xf numFmtId="0" fontId="6" fillId="22" borderId="26" xfId="81" applyFont="1" applyFill="1" applyBorder="1"/>
    <xf numFmtId="37" fontId="6" fillId="22" borderId="32" xfId="81" applyNumberFormat="1" applyFont="1" applyFill="1" applyBorder="1"/>
    <xf numFmtId="37" fontId="47" fillId="14" borderId="46" xfId="0" applyNumberFormat="1" applyFont="1" applyFill="1" applyBorder="1"/>
    <xf numFmtId="37" fontId="47" fillId="0" borderId="38" xfId="0" applyNumberFormat="1" applyFont="1" applyBorder="1"/>
    <xf numFmtId="5" fontId="47" fillId="0" borderId="39" xfId="0" applyNumberFormat="1" applyFont="1" applyBorder="1"/>
    <xf numFmtId="37" fontId="3" fillId="0" borderId="24" xfId="0" applyNumberFormat="1" applyFont="1" applyBorder="1"/>
    <xf numFmtId="0" fontId="54" fillId="0" borderId="38" xfId="0" applyFont="1" applyBorder="1" applyAlignment="1">
      <alignment horizontal="center"/>
    </xf>
    <xf numFmtId="7" fontId="54" fillId="0" borderId="30" xfId="0" applyNumberFormat="1" applyFont="1" applyBorder="1"/>
    <xf numFmtId="0" fontId="54" fillId="0" borderId="0" xfId="0" applyFont="1"/>
    <xf numFmtId="0" fontId="54" fillId="0" borderId="0" xfId="0" applyFont="1" applyAlignment="1">
      <alignment horizontal="right"/>
    </xf>
    <xf numFmtId="0" fontId="54" fillId="0" borderId="0" xfId="0" applyFont="1" applyAlignment="1">
      <alignment horizontal="centerContinuous" vertical="center"/>
    </xf>
    <xf numFmtId="16" fontId="54" fillId="0" borderId="23" xfId="0" applyNumberFormat="1" applyFont="1" applyBorder="1"/>
    <xf numFmtId="7" fontId="54" fillId="0" borderId="23" xfId="0" applyNumberFormat="1" applyFont="1" applyBorder="1"/>
    <xf numFmtId="0" fontId="54" fillId="0" borderId="0" xfId="0" applyFont="1" applyAlignment="1">
      <alignment horizontal="center"/>
    </xf>
    <xf numFmtId="0" fontId="54" fillId="0" borderId="29" xfId="0" applyFont="1" applyBorder="1" applyAlignment="1">
      <alignment horizontal="center"/>
    </xf>
    <xf numFmtId="0" fontId="54" fillId="0" borderId="0" xfId="0" quotePrefix="1" applyFont="1" applyAlignment="1">
      <alignment horizontal="left"/>
    </xf>
    <xf numFmtId="0" fontId="42" fillId="0" borderId="98" xfId="0" applyFont="1" applyBorder="1" applyAlignment="1">
      <alignment horizontal="center" vertical="center"/>
    </xf>
    <xf numFmtId="0" fontId="42" fillId="0" borderId="24" xfId="0" applyFont="1" applyBorder="1"/>
    <xf numFmtId="39" fontId="42" fillId="0" borderId="81" xfId="0" applyNumberFormat="1" applyFont="1" applyBorder="1" applyAlignment="1">
      <alignment horizontal="center" vertical="center"/>
    </xf>
    <xf numFmtId="0" fontId="42" fillId="0" borderId="80" xfId="0" applyFont="1" applyBorder="1"/>
    <xf numFmtId="0" fontId="42" fillId="0" borderId="24" xfId="0" applyFont="1" applyBorder="1" applyAlignment="1">
      <alignment horizontal="left" vertical="center"/>
    </xf>
    <xf numFmtId="0" fontId="42" fillId="0" borderId="24" xfId="0" applyFont="1" applyBorder="1" applyAlignment="1">
      <alignment horizontal="center" vertical="center"/>
    </xf>
    <xf numFmtId="0" fontId="42" fillId="0" borderId="80" xfId="0" applyFont="1" applyBorder="1" applyAlignment="1">
      <alignment horizontal="center" vertical="center"/>
    </xf>
    <xf numFmtId="0" fontId="42" fillId="0" borderId="80" xfId="0" applyFont="1" applyBorder="1" applyAlignment="1">
      <alignment horizontal="left" vertical="center"/>
    </xf>
    <xf numFmtId="0" fontId="38" fillId="0" borderId="80" xfId="0" applyFont="1" applyBorder="1"/>
    <xf numFmtId="0" fontId="42" fillId="0" borderId="98" xfId="0" applyFont="1" applyBorder="1" applyAlignment="1">
      <alignment horizontal="centerContinuous" vertical="center"/>
    </xf>
    <xf numFmtId="0" fontId="42" fillId="0" borderId="24" xfId="0" applyFont="1" applyBorder="1" applyAlignment="1">
      <alignment horizontal="centerContinuous" vertical="center"/>
    </xf>
    <xf numFmtId="0" fontId="42" fillId="0" borderId="24" xfId="0" applyFont="1" applyBorder="1" applyAlignment="1">
      <alignment horizontal="centerContinuous"/>
    </xf>
    <xf numFmtId="0" fontId="38" fillId="0" borderId="24" xfId="0" applyFont="1" applyBorder="1" applyAlignment="1">
      <alignment horizontal="left"/>
    </xf>
    <xf numFmtId="0" fontId="38" fillId="0" borderId="24" xfId="0" applyFont="1" applyBorder="1" applyAlignment="1">
      <alignment horizontal="center"/>
    </xf>
    <xf numFmtId="0" fontId="42" fillId="0" borderId="0" xfId="0" applyFont="1" applyAlignment="1">
      <alignment horizontal="centerContinuous" vertical="center"/>
    </xf>
    <xf numFmtId="0" fontId="42" fillId="0" borderId="81" xfId="0" applyFont="1" applyBorder="1"/>
    <xf numFmtId="0" fontId="42" fillId="0" borderId="24" xfId="0" applyFont="1" applyBorder="1" applyAlignment="1">
      <alignment vertical="center"/>
    </xf>
    <xf numFmtId="0" fontId="42" fillId="0" borderId="24" xfId="0" applyFont="1" applyBorder="1" applyAlignment="1">
      <alignment horizontal="right" vertical="center"/>
    </xf>
    <xf numFmtId="0" fontId="38" fillId="0" borderId="24" xfId="0" applyFont="1" applyBorder="1" applyAlignment="1">
      <alignment vertical="center"/>
    </xf>
    <xf numFmtId="0" fontId="42" fillId="0" borderId="80" xfId="0" quotePrefix="1" applyFont="1" applyBorder="1" applyAlignment="1">
      <alignment horizontal="left"/>
    </xf>
    <xf numFmtId="0" fontId="42" fillId="0" borderId="80" xfId="0" applyFont="1" applyBorder="1" applyAlignment="1">
      <alignment horizontal="centerContinuous" vertical="center"/>
    </xf>
    <xf numFmtId="0" fontId="54" fillId="0" borderId="0" xfId="0" applyFont="1" applyAlignment="1">
      <alignment horizontal="centerContinuous"/>
    </xf>
    <xf numFmtId="0" fontId="42" fillId="0" borderId="132" xfId="0" applyFont="1" applyBorder="1" applyAlignment="1">
      <alignment horizontal="centerContinuous" vertical="center"/>
    </xf>
    <xf numFmtId="0" fontId="42" fillId="0" borderId="133" xfId="0" applyFont="1" applyBorder="1" applyAlignment="1">
      <alignment horizontal="center" vertical="center"/>
    </xf>
    <xf numFmtId="0" fontId="43" fillId="0" borderId="80" xfId="0" applyFont="1" applyBorder="1" applyAlignment="1">
      <alignment horizontal="right"/>
    </xf>
    <xf numFmtId="0" fontId="3" fillId="0" borderId="134" xfId="0" applyFont="1" applyBorder="1"/>
    <xf numFmtId="0" fontId="3" fillId="0" borderId="2" xfId="0" applyFont="1" applyBorder="1"/>
    <xf numFmtId="0" fontId="54" fillId="0" borderId="0" xfId="0" applyFont="1" applyAlignment="1">
      <alignment horizontal="center" vertical="center"/>
    </xf>
    <xf numFmtId="0" fontId="42" fillId="0" borderId="82" xfId="0" applyFont="1" applyBorder="1"/>
    <xf numFmtId="0" fontId="3" fillId="0" borderId="135" xfId="0" applyFont="1" applyBorder="1"/>
    <xf numFmtId="0" fontId="3" fillId="0" borderId="76" xfId="0" applyFont="1" applyBorder="1"/>
    <xf numFmtId="0" fontId="3" fillId="0" borderId="136" xfId="0" applyFont="1" applyBorder="1"/>
    <xf numFmtId="0" fontId="42" fillId="0" borderId="0" xfId="0" quotePrefix="1" applyFont="1" applyAlignment="1">
      <alignment horizontal="center" vertical="center"/>
    </xf>
    <xf numFmtId="0" fontId="42" fillId="0" borderId="0" xfId="0" applyFont="1" applyAlignment="1">
      <alignment horizontal="center" vertical="center"/>
    </xf>
    <xf numFmtId="0" fontId="42" fillId="0" borderId="0" xfId="0" applyFont="1" applyAlignment="1">
      <alignment vertical="center"/>
    </xf>
    <xf numFmtId="4" fontId="54" fillId="0" borderId="0" xfId="0" applyNumberFormat="1" applyFont="1" applyAlignment="1">
      <alignment horizontal="centerContinuous"/>
    </xf>
    <xf numFmtId="0" fontId="42" fillId="0" borderId="101" xfId="0" applyFont="1" applyBorder="1" applyAlignment="1">
      <alignment horizontal="center"/>
    </xf>
    <xf numFmtId="0" fontId="42" fillId="0" borderId="99" xfId="0" applyFont="1" applyBorder="1" applyAlignment="1">
      <alignment horizontal="center"/>
    </xf>
    <xf numFmtId="0" fontId="42" fillId="0" borderId="103" xfId="0" applyFont="1" applyBorder="1" applyAlignment="1">
      <alignment horizontal="center"/>
    </xf>
    <xf numFmtId="0" fontId="42" fillId="0" borderId="23" xfId="0" applyFont="1" applyBorder="1" applyAlignment="1">
      <alignment horizontal="center"/>
    </xf>
    <xf numFmtId="0" fontId="42" fillId="0" borderId="104" xfId="0" applyFont="1" applyBorder="1" applyAlignment="1">
      <alignment horizontal="center"/>
    </xf>
    <xf numFmtId="0" fontId="42" fillId="0" borderId="81" xfId="0" applyFont="1" applyBorder="1" applyAlignment="1">
      <alignment horizontal="center"/>
    </xf>
    <xf numFmtId="0" fontId="42" fillId="0" borderId="28" xfId="0" applyFont="1" applyBorder="1" applyAlignment="1">
      <alignment horizontal="center"/>
    </xf>
    <xf numFmtId="0" fontId="42" fillId="0" borderId="105" xfId="0" applyFont="1" applyBorder="1" applyAlignment="1">
      <alignment horizontal="left"/>
    </xf>
    <xf numFmtId="0" fontId="42" fillId="0" borderId="20" xfId="0" applyFont="1" applyBorder="1"/>
    <xf numFmtId="37" fontId="42" fillId="0" borderId="20" xfId="0" applyNumberFormat="1" applyFont="1" applyBorder="1"/>
    <xf numFmtId="37" fontId="42" fillId="0" borderId="95" xfId="0" applyNumberFormat="1" applyFont="1" applyBorder="1"/>
    <xf numFmtId="0" fontId="42" fillId="0" borderId="103" xfId="0" applyFont="1" applyBorder="1" applyAlignment="1">
      <alignment horizontal="left"/>
    </xf>
    <xf numFmtId="0" fontId="42" fillId="0" borderId="23" xfId="0" applyFont="1" applyBorder="1"/>
    <xf numFmtId="37" fontId="42" fillId="0" borderId="23" xfId="0" applyNumberFormat="1" applyFont="1" applyBorder="1"/>
    <xf numFmtId="37" fontId="42" fillId="0" borderId="81" xfId="0" applyNumberFormat="1" applyFont="1" applyBorder="1"/>
    <xf numFmtId="37" fontId="42" fillId="0" borderId="133" xfId="0" applyNumberFormat="1" applyFont="1" applyBorder="1"/>
    <xf numFmtId="0" fontId="42" fillId="0" borderId="105" xfId="0" applyFont="1" applyBorder="1"/>
    <xf numFmtId="0" fontId="42" fillId="0" borderId="20" xfId="0" applyFont="1" applyBorder="1" applyAlignment="1">
      <alignment horizontal="center"/>
    </xf>
    <xf numFmtId="37" fontId="42" fillId="0" borderId="19" xfId="0" applyNumberFormat="1" applyFont="1" applyBorder="1"/>
    <xf numFmtId="37" fontId="42" fillId="0" borderId="106" xfId="0" applyNumberFormat="1" applyFont="1" applyBorder="1"/>
    <xf numFmtId="0" fontId="42" fillId="0" borderId="103" xfId="0" applyFont="1" applyBorder="1" applyAlignment="1">
      <alignment horizontal="left" vertical="center"/>
    </xf>
    <xf numFmtId="37" fontId="42" fillId="0" borderId="0" xfId="0" applyNumberFormat="1" applyFont="1"/>
    <xf numFmtId="0" fontId="42" fillId="0" borderId="103" xfId="0" applyFont="1" applyBorder="1"/>
    <xf numFmtId="37" fontId="42" fillId="0" borderId="0" xfId="0" quotePrefix="1" applyNumberFormat="1" applyFont="1" applyAlignment="1">
      <alignment horizontal="right"/>
    </xf>
    <xf numFmtId="37" fontId="42" fillId="0" borderId="137" xfId="0" applyNumberFormat="1" applyFont="1" applyBorder="1"/>
    <xf numFmtId="0" fontId="43" fillId="0" borderId="107" xfId="0" applyFont="1" applyBorder="1"/>
    <xf numFmtId="37" fontId="42" fillId="0" borderId="108" xfId="0" applyNumberFormat="1" applyFont="1" applyBorder="1" applyAlignment="1">
      <alignment horizontal="center"/>
    </xf>
    <xf numFmtId="37" fontId="42" fillId="0" borderId="108" xfId="0" applyNumberFormat="1" applyFont="1" applyBorder="1"/>
    <xf numFmtId="37" fontId="42" fillId="0" borderId="138" xfId="0" applyNumberFormat="1" applyFont="1" applyBorder="1"/>
    <xf numFmtId="37" fontId="42" fillId="0" borderId="109" xfId="0" applyNumberFormat="1" applyFont="1" applyBorder="1"/>
    <xf numFmtId="0" fontId="42" fillId="0" borderId="94" xfId="0" applyFont="1" applyBorder="1"/>
    <xf numFmtId="0" fontId="42" fillId="0" borderId="19" xfId="0" applyFont="1" applyBorder="1"/>
    <xf numFmtId="0" fontId="42" fillId="0" borderId="82" xfId="0" applyFont="1" applyBorder="1" applyAlignment="1">
      <alignment horizontal="centerContinuous"/>
    </xf>
    <xf numFmtId="0" fontId="42" fillId="0" borderId="76" xfId="0" applyFont="1" applyBorder="1" applyAlignment="1">
      <alignment horizontal="centerContinuous"/>
    </xf>
    <xf numFmtId="0" fontId="43" fillId="0" borderId="76" xfId="0" applyFont="1" applyBorder="1" applyAlignment="1">
      <alignment horizontal="centerContinuous"/>
    </xf>
    <xf numFmtId="0" fontId="42" fillId="0" borderId="83" xfId="0" applyFont="1" applyBorder="1"/>
    <xf numFmtId="0" fontId="42" fillId="0" borderId="0" xfId="0" quotePrefix="1" applyFont="1" applyAlignment="1">
      <alignment horizontal="left"/>
    </xf>
    <xf numFmtId="37" fontId="42" fillId="0" borderId="24" xfId="0" applyNumberFormat="1" applyFont="1" applyBorder="1"/>
    <xf numFmtId="0" fontId="3" fillId="0" borderId="110" xfId="0" applyFont="1" applyBorder="1"/>
    <xf numFmtId="0" fontId="3" fillId="0" borderId="93" xfId="0" applyFont="1" applyBorder="1"/>
    <xf numFmtId="0" fontId="42" fillId="0" borderId="108" xfId="0" applyFont="1" applyBorder="1" applyAlignment="1">
      <alignment horizontal="center"/>
    </xf>
    <xf numFmtId="0" fontId="42" fillId="0" borderId="127" xfId="0" applyFont="1" applyBorder="1" applyAlignment="1">
      <alignment horizontal="center"/>
    </xf>
    <xf numFmtId="172" fontId="6" fillId="0" borderId="0" xfId="0" applyNumberFormat="1" applyFont="1" applyAlignment="1">
      <alignment horizontal="center"/>
    </xf>
    <xf numFmtId="172" fontId="6" fillId="0" borderId="24" xfId="0" applyNumberFormat="1" applyFont="1" applyBorder="1" applyAlignment="1">
      <alignment horizontal="center"/>
    </xf>
    <xf numFmtId="0" fontId="0" fillId="0" borderId="13" xfId="0" applyBorder="1" applyAlignment="1">
      <alignment horizontal="center" vertical="center"/>
    </xf>
    <xf numFmtId="0" fontId="0" fillId="0" borderId="71" xfId="0" applyBorder="1" applyAlignment="1">
      <alignment horizontal="center" vertical="center"/>
    </xf>
    <xf numFmtId="37" fontId="0" fillId="0" borderId="13" xfId="0" applyNumberFormat="1" applyBorder="1" applyAlignment="1">
      <alignment horizontal="center" vertical="center"/>
    </xf>
    <xf numFmtId="0" fontId="0" fillId="0" borderId="17" xfId="0" applyBorder="1" applyAlignment="1">
      <alignment horizontal="center" vertical="center"/>
    </xf>
    <xf numFmtId="0" fontId="0" fillId="0" borderId="139" xfId="0" applyBorder="1" applyAlignment="1">
      <alignment horizontal="center" vertical="center"/>
    </xf>
    <xf numFmtId="37" fontId="0" fillId="0" borderId="124" xfId="0" applyNumberFormat="1" applyBorder="1" applyAlignment="1">
      <alignment horizontal="center" vertical="center"/>
    </xf>
    <xf numFmtId="37" fontId="0" fillId="0" borderId="140" xfId="0" applyNumberFormat="1" applyBorder="1" applyAlignment="1">
      <alignment horizontal="center" vertical="center"/>
    </xf>
    <xf numFmtId="0" fontId="0" fillId="0" borderId="40" xfId="0" applyBorder="1" applyAlignment="1">
      <alignment horizontal="center" vertical="center"/>
    </xf>
    <xf numFmtId="0" fontId="0" fillId="0" borderId="132" xfId="0" applyBorder="1" applyAlignment="1">
      <alignment horizontal="center" vertical="center"/>
    </xf>
    <xf numFmtId="179" fontId="47" fillId="9" borderId="23" xfId="0" applyNumberFormat="1" applyFont="1" applyFill="1" applyBorder="1" applyAlignment="1">
      <alignment horizontal="center"/>
    </xf>
    <xf numFmtId="43" fontId="0" fillId="0" borderId="0" xfId="36" applyFont="1" applyFill="1"/>
    <xf numFmtId="0" fontId="6" fillId="0" borderId="26" xfId="0" applyFont="1" applyBorder="1" applyAlignment="1">
      <alignment horizontal="left" indent="1"/>
    </xf>
    <xf numFmtId="38" fontId="6" fillId="0" borderId="48" xfId="0" applyNumberFormat="1" applyFont="1" applyBorder="1" applyProtection="1">
      <protection locked="0"/>
    </xf>
    <xf numFmtId="38" fontId="6" fillId="0" borderId="49" xfId="0" applyNumberFormat="1" applyFont="1" applyBorder="1" applyProtection="1">
      <protection locked="0"/>
    </xf>
    <xf numFmtId="0" fontId="47" fillId="0" borderId="51" xfId="0" applyFont="1" applyBorder="1" applyAlignment="1">
      <alignment horizontal="centerContinuous"/>
    </xf>
    <xf numFmtId="39" fontId="6" fillId="0" borderId="32" xfId="0" applyNumberFormat="1" applyFont="1" applyBorder="1"/>
    <xf numFmtId="5" fontId="6" fillId="0" borderId="0" xfId="44" applyNumberFormat="1" applyFont="1" applyFill="1" applyProtection="1"/>
    <xf numFmtId="43" fontId="0" fillId="0" borderId="0" xfId="36" applyFont="1" applyAlignment="1" applyProtection="1">
      <alignment horizontal="centerContinuous"/>
    </xf>
    <xf numFmtId="37" fontId="6" fillId="0" borderId="21" xfId="0" quotePrefix="1" applyNumberFormat="1" applyFont="1" applyBorder="1"/>
    <xf numFmtId="3" fontId="0" fillId="0" borderId="33" xfId="0" applyNumberFormat="1" applyBorder="1"/>
    <xf numFmtId="0" fontId="0" fillId="0" borderId="0" xfId="0" quotePrefix="1" applyAlignment="1">
      <alignment horizontal="center"/>
    </xf>
    <xf numFmtId="1" fontId="0" fillId="0" borderId="0" xfId="0" applyNumberFormat="1"/>
    <xf numFmtId="1" fontId="42" fillId="0" borderId="141" xfId="0" applyNumberFormat="1" applyFont="1" applyBorder="1" applyAlignment="1">
      <alignment horizontal="centerContinuous" vertical="center"/>
    </xf>
    <xf numFmtId="1" fontId="42" fillId="0" borderId="23" xfId="0" applyNumberFormat="1" applyFont="1" applyBorder="1" applyAlignment="1">
      <alignment horizontal="center"/>
    </xf>
    <xf numFmtId="1" fontId="42" fillId="0" borderId="20" xfId="0" applyNumberFormat="1" applyFont="1" applyBorder="1"/>
    <xf numFmtId="1" fontId="42" fillId="0" borderId="23" xfId="0" applyNumberFormat="1" applyFont="1" applyBorder="1"/>
    <xf numFmtId="1" fontId="42" fillId="0" borderId="19" xfId="0" applyNumberFormat="1" applyFont="1" applyBorder="1"/>
    <xf numFmtId="1" fontId="3" fillId="0" borderId="76" xfId="0" applyNumberFormat="1" applyFont="1" applyBorder="1" applyAlignment="1">
      <alignment horizontal="centerContinuous"/>
    </xf>
    <xf numFmtId="1" fontId="3" fillId="0" borderId="0" xfId="0" applyNumberFormat="1" applyFont="1"/>
    <xf numFmtId="1" fontId="38" fillId="0" borderId="0" xfId="0" applyNumberFormat="1" applyFont="1" applyAlignment="1">
      <alignment horizontal="centerContinuous"/>
    </xf>
    <xf numFmtId="1" fontId="75" fillId="0" borderId="0" xfId="0" applyNumberFormat="1" applyFont="1"/>
    <xf numFmtId="37" fontId="42" fillId="9" borderId="141" xfId="0" applyNumberFormat="1" applyFont="1" applyFill="1" applyBorder="1" applyAlignment="1">
      <alignment horizontal="centerContinuous" vertical="center"/>
    </xf>
    <xf numFmtId="37" fontId="3" fillId="0" borderId="0" xfId="0" applyNumberFormat="1" applyFont="1"/>
    <xf numFmtId="37" fontId="3" fillId="0" borderId="0" xfId="0" applyNumberFormat="1" applyFont="1" applyAlignment="1">
      <alignment horizontal="centerContinuous"/>
    </xf>
    <xf numFmtId="37" fontId="3" fillId="0" borderId="0" xfId="0" applyNumberFormat="1" applyFont="1" applyAlignment="1">
      <alignment horizontal="centerContinuous" vertical="center"/>
    </xf>
    <xf numFmtId="178" fontId="6" fillId="0" borderId="0" xfId="36" applyNumberFormat="1" applyFont="1" applyBorder="1"/>
    <xf numFmtId="178" fontId="6" fillId="0" borderId="0" xfId="36" applyNumberFormat="1" applyFont="1" applyBorder="1" applyAlignment="1" applyProtection="1">
      <alignment horizontal="centerContinuous"/>
    </xf>
    <xf numFmtId="37" fontId="0" fillId="0" borderId="23" xfId="0" quotePrefix="1" applyNumberFormat="1" applyBorder="1"/>
    <xf numFmtId="0" fontId="6" fillId="0" borderId="45" xfId="0" applyFont="1" applyBorder="1" applyAlignment="1">
      <alignment horizontal="center"/>
    </xf>
    <xf numFmtId="0" fontId="61" fillId="0" borderId="0" xfId="0" applyFont="1" applyAlignment="1">
      <alignment horizontal="right" vertical="center"/>
    </xf>
    <xf numFmtId="0" fontId="61" fillId="0" borderId="13" xfId="0" applyFont="1" applyBorder="1" applyAlignment="1">
      <alignment horizontal="right" vertical="center"/>
    </xf>
    <xf numFmtId="178" fontId="29" fillId="0" borderId="12" xfId="36" applyNumberFormat="1" applyFont="1" applyFill="1" applyBorder="1" applyAlignment="1" applyProtection="1">
      <alignment horizontal="left"/>
      <protection locked="0"/>
    </xf>
    <xf numFmtId="178" fontId="29" fillId="0" borderId="12" xfId="36" applyNumberFormat="1" applyFont="1" applyFill="1" applyBorder="1" applyAlignment="1" applyProtection="1">
      <alignment horizontal="right"/>
      <protection locked="0"/>
    </xf>
    <xf numFmtId="0" fontId="6" fillId="0" borderId="0" xfId="80"/>
    <xf numFmtId="5" fontId="6" fillId="0" borderId="33" xfId="80" applyNumberFormat="1" applyBorder="1"/>
    <xf numFmtId="37" fontId="6" fillId="0" borderId="33" xfId="80" applyNumberFormat="1" applyBorder="1"/>
    <xf numFmtId="0" fontId="6" fillId="0" borderId="0" xfId="80" applyAlignment="1">
      <alignment horizontal="right"/>
    </xf>
    <xf numFmtId="0" fontId="6" fillId="0" borderId="0" xfId="80" applyAlignment="1">
      <alignment horizontal="left"/>
    </xf>
    <xf numFmtId="0" fontId="6" fillId="0" borderId="0" xfId="80" quotePrefix="1" applyAlignment="1">
      <alignment horizontal="right"/>
    </xf>
    <xf numFmtId="0" fontId="81" fillId="0" borderId="24" xfId="0" applyFont="1" applyBorder="1"/>
    <xf numFmtId="0" fontId="81" fillId="0" borderId="24" xfId="0" applyFont="1" applyBorder="1" applyAlignment="1">
      <alignment horizontal="left"/>
    </xf>
    <xf numFmtId="173" fontId="42" fillId="9" borderId="28" xfId="0" applyNumberFormat="1" applyFont="1" applyFill="1" applyBorder="1" applyAlignment="1">
      <alignment horizontal="center"/>
    </xf>
    <xf numFmtId="0" fontId="42" fillId="9" borderId="142" xfId="0" applyFont="1" applyFill="1" applyBorder="1" applyAlignment="1">
      <alignment horizontal="center" vertical="center"/>
    </xf>
    <xf numFmtId="0" fontId="42" fillId="9" borderId="37" xfId="0" applyFont="1" applyFill="1" applyBorder="1" applyAlignment="1">
      <alignment horizontal="center" vertical="center"/>
    </xf>
    <xf numFmtId="0" fontId="0" fillId="0" borderId="73" xfId="0" applyBorder="1" applyAlignment="1">
      <alignment horizontal="center"/>
    </xf>
    <xf numFmtId="0" fontId="54" fillId="9" borderId="93" xfId="0" applyFont="1" applyFill="1" applyBorder="1" applyAlignment="1">
      <alignment horizontal="center" vertical="center"/>
    </xf>
    <xf numFmtId="37" fontId="54" fillId="9" borderId="23" xfId="0" applyNumberFormat="1" applyFont="1" applyFill="1" applyBorder="1" applyAlignment="1">
      <alignment horizontal="center" vertical="center"/>
    </xf>
    <xf numFmtId="37" fontId="54" fillId="0" borderId="23" xfId="0" applyNumberFormat="1" applyFont="1" applyBorder="1" applyAlignment="1">
      <alignment horizontal="center"/>
    </xf>
    <xf numFmtId="37" fontId="54" fillId="9" borderId="23" xfId="0" applyNumberFormat="1" applyFont="1" applyFill="1" applyBorder="1" applyAlignment="1">
      <alignment horizontal="center"/>
    </xf>
    <xf numFmtId="37" fontId="54" fillId="9" borderId="13" xfId="0" applyNumberFormat="1" applyFont="1" applyFill="1" applyBorder="1" applyAlignment="1">
      <alignment horizontal="center" vertical="center"/>
    </xf>
    <xf numFmtId="37" fontId="54" fillId="0" borderId="13" xfId="0" applyNumberFormat="1" applyFont="1" applyBorder="1" applyAlignment="1">
      <alignment horizontal="center"/>
    </xf>
    <xf numFmtId="16" fontId="54" fillId="0" borderId="23" xfId="0" quotePrefix="1" applyNumberFormat="1" applyFont="1" applyBorder="1" applyAlignment="1">
      <alignment horizontal="center"/>
    </xf>
    <xf numFmtId="16" fontId="54" fillId="0" borderId="23" xfId="0" applyNumberFormat="1" applyFont="1" applyBorder="1" applyAlignment="1">
      <alignment horizontal="center"/>
    </xf>
    <xf numFmtId="16" fontId="54" fillId="0" borderId="13" xfId="0" quotePrefix="1" applyNumberFormat="1" applyFont="1" applyBorder="1" applyAlignment="1">
      <alignment horizontal="center"/>
    </xf>
    <xf numFmtId="0" fontId="54" fillId="0" borderId="13" xfId="0" applyFont="1" applyBorder="1" applyAlignment="1">
      <alignment horizontal="center"/>
    </xf>
    <xf numFmtId="7" fontId="54" fillId="0" borderId="23" xfId="0" applyNumberFormat="1" applyFont="1" applyBorder="1" applyAlignment="1">
      <alignment horizontal="center"/>
    </xf>
    <xf numFmtId="7" fontId="54" fillId="0" borderId="13" xfId="0" applyNumberFormat="1" applyFont="1" applyBorder="1" applyAlignment="1">
      <alignment horizontal="center"/>
    </xf>
    <xf numFmtId="7" fontId="54" fillId="0" borderId="30" xfId="0" applyNumberFormat="1" applyFont="1" applyBorder="1" applyAlignment="1">
      <alignment horizontal="center"/>
    </xf>
    <xf numFmtId="7" fontId="54" fillId="0" borderId="17" xfId="0" applyNumberFormat="1" applyFont="1" applyBorder="1" applyAlignment="1">
      <alignment horizontal="center"/>
    </xf>
    <xf numFmtId="37" fontId="54" fillId="9" borderId="13" xfId="0" applyNumberFormat="1" applyFont="1" applyFill="1" applyBorder="1" applyAlignment="1">
      <alignment horizontal="center"/>
    </xf>
    <xf numFmtId="0" fontId="0" fillId="9" borderId="23" xfId="0" applyFill="1" applyBorder="1" applyAlignment="1">
      <alignment horizontal="center"/>
    </xf>
    <xf numFmtId="37" fontId="54" fillId="0" borderId="24" xfId="0" applyNumberFormat="1" applyFont="1" applyBorder="1" applyAlignment="1">
      <alignment horizontal="center"/>
    </xf>
    <xf numFmtId="16" fontId="54" fillId="0" borderId="13" xfId="0" applyNumberFormat="1" applyFont="1" applyBorder="1" applyAlignment="1">
      <alignment horizontal="center"/>
    </xf>
    <xf numFmtId="7" fontId="54" fillId="0" borderId="33" xfId="0" applyNumberFormat="1" applyFont="1" applyBorder="1" applyAlignment="1">
      <alignment horizontal="center"/>
    </xf>
    <xf numFmtId="37" fontId="6" fillId="0" borderId="23" xfId="0" applyNumberFormat="1" applyFont="1" applyBorder="1" applyAlignment="1">
      <alignment horizontal="center"/>
    </xf>
    <xf numFmtId="7" fontId="6" fillId="0" borderId="0" xfId="0" applyNumberFormat="1" applyFont="1" applyAlignment="1">
      <alignment horizontal="center"/>
    </xf>
    <xf numFmtId="7" fontId="6" fillId="0" borderId="24" xfId="0" applyNumberFormat="1" applyFont="1" applyBorder="1" applyAlignment="1">
      <alignment horizontal="center"/>
    </xf>
    <xf numFmtId="0" fontId="54" fillId="0" borderId="23" xfId="0" applyFont="1" applyBorder="1" applyAlignment="1">
      <alignment horizontal="center" vertical="center"/>
    </xf>
    <xf numFmtId="37" fontId="54" fillId="0" borderId="23" xfId="0" applyNumberFormat="1" applyFont="1" applyBorder="1" applyAlignment="1">
      <alignment horizontal="center" vertical="center"/>
    </xf>
    <xf numFmtId="178" fontId="6" fillId="0" borderId="23" xfId="36" applyNumberFormat="1" applyFont="1" applyFill="1" applyBorder="1" applyAlignment="1">
      <alignment horizontal="center"/>
    </xf>
    <xf numFmtId="7" fontId="0" fillId="0" borderId="17" xfId="0" applyNumberFormat="1" applyBorder="1" applyAlignment="1">
      <alignment horizontal="center"/>
    </xf>
    <xf numFmtId="0" fontId="54" fillId="9" borderId="35" xfId="0" applyFont="1" applyFill="1" applyBorder="1" applyAlignment="1">
      <alignment horizontal="center"/>
    </xf>
    <xf numFmtId="37" fontId="54" fillId="9" borderId="33" xfId="0" applyNumberFormat="1" applyFont="1" applyFill="1" applyBorder="1" applyAlignment="1">
      <alignment horizontal="center"/>
    </xf>
    <xf numFmtId="37" fontId="54" fillId="9" borderId="24" xfId="0" applyNumberFormat="1" applyFont="1" applyFill="1" applyBorder="1" applyAlignment="1">
      <alignment horizontal="center"/>
    </xf>
    <xf numFmtId="37" fontId="54" fillId="0" borderId="33" xfId="0" applyNumberFormat="1" applyFont="1" applyBorder="1" applyAlignment="1">
      <alignment horizontal="center"/>
    </xf>
    <xf numFmtId="3" fontId="0" fillId="0" borderId="24" xfId="0" applyNumberFormat="1" applyBorder="1" applyAlignment="1">
      <alignment horizontal="center"/>
    </xf>
    <xf numFmtId="3" fontId="54" fillId="0" borderId="23" xfId="0" applyNumberFormat="1" applyFont="1" applyBorder="1" applyAlignment="1">
      <alignment horizontal="center"/>
    </xf>
    <xf numFmtId="3" fontId="0" fillId="0" borderId="33" xfId="0" applyNumberFormat="1" applyBorder="1" applyAlignment="1">
      <alignment horizontal="center"/>
    </xf>
    <xf numFmtId="16" fontId="54" fillId="0" borderId="24" xfId="0" quotePrefix="1" applyNumberFormat="1" applyFont="1" applyBorder="1" applyAlignment="1">
      <alignment horizontal="center"/>
    </xf>
    <xf numFmtId="16" fontId="54" fillId="0" borderId="33" xfId="0" quotePrefix="1" applyNumberFormat="1" applyFont="1" applyBorder="1" applyAlignment="1">
      <alignment horizontal="center"/>
    </xf>
    <xf numFmtId="0" fontId="54" fillId="0" borderId="24" xfId="0" applyFont="1" applyBorder="1" applyAlignment="1">
      <alignment horizontal="center"/>
    </xf>
    <xf numFmtId="0" fontId="54" fillId="0" borderId="33" xfId="0" applyFont="1" applyBorder="1" applyAlignment="1">
      <alignment horizontal="center"/>
    </xf>
    <xf numFmtId="7" fontId="54" fillId="0" borderId="24" xfId="0" applyNumberFormat="1" applyFont="1" applyBorder="1" applyAlignment="1">
      <alignment horizontal="center"/>
    </xf>
    <xf numFmtId="7" fontId="54" fillId="0" borderId="124" xfId="0" applyNumberFormat="1" applyFont="1" applyBorder="1" applyAlignment="1">
      <alignment horizontal="center"/>
    </xf>
    <xf numFmtId="7" fontId="54" fillId="0" borderId="30" xfId="45" applyNumberFormat="1" applyFont="1" applyFill="1" applyBorder="1" applyAlignment="1" applyProtection="1">
      <alignment horizontal="center"/>
    </xf>
    <xf numFmtId="7" fontId="54" fillId="0" borderId="41" xfId="0" applyNumberFormat="1" applyFont="1" applyBorder="1" applyAlignment="1">
      <alignment horizontal="center"/>
    </xf>
    <xf numFmtId="0" fontId="42" fillId="9" borderId="96" xfId="0" applyFont="1" applyFill="1" applyBorder="1" applyAlignment="1">
      <alignment horizontal="center"/>
    </xf>
    <xf numFmtId="0" fontId="42" fillId="9" borderId="132" xfId="0" applyFont="1" applyFill="1" applyBorder="1" applyAlignment="1">
      <alignment horizontal="center"/>
    </xf>
    <xf numFmtId="0" fontId="42" fillId="9" borderId="132" xfId="0" applyFont="1" applyFill="1" applyBorder="1"/>
    <xf numFmtId="0" fontId="42" fillId="9" borderId="97" xfId="0" applyFont="1" applyFill="1" applyBorder="1" applyAlignment="1">
      <alignment horizontal="center"/>
    </xf>
    <xf numFmtId="3" fontId="0" fillId="0" borderId="93" xfId="0" applyNumberFormat="1" applyBorder="1" applyAlignment="1">
      <alignment horizontal="center" vertical="center"/>
    </xf>
    <xf numFmtId="3" fontId="0" fillId="0" borderId="13" xfId="0" applyNumberFormat="1" applyBorder="1" applyAlignment="1">
      <alignment horizontal="center" vertical="center"/>
    </xf>
    <xf numFmtId="3" fontId="0" fillId="0" borderId="143" xfId="0" applyNumberFormat="1" applyBorder="1" applyAlignment="1">
      <alignment horizontal="center" vertical="center"/>
    </xf>
    <xf numFmtId="3" fontId="0" fillId="0" borderId="17" xfId="0" applyNumberFormat="1" applyBorder="1" applyAlignment="1">
      <alignment horizontal="center" vertical="center"/>
    </xf>
    <xf numFmtId="3" fontId="0" fillId="0" borderId="144" xfId="0" applyNumberFormat="1" applyBorder="1" applyAlignment="1">
      <alignment horizontal="center" vertical="center"/>
    </xf>
    <xf numFmtId="3" fontId="0" fillId="0" borderId="71" xfId="0" applyNumberFormat="1" applyBorder="1" applyAlignment="1">
      <alignment horizontal="center" vertical="center"/>
    </xf>
    <xf numFmtId="3" fontId="0" fillId="0" borderId="145" xfId="0" applyNumberFormat="1" applyBorder="1" applyAlignment="1">
      <alignment horizontal="center" vertical="center"/>
    </xf>
    <xf numFmtId="3" fontId="0" fillId="0" borderId="146" xfId="0" applyNumberFormat="1" applyBorder="1" applyAlignment="1">
      <alignment horizontal="center" vertical="center"/>
    </xf>
    <xf numFmtId="3" fontId="0" fillId="0" borderId="147" xfId="0" applyNumberFormat="1" applyBorder="1" applyAlignment="1">
      <alignment horizontal="center" vertical="center"/>
    </xf>
    <xf numFmtId="3" fontId="0" fillId="0" borderId="11" xfId="0" applyNumberFormat="1" applyBorder="1" applyAlignment="1">
      <alignment horizontal="center" vertical="center"/>
    </xf>
    <xf numFmtId="3" fontId="0" fillId="0" borderId="131" xfId="0" applyNumberFormat="1" applyBorder="1" applyAlignment="1">
      <alignment horizontal="center" vertical="center"/>
    </xf>
    <xf numFmtId="3" fontId="0" fillId="0" borderId="148" xfId="0" applyNumberFormat="1" applyBorder="1" applyAlignment="1">
      <alignment horizontal="center" vertical="center"/>
    </xf>
    <xf numFmtId="3" fontId="0" fillId="0" borderId="140" xfId="0" applyNumberFormat="1" applyBorder="1" applyAlignment="1">
      <alignment horizontal="center" vertical="center"/>
    </xf>
    <xf numFmtId="3" fontId="0" fillId="0" borderId="24" xfId="0" applyNumberFormat="1" applyBorder="1" applyAlignment="1">
      <alignment horizontal="center" vertical="center"/>
    </xf>
    <xf numFmtId="3" fontId="0" fillId="0" borderId="31" xfId="0" applyNumberFormat="1" applyBorder="1" applyAlignment="1">
      <alignment horizontal="center" vertical="center"/>
    </xf>
    <xf numFmtId="3" fontId="0" fillId="0" borderId="130" xfId="0" applyNumberFormat="1" applyBorder="1" applyAlignment="1">
      <alignment horizontal="center" vertical="center"/>
    </xf>
    <xf numFmtId="3" fontId="0" fillId="0" borderId="23" xfId="0" applyNumberFormat="1" applyBorder="1" applyAlignment="1">
      <alignment horizontal="center" vertical="center"/>
    </xf>
    <xf numFmtId="3" fontId="0" fillId="0" borderId="73" xfId="0" applyNumberFormat="1" applyBorder="1" applyAlignment="1">
      <alignment horizontal="center" vertical="center"/>
    </xf>
    <xf numFmtId="3" fontId="0" fillId="0" borderId="149" xfId="0" applyNumberFormat="1" applyBorder="1" applyAlignment="1">
      <alignment horizontal="center" vertical="center"/>
    </xf>
    <xf numFmtId="3" fontId="0" fillId="0" borderId="40" xfId="0" applyNumberFormat="1" applyBorder="1" applyAlignment="1">
      <alignment horizontal="center" vertical="center"/>
    </xf>
    <xf numFmtId="37" fontId="0" fillId="0" borderId="0" xfId="0" applyNumberFormat="1" applyAlignment="1">
      <alignment horizontal="center"/>
    </xf>
    <xf numFmtId="37" fontId="6" fillId="0" borderId="12" xfId="80" applyNumberFormat="1" applyBorder="1"/>
    <xf numFmtId="37" fontId="6" fillId="0" borderId="0" xfId="80" applyNumberFormat="1"/>
    <xf numFmtId="0" fontId="6" fillId="0" borderId="13" xfId="80" applyBorder="1" applyAlignment="1">
      <alignment horizontal="center"/>
    </xf>
    <xf numFmtId="37" fontId="6" fillId="0" borderId="0" xfId="80" applyNumberFormat="1" applyAlignment="1">
      <alignment horizontal="center"/>
    </xf>
    <xf numFmtId="5" fontId="6" fillId="0" borderId="12" xfId="80" applyNumberFormat="1" applyBorder="1"/>
    <xf numFmtId="5" fontId="6" fillId="0" borderId="0" xfId="80" applyNumberFormat="1"/>
    <xf numFmtId="5" fontId="6" fillId="0" borderId="0" xfId="80" applyNumberFormat="1" applyAlignment="1">
      <alignment horizontal="center"/>
    </xf>
    <xf numFmtId="37" fontId="6" fillId="0" borderId="0" xfId="80" quotePrefix="1" applyNumberFormat="1"/>
    <xf numFmtId="49" fontId="6" fillId="0" borderId="0" xfId="80" applyNumberFormat="1" applyAlignment="1">
      <alignment horizontal="center"/>
    </xf>
    <xf numFmtId="0" fontId="6" fillId="0" borderId="16" xfId="80" applyBorder="1" applyAlignment="1">
      <alignment horizontal="left"/>
    </xf>
    <xf numFmtId="0" fontId="6" fillId="0" borderId="14" xfId="80" applyBorder="1"/>
    <xf numFmtId="0" fontId="6" fillId="0" borderId="17" xfId="80" applyBorder="1" applyAlignment="1">
      <alignment horizontal="center"/>
    </xf>
    <xf numFmtId="0" fontId="4" fillId="0" borderId="80" xfId="0" applyFont="1" applyBorder="1"/>
    <xf numFmtId="0" fontId="4" fillId="0" borderId="82" xfId="0" applyFont="1" applyBorder="1"/>
    <xf numFmtId="0" fontId="4" fillId="0" borderId="76" xfId="0" applyFont="1" applyBorder="1"/>
    <xf numFmtId="0" fontId="4" fillId="0" borderId="76" xfId="0" applyFont="1" applyBorder="1" applyAlignment="1">
      <alignment horizontal="centerContinuous" vertical="center"/>
    </xf>
    <xf numFmtId="0" fontId="4" fillId="0" borderId="24" xfId="0" applyFont="1" applyBorder="1" applyAlignment="1">
      <alignment horizontal="left" vertical="center"/>
    </xf>
    <xf numFmtId="0" fontId="4" fillId="0" borderId="24" xfId="0" applyFont="1" applyBorder="1" applyAlignment="1">
      <alignment horizontal="center" vertical="center"/>
    </xf>
    <xf numFmtId="0" fontId="4" fillId="0" borderId="24" xfId="0" applyFont="1" applyBorder="1" applyAlignment="1">
      <alignment horizontal="left"/>
    </xf>
    <xf numFmtId="0" fontId="4" fillId="0" borderId="24" xfId="0" applyFont="1" applyBorder="1" applyAlignment="1">
      <alignment horizontal="center"/>
    </xf>
    <xf numFmtId="0" fontId="4" fillId="0" borderId="24" xfId="0" applyFont="1" applyBorder="1" applyAlignment="1">
      <alignment vertical="center"/>
    </xf>
    <xf numFmtId="37" fontId="4" fillId="0" borderId="0" xfId="0" applyNumberFormat="1" applyFont="1" applyAlignment="1">
      <alignment horizontal="center" vertical="center"/>
    </xf>
    <xf numFmtId="37" fontId="6" fillId="0" borderId="38" xfId="0" applyNumberFormat="1" applyFont="1" applyBorder="1"/>
    <xf numFmtId="0" fontId="3" fillId="0" borderId="0" xfId="0" applyFont="1" applyAlignment="1">
      <alignment horizontal="center"/>
    </xf>
    <xf numFmtId="0" fontId="43" fillId="9" borderId="82" xfId="0" applyFont="1" applyFill="1" applyBorder="1"/>
    <xf numFmtId="37" fontId="42" fillId="0" borderId="76" xfId="0" applyNumberFormat="1" applyFont="1" applyBorder="1"/>
    <xf numFmtId="37" fontId="42" fillId="0" borderId="83" xfId="0" applyNumberFormat="1" applyFont="1" applyBorder="1"/>
    <xf numFmtId="0" fontId="43" fillId="9" borderId="105" xfId="0" applyFont="1" applyFill="1" applyBorder="1"/>
    <xf numFmtId="37" fontId="42" fillId="9" borderId="83" xfId="0" applyNumberFormat="1" applyFont="1" applyFill="1" applyBorder="1"/>
    <xf numFmtId="37" fontId="6" fillId="0" borderId="32" xfId="0" quotePrefix="1" applyNumberFormat="1" applyFont="1" applyBorder="1"/>
    <xf numFmtId="5" fontId="0" fillId="0" borderId="0" xfId="0" applyNumberFormat="1" applyAlignment="1">
      <alignment horizontal="centerContinuous"/>
    </xf>
    <xf numFmtId="3" fontId="54" fillId="9" borderId="23" xfId="0" applyNumberFormat="1" applyFont="1" applyFill="1" applyBorder="1" applyAlignment="1">
      <alignment horizontal="center"/>
    </xf>
    <xf numFmtId="3" fontId="42" fillId="0" borderId="24" xfId="0" applyNumberFormat="1" applyFont="1" applyBorder="1" applyAlignment="1">
      <alignment horizontal="center" vertical="center"/>
    </xf>
    <xf numFmtId="3" fontId="38" fillId="0" borderId="24" xfId="0" applyNumberFormat="1" applyFont="1" applyBorder="1" applyAlignment="1">
      <alignment horizontal="center" vertical="center"/>
    </xf>
    <xf numFmtId="3" fontId="4" fillId="0" borderId="24" xfId="0" applyNumberFormat="1" applyFont="1" applyBorder="1" applyAlignment="1">
      <alignment horizontal="center" vertical="center"/>
    </xf>
    <xf numFmtId="3" fontId="42" fillId="0" borderId="24" xfId="0" applyNumberFormat="1" applyFont="1" applyBorder="1" applyAlignment="1">
      <alignment horizontal="right" vertical="center"/>
    </xf>
    <xf numFmtId="0" fontId="42" fillId="0" borderId="81" xfId="0" applyFont="1" applyBorder="1" applyAlignment="1">
      <alignment horizontal="right" vertical="center"/>
    </xf>
    <xf numFmtId="39" fontId="42" fillId="0" borderId="81" xfId="0" applyNumberFormat="1" applyFont="1" applyBorder="1" applyAlignment="1">
      <alignment horizontal="right" vertical="center"/>
    </xf>
    <xf numFmtId="0" fontId="42" fillId="0" borderId="132" xfId="0" applyFont="1" applyBorder="1" applyAlignment="1">
      <alignment horizontal="center" vertical="center"/>
    </xf>
    <xf numFmtId="178" fontId="3" fillId="0" borderId="150" xfId="36" applyNumberFormat="1" applyFont="1" applyFill="1" applyBorder="1" applyAlignment="1">
      <alignment horizontal="center"/>
    </xf>
    <xf numFmtId="0" fontId="3" fillId="0" borderId="151" xfId="0" applyFont="1" applyBorder="1" applyAlignment="1">
      <alignment horizontal="center"/>
    </xf>
    <xf numFmtId="4" fontId="0" fillId="0" borderId="0" xfId="0" applyNumberFormat="1" applyAlignment="1">
      <alignment horizontal="center"/>
    </xf>
    <xf numFmtId="4" fontId="54" fillId="0" borderId="0" xfId="0" applyNumberFormat="1" applyFont="1" applyAlignment="1">
      <alignment horizontal="center"/>
    </xf>
    <xf numFmtId="0" fontId="42" fillId="0" borderId="24" xfId="0" applyFont="1" applyBorder="1" applyAlignment="1">
      <alignment horizontal="right"/>
    </xf>
    <xf numFmtId="178" fontId="42" fillId="0" borderId="24" xfId="36" applyNumberFormat="1" applyFont="1" applyFill="1" applyBorder="1" applyAlignment="1">
      <alignment horizontal="right" vertical="center"/>
    </xf>
    <xf numFmtId="178" fontId="42" fillId="0" borderId="24" xfId="36" applyNumberFormat="1" applyFont="1" applyFill="1" applyBorder="1" applyAlignment="1" applyProtection="1">
      <alignment horizontal="right" vertical="center"/>
    </xf>
    <xf numFmtId="178" fontId="38" fillId="0" borderId="24" xfId="36" applyNumberFormat="1" applyFont="1" applyFill="1" applyBorder="1" applyAlignment="1" applyProtection="1">
      <alignment horizontal="right" vertical="center"/>
    </xf>
    <xf numFmtId="178" fontId="4" fillId="0" borderId="24" xfId="36" applyNumberFormat="1" applyFont="1" applyFill="1" applyBorder="1" applyAlignment="1" applyProtection="1">
      <alignment horizontal="right" vertical="center"/>
    </xf>
    <xf numFmtId="178" fontId="74" fillId="0" borderId="24" xfId="36" applyNumberFormat="1" applyFont="1" applyFill="1" applyBorder="1" applyAlignment="1">
      <alignment horizontal="right" vertical="center"/>
    </xf>
    <xf numFmtId="178" fontId="38" fillId="0" borderId="24" xfId="36" applyNumberFormat="1" applyFont="1" applyFill="1" applyBorder="1" applyAlignment="1">
      <alignment horizontal="right" vertical="center"/>
    </xf>
    <xf numFmtId="178" fontId="4" fillId="0" borderId="24" xfId="36" applyNumberFormat="1" applyFont="1" applyFill="1" applyBorder="1" applyAlignment="1">
      <alignment horizontal="right" vertical="center"/>
    </xf>
    <xf numFmtId="178" fontId="42" fillId="0" borderId="24" xfId="36" applyNumberFormat="1" applyFont="1" applyFill="1" applyBorder="1" applyAlignment="1">
      <alignment horizontal="right"/>
    </xf>
    <xf numFmtId="0" fontId="42" fillId="0" borderId="80" xfId="0" applyFont="1" applyBorder="1" applyAlignment="1">
      <alignment horizontal="center"/>
    </xf>
    <xf numFmtId="178" fontId="42" fillId="0" borderId="24" xfId="36" applyNumberFormat="1" applyFont="1" applyFill="1" applyBorder="1" applyAlignment="1">
      <alignment horizontal="center" vertical="center"/>
    </xf>
    <xf numFmtId="178" fontId="42" fillId="0" borderId="24" xfId="36" applyNumberFormat="1" applyFont="1" applyFill="1" applyBorder="1" applyAlignment="1" applyProtection="1">
      <alignment horizontal="center" vertical="center"/>
    </xf>
    <xf numFmtId="178" fontId="38" fillId="0" borderId="24" xfId="36" applyNumberFormat="1" applyFont="1" applyFill="1" applyBorder="1" applyAlignment="1" applyProtection="1">
      <alignment horizontal="center" vertical="center"/>
    </xf>
    <xf numFmtId="0" fontId="3" fillId="0" borderId="83" xfId="0" applyFont="1" applyBorder="1"/>
    <xf numFmtId="178" fontId="42" fillId="0" borderId="0" xfId="36" applyNumberFormat="1" applyFont="1" applyFill="1" applyBorder="1" applyAlignment="1">
      <alignment horizontal="center"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8" fontId="42" fillId="0" borderId="0" xfId="36" applyNumberFormat="1" applyFont="1" applyFill="1" applyBorder="1" applyAlignment="1" applyProtection="1">
      <alignment horizontal="center" vertical="center"/>
    </xf>
    <xf numFmtId="0" fontId="4" fillId="0" borderId="0" xfId="0" applyFont="1" applyAlignment="1">
      <alignment horizontal="left" vertical="center"/>
    </xf>
    <xf numFmtId="0" fontId="38" fillId="0" borderId="0" xfId="0" applyFont="1" applyAlignment="1">
      <alignment vertical="center"/>
    </xf>
    <xf numFmtId="178" fontId="38" fillId="0" borderId="0" xfId="36" applyNumberFormat="1" applyFont="1" applyFill="1" applyBorder="1" applyAlignment="1" applyProtection="1">
      <alignment horizontal="center" vertical="center"/>
    </xf>
    <xf numFmtId="178" fontId="42" fillId="0" borderId="0" xfId="36" applyNumberFormat="1" applyFont="1" applyFill="1" applyBorder="1" applyAlignment="1" applyProtection="1">
      <alignment horizontal="right" vertical="center"/>
    </xf>
    <xf numFmtId="3" fontId="42" fillId="0" borderId="0" xfId="0" applyNumberFormat="1" applyFont="1" applyAlignment="1">
      <alignment horizontal="center" vertical="center"/>
    </xf>
    <xf numFmtId="178" fontId="4" fillId="0" borderId="0" xfId="36" applyNumberFormat="1" applyFont="1" applyFill="1" applyBorder="1" applyAlignment="1" applyProtection="1">
      <alignment horizontal="right" vertical="center"/>
    </xf>
    <xf numFmtId="0" fontId="4" fillId="0" borderId="0" xfId="0" applyFont="1" applyAlignment="1">
      <alignment vertical="center"/>
    </xf>
    <xf numFmtId="0" fontId="4" fillId="0" borderId="0" xfId="0" applyFont="1" applyAlignment="1">
      <alignment horizontal="center" vertical="center"/>
    </xf>
    <xf numFmtId="0" fontId="3" fillId="0" borderId="76" xfId="0" applyFont="1" applyBorder="1" applyAlignment="1">
      <alignment horizontal="center"/>
    </xf>
    <xf numFmtId="0" fontId="42" fillId="9" borderId="78" xfId="0" quotePrefix="1" applyFont="1" applyFill="1" applyBorder="1" applyAlignment="1">
      <alignment horizontal="center"/>
    </xf>
    <xf numFmtId="0" fontId="42" fillId="9" borderId="78" xfId="0" applyFont="1" applyFill="1" applyBorder="1"/>
    <xf numFmtId="0" fontId="42" fillId="9" borderId="78" xfId="0" applyFont="1" applyFill="1" applyBorder="1" applyAlignment="1">
      <alignment horizontal="center"/>
    </xf>
    <xf numFmtId="0" fontId="42" fillId="9" borderId="0" xfId="0" applyFont="1" applyFill="1" applyAlignment="1">
      <alignment horizontal="center"/>
    </xf>
    <xf numFmtId="0" fontId="42" fillId="0" borderId="0" xfId="0" applyFont="1" applyAlignment="1">
      <alignment horizontal="right"/>
    </xf>
    <xf numFmtId="0" fontId="42" fillId="0" borderId="0" xfId="0" applyFont="1"/>
    <xf numFmtId="43" fontId="47" fillId="0" borderId="0" xfId="36" applyFont="1" applyProtection="1"/>
    <xf numFmtId="39" fontId="47" fillId="0" borderId="13" xfId="0" applyNumberFormat="1" applyFont="1" applyBorder="1"/>
    <xf numFmtId="0" fontId="6" fillId="0" borderId="0" xfId="0" quotePrefix="1" applyFont="1" applyAlignment="1">
      <alignment horizontal="centerContinuous"/>
    </xf>
    <xf numFmtId="168" fontId="6" fillId="0" borderId="0" xfId="83" applyNumberFormat="1" applyFont="1"/>
    <xf numFmtId="0" fontId="6" fillId="0" borderId="0" xfId="83" applyFont="1"/>
    <xf numFmtId="0" fontId="6" fillId="0" borderId="0" xfId="0" quotePrefix="1" applyFont="1" applyAlignment="1">
      <alignment horizontal="center"/>
    </xf>
    <xf numFmtId="178" fontId="0" fillId="0" borderId="0" xfId="0" applyNumberFormat="1"/>
    <xf numFmtId="43" fontId="0" fillId="0" borderId="0" xfId="36" applyFont="1" applyAlignment="1">
      <alignment horizontal="center"/>
    </xf>
    <xf numFmtId="5" fontId="6" fillId="0" borderId="36" xfId="0" applyNumberFormat="1" applyFont="1" applyBorder="1"/>
    <xf numFmtId="179" fontId="6" fillId="0" borderId="21" xfId="83" applyNumberFormat="1" applyFont="1" applyBorder="1"/>
    <xf numFmtId="179" fontId="6" fillId="0" borderId="24" xfId="83" applyNumberFormat="1" applyFont="1" applyBorder="1"/>
    <xf numFmtId="10" fontId="6" fillId="0" borderId="21" xfId="83" applyNumberFormat="1" applyFont="1" applyBorder="1"/>
    <xf numFmtId="10" fontId="6" fillId="0" borderId="24" xfId="83" applyNumberFormat="1" applyFont="1" applyBorder="1"/>
    <xf numFmtId="0" fontId="6" fillId="0" borderId="21" xfId="83" applyFont="1" applyBorder="1" applyAlignment="1">
      <alignment horizontal="center"/>
    </xf>
    <xf numFmtId="0" fontId="6" fillId="0" borderId="24" xfId="83" applyFont="1" applyBorder="1" applyAlignment="1">
      <alignment horizontal="center"/>
    </xf>
    <xf numFmtId="3" fontId="42" fillId="9" borderId="90" xfId="0" applyNumberFormat="1" applyFont="1" applyFill="1" applyBorder="1" applyAlignment="1">
      <alignment horizontal="center" vertical="center"/>
    </xf>
    <xf numFmtId="37" fontId="42" fillId="9" borderId="90" xfId="0" applyNumberFormat="1" applyFont="1" applyFill="1" applyBorder="1" applyAlignment="1">
      <alignment horizontal="center" vertical="center"/>
    </xf>
    <xf numFmtId="37" fontId="42" fillId="9" borderId="152" xfId="0" applyNumberFormat="1" applyFont="1" applyFill="1" applyBorder="1" applyAlignment="1">
      <alignment horizontal="center" vertical="center"/>
    </xf>
    <xf numFmtId="37" fontId="42" fillId="0" borderId="33" xfId="0" applyNumberFormat="1" applyFont="1" applyBorder="1" applyAlignment="1">
      <alignment horizontal="center" vertical="center"/>
    </xf>
    <xf numFmtId="37" fontId="42" fillId="9" borderId="104" xfId="0" applyNumberFormat="1" applyFont="1" applyFill="1" applyBorder="1" applyAlignment="1">
      <alignment horizontal="center" vertical="center"/>
    </xf>
    <xf numFmtId="0" fontId="42" fillId="9" borderId="104" xfId="0" applyFont="1" applyFill="1" applyBorder="1" applyAlignment="1">
      <alignment horizontal="center" vertical="center"/>
    </xf>
    <xf numFmtId="0" fontId="42" fillId="9" borderId="153" xfId="0" applyFont="1" applyFill="1" applyBorder="1" applyAlignment="1">
      <alignment horizontal="center" vertical="center"/>
    </xf>
    <xf numFmtId="0" fontId="42" fillId="9" borderId="81" xfId="0" applyFont="1" applyFill="1" applyBorder="1" applyAlignment="1">
      <alignment horizontal="center" vertical="center"/>
    </xf>
    <xf numFmtId="0" fontId="42" fillId="9" borderId="45" xfId="0" applyFont="1" applyFill="1" applyBorder="1" applyAlignment="1">
      <alignment horizontal="center" vertical="center"/>
    </xf>
    <xf numFmtId="37" fontId="54" fillId="0" borderId="31" xfId="0" applyNumberFormat="1" applyFont="1" applyBorder="1" applyAlignment="1">
      <alignment horizontal="center"/>
    </xf>
    <xf numFmtId="37" fontId="54" fillId="0" borderId="30" xfId="0" applyNumberFormat="1" applyFont="1" applyBorder="1" applyAlignment="1">
      <alignment horizontal="center"/>
    </xf>
    <xf numFmtId="0" fontId="4" fillId="0" borderId="0" xfId="0" applyFont="1"/>
    <xf numFmtId="178" fontId="4" fillId="0" borderId="0" xfId="0" applyNumberFormat="1" applyFont="1"/>
    <xf numFmtId="39" fontId="4" fillId="0" borderId="0" xfId="0" applyNumberFormat="1" applyFont="1"/>
    <xf numFmtId="3" fontId="42" fillId="0" borderId="23" xfId="0" applyNumberFormat="1" applyFont="1" applyBorder="1" applyAlignment="1">
      <alignment horizontal="center" vertical="center"/>
    </xf>
    <xf numFmtId="0" fontId="48" fillId="0" borderId="26" xfId="0" applyFont="1" applyBorder="1"/>
    <xf numFmtId="5" fontId="47" fillId="0" borderId="0" xfId="36" applyNumberFormat="1" applyFont="1" applyProtection="1"/>
    <xf numFmtId="0" fontId="6" fillId="0" borderId="23" xfId="80" applyBorder="1"/>
    <xf numFmtId="14" fontId="0" fillId="0" borderId="0" xfId="0" applyNumberFormat="1" applyAlignment="1">
      <alignment horizontal="right"/>
    </xf>
    <xf numFmtId="5" fontId="0" fillId="0" borderId="49" xfId="0" applyNumberFormat="1" applyBorder="1"/>
    <xf numFmtId="180" fontId="6" fillId="0" borderId="33" xfId="45" applyNumberFormat="1" applyFont="1" applyFill="1" applyBorder="1" applyProtection="1"/>
    <xf numFmtId="42" fontId="0" fillId="0" borderId="63" xfId="0" applyNumberFormat="1" applyBorder="1"/>
    <xf numFmtId="43" fontId="0" fillId="0" borderId="12" xfId="36" applyFont="1" applyBorder="1" applyProtection="1"/>
    <xf numFmtId="0" fontId="4" fillId="0" borderId="0" xfId="0" applyFont="1" applyAlignment="1">
      <alignment horizontal="centerContinuous" vertical="center"/>
    </xf>
    <xf numFmtId="0" fontId="3" fillId="0" borderId="155" xfId="0" applyFont="1" applyBorder="1"/>
    <xf numFmtId="0" fontId="42" fillId="0" borderId="135" xfId="0" applyFont="1" applyBorder="1" applyAlignment="1">
      <alignment horizontal="centerContinuous" vertical="center"/>
    </xf>
    <xf numFmtId="0" fontId="3" fillId="0" borderId="135" xfId="0" applyFont="1" applyBorder="1" applyAlignment="1">
      <alignment horizontal="left" vertical="center"/>
    </xf>
    <xf numFmtId="0" fontId="6" fillId="0" borderId="23" xfId="0" applyFont="1" applyBorder="1" applyAlignment="1">
      <alignment horizontal="left" wrapText="1"/>
    </xf>
    <xf numFmtId="0" fontId="29" fillId="0" borderId="19" xfId="0" applyFont="1" applyBorder="1" applyProtection="1">
      <protection locked="0"/>
    </xf>
    <xf numFmtId="0" fontId="47" fillId="0" borderId="0" xfId="80" applyFont="1"/>
    <xf numFmtId="0" fontId="6" fillId="0" borderId="0" xfId="80" applyAlignment="1">
      <alignment horizontal="center"/>
    </xf>
    <xf numFmtId="0" fontId="80" fillId="0" borderId="0" xfId="78" applyFill="1" applyBorder="1"/>
    <xf numFmtId="0" fontId="30" fillId="0" borderId="0" xfId="0" applyFont="1" applyAlignment="1">
      <alignment horizontal="left"/>
    </xf>
    <xf numFmtId="0" fontId="6" fillId="0" borderId="6" xfId="57" applyFont="1" applyFill="1" applyAlignment="1">
      <alignment horizontal="left"/>
    </xf>
    <xf numFmtId="0" fontId="7" fillId="0" borderId="0" xfId="0" quotePrefix="1" applyFont="1" applyAlignment="1">
      <alignment horizontal="center"/>
    </xf>
    <xf numFmtId="0" fontId="59" fillId="0" borderId="12" xfId="0" applyFont="1" applyBorder="1"/>
    <xf numFmtId="37" fontId="6" fillId="0" borderId="23" xfId="0" applyNumberFormat="1" applyFont="1" applyBorder="1" applyProtection="1">
      <protection locked="0"/>
    </xf>
    <xf numFmtId="37" fontId="6" fillId="0" borderId="23" xfId="0" applyNumberFormat="1" applyFont="1" applyBorder="1" applyAlignment="1" applyProtection="1">
      <alignment horizontal="right"/>
      <protection locked="0"/>
    </xf>
    <xf numFmtId="0" fontId="0" fillId="0" borderId="32" xfId="0" applyBorder="1" applyAlignment="1">
      <alignment horizontal="left"/>
    </xf>
    <xf numFmtId="0" fontId="120" fillId="29" borderId="0" xfId="0" applyFont="1" applyFill="1" applyAlignment="1">
      <alignment horizontal="centerContinuous"/>
    </xf>
    <xf numFmtId="0" fontId="121" fillId="29" borderId="0" xfId="0" applyFont="1" applyFill="1"/>
    <xf numFmtId="0" fontId="121" fillId="29" borderId="0" xfId="0" applyFont="1" applyFill="1" applyAlignment="1">
      <alignment horizontal="centerContinuous" wrapText="1"/>
    </xf>
    <xf numFmtId="0" fontId="122" fillId="29" borderId="0" xfId="0" applyFont="1" applyFill="1" applyAlignment="1">
      <alignment horizontal="centerContinuous" wrapText="1"/>
    </xf>
    <xf numFmtId="0" fontId="123" fillId="29" borderId="0" xfId="0" applyFont="1" applyFill="1" applyAlignment="1">
      <alignment horizontal="centerContinuous" wrapText="1"/>
    </xf>
    <xf numFmtId="0" fontId="124" fillId="29" borderId="0" xfId="0" applyFont="1" applyFill="1" applyAlignment="1">
      <alignment horizontal="left"/>
    </xf>
    <xf numFmtId="0" fontId="122" fillId="29" borderId="0" xfId="0" applyFont="1" applyFill="1" applyAlignment="1">
      <alignment horizontal="centerContinuous"/>
    </xf>
    <xf numFmtId="0" fontId="124" fillId="29" borderId="0" xfId="0" applyFont="1" applyFill="1" applyAlignment="1">
      <alignment horizontal="centerContinuous"/>
    </xf>
    <xf numFmtId="0" fontId="121" fillId="29" borderId="0" xfId="0" applyFont="1" applyFill="1" applyAlignment="1">
      <alignment horizontal="centerContinuous"/>
    </xf>
    <xf numFmtId="0" fontId="123" fillId="29" borderId="0" xfId="0" applyFont="1" applyFill="1" applyAlignment="1">
      <alignment horizontal="centerContinuous"/>
    </xf>
    <xf numFmtId="0" fontId="125" fillId="29" borderId="0" xfId="0" applyFont="1" applyFill="1" applyAlignment="1">
      <alignment horizontal="left"/>
    </xf>
    <xf numFmtId="0" fontId="121" fillId="29" borderId="0" xfId="0" applyFont="1" applyFill="1" applyAlignment="1">
      <alignment horizontal="left"/>
    </xf>
    <xf numFmtId="0" fontId="126" fillId="29" borderId="0" xfId="0" applyFont="1" applyFill="1"/>
    <xf numFmtId="0" fontId="121" fillId="29" borderId="0" xfId="0" applyFont="1" applyFill="1" applyAlignment="1">
      <alignment horizontal="right"/>
    </xf>
    <xf numFmtId="0" fontId="121" fillId="29" borderId="9" xfId="0" applyFont="1" applyFill="1" applyBorder="1"/>
    <xf numFmtId="0" fontId="121" fillId="29" borderId="10" xfId="0" applyFont="1" applyFill="1" applyBorder="1"/>
    <xf numFmtId="0" fontId="121" fillId="29" borderId="11" xfId="0" applyFont="1" applyFill="1" applyBorder="1"/>
    <xf numFmtId="0" fontId="121" fillId="29" borderId="12" xfId="0" applyFont="1" applyFill="1" applyBorder="1"/>
    <xf numFmtId="0" fontId="121" fillId="29" borderId="13" xfId="0" applyFont="1" applyFill="1" applyBorder="1"/>
    <xf numFmtId="0" fontId="121" fillId="29" borderId="16" xfId="0" applyFont="1" applyFill="1" applyBorder="1"/>
    <xf numFmtId="0" fontId="121" fillId="29" borderId="14" xfId="0" applyFont="1" applyFill="1" applyBorder="1"/>
    <xf numFmtId="0" fontId="121" fillId="29" borderId="17" xfId="0" applyFont="1" applyFill="1" applyBorder="1"/>
    <xf numFmtId="0" fontId="127" fillId="29" borderId="0" xfId="0" applyFont="1" applyFill="1"/>
    <xf numFmtId="0" fontId="128" fillId="29" borderId="0" xfId="0" applyFont="1" applyFill="1"/>
    <xf numFmtId="0" fontId="122" fillId="29" borderId="12" xfId="0" applyFont="1" applyFill="1" applyBorder="1" applyAlignment="1">
      <alignment horizontal="centerContinuous"/>
    </xf>
    <xf numFmtId="0" fontId="121" fillId="29" borderId="13" xfId="0" applyFont="1" applyFill="1" applyBorder="1" applyAlignment="1">
      <alignment horizontal="centerContinuous"/>
    </xf>
    <xf numFmtId="0" fontId="121" fillId="29" borderId="25" xfId="0" applyFont="1" applyFill="1" applyBorder="1" applyAlignment="1">
      <alignment horizontal="centerContinuous"/>
    </xf>
    <xf numFmtId="0" fontId="121" fillId="29" borderId="26" xfId="0" applyFont="1" applyFill="1" applyBorder="1" applyAlignment="1">
      <alignment horizontal="centerContinuous"/>
    </xf>
    <xf numFmtId="0" fontId="121" fillId="29" borderId="29" xfId="0" applyFont="1" applyFill="1" applyBorder="1" applyAlignment="1">
      <alignment horizontal="centerContinuous"/>
    </xf>
    <xf numFmtId="0" fontId="121" fillId="29" borderId="25" xfId="0" applyFont="1" applyFill="1" applyBorder="1"/>
    <xf numFmtId="0" fontId="121" fillId="29" borderId="14" xfId="0" applyFont="1" applyFill="1" applyBorder="1" applyAlignment="1">
      <alignment horizontal="centerContinuous"/>
    </xf>
    <xf numFmtId="0" fontId="121" fillId="29" borderId="17" xfId="0" applyFont="1" applyFill="1" applyBorder="1" applyAlignment="1">
      <alignment horizontal="centerContinuous"/>
    </xf>
    <xf numFmtId="37" fontId="58" fillId="0" borderId="0" xfId="0" applyNumberFormat="1" applyFont="1"/>
    <xf numFmtId="14" fontId="6" fillId="0" borderId="38" xfId="0" applyNumberFormat="1" applyFont="1" applyBorder="1"/>
    <xf numFmtId="5" fontId="6" fillId="0" borderId="49" xfId="80" applyNumberFormat="1" applyBorder="1"/>
    <xf numFmtId="37" fontId="6" fillId="0" borderId="49" xfId="80" applyNumberFormat="1" applyBorder="1"/>
    <xf numFmtId="37" fontId="6" fillId="0" borderId="46" xfId="80" applyNumberFormat="1" applyBorder="1"/>
    <xf numFmtId="5" fontId="6" fillId="0" borderId="52" xfId="79" applyNumberFormat="1" applyFont="1" applyBorder="1"/>
    <xf numFmtId="5" fontId="6" fillId="0" borderId="51" xfId="79" applyNumberFormat="1" applyFont="1" applyBorder="1"/>
    <xf numFmtId="5" fontId="6" fillId="0" borderId="0" xfId="79" applyNumberFormat="1" applyFont="1" applyAlignment="1">
      <alignment horizontal="right"/>
    </xf>
    <xf numFmtId="181" fontId="6" fillId="0" borderId="14" xfId="46" applyNumberFormat="1" applyFont="1" applyBorder="1" applyAlignment="1" applyProtection="1">
      <alignment horizontal="right"/>
    </xf>
    <xf numFmtId="0" fontId="0" fillId="0" borderId="0" xfId="0" applyAlignment="1">
      <alignment vertical="center"/>
    </xf>
    <xf numFmtId="5" fontId="47" fillId="0" borderId="52" xfId="0" applyNumberFormat="1" applyFont="1" applyBorder="1" applyAlignment="1">
      <alignment horizontal="right"/>
    </xf>
    <xf numFmtId="42" fontId="42" fillId="0" borderId="35" xfId="0" applyNumberFormat="1" applyFont="1" applyBorder="1" applyAlignment="1">
      <alignment horizontal="center" vertical="center"/>
    </xf>
    <xf numFmtId="42" fontId="42" fillId="0" borderId="33" xfId="0" applyNumberFormat="1" applyFont="1" applyBorder="1" applyAlignment="1">
      <alignment horizontal="center" vertical="center"/>
    </xf>
    <xf numFmtId="42" fontId="38" fillId="0" borderId="33" xfId="0" applyNumberFormat="1" applyFont="1" applyBorder="1" applyAlignment="1">
      <alignment horizontal="center" vertical="center"/>
    </xf>
    <xf numFmtId="42" fontId="4" fillId="0" borderId="104" xfId="0" applyNumberFormat="1" applyFont="1" applyBorder="1" applyAlignment="1">
      <alignment horizontal="center" vertical="center"/>
    </xf>
    <xf numFmtId="42" fontId="42" fillId="0" borderId="81" xfId="0" applyNumberFormat="1" applyFont="1" applyBorder="1" applyAlignment="1">
      <alignment horizontal="right" vertical="center"/>
    </xf>
    <xf numFmtId="0" fontId="121" fillId="29" borderId="13" xfId="0" applyFont="1" applyFill="1" applyBorder="1" applyAlignment="1">
      <alignment horizontal="center"/>
    </xf>
    <xf numFmtId="180" fontId="47" fillId="0" borderId="41" xfId="45" applyNumberFormat="1" applyFont="1" applyBorder="1" applyProtection="1"/>
    <xf numFmtId="37" fontId="6" fillId="0" borderId="47" xfId="82" applyNumberFormat="1" applyBorder="1" applyProtection="1">
      <protection locked="0"/>
    </xf>
    <xf numFmtId="37" fontId="6" fillId="0" borderId="47" xfId="82" applyNumberFormat="1" applyBorder="1"/>
    <xf numFmtId="5" fontId="6" fillId="0" borderId="47" xfId="82" applyNumberFormat="1" applyBorder="1" applyProtection="1">
      <protection locked="0"/>
    </xf>
    <xf numFmtId="5" fontId="6" fillId="0" borderId="47" xfId="82" applyNumberFormat="1" applyBorder="1"/>
    <xf numFmtId="37" fontId="6" fillId="0" borderId="47" xfId="81" applyNumberFormat="1" applyFont="1" applyBorder="1" applyProtection="1">
      <protection locked="0"/>
    </xf>
    <xf numFmtId="37" fontId="6" fillId="0" borderId="47" xfId="0" applyNumberFormat="1" applyFont="1" applyBorder="1" applyProtection="1">
      <protection locked="0"/>
    </xf>
    <xf numFmtId="0" fontId="6" fillId="0" borderId="0" xfId="0" applyFont="1" applyAlignment="1" applyProtection="1">
      <alignment horizontal="centerContinuous"/>
      <protection locked="0"/>
    </xf>
    <xf numFmtId="37" fontId="6" fillId="0" borderId="13" xfId="0" applyNumberFormat="1" applyFont="1" applyBorder="1" applyProtection="1">
      <protection locked="0"/>
    </xf>
    <xf numFmtId="0" fontId="6" fillId="0" borderId="19" xfId="0" applyFont="1" applyBorder="1" applyAlignment="1" applyProtection="1">
      <alignment horizontal="right"/>
      <protection locked="0"/>
    </xf>
    <xf numFmtId="5" fontId="6" fillId="0" borderId="13" xfId="0" applyNumberFormat="1" applyFont="1" applyBorder="1" applyProtection="1">
      <protection locked="0"/>
    </xf>
    <xf numFmtId="0" fontId="6" fillId="0" borderId="23" xfId="0" applyFont="1" applyBorder="1" applyAlignment="1" applyProtection="1">
      <alignment horizontal="center"/>
      <protection locked="0"/>
    </xf>
    <xf numFmtId="0" fontId="6" fillId="0" borderId="27" xfId="0" applyFont="1" applyBorder="1" applyAlignment="1" applyProtection="1">
      <alignment horizontal="center"/>
      <protection locked="0"/>
    </xf>
    <xf numFmtId="0" fontId="6" fillId="0" borderId="21" xfId="0" applyFont="1" applyBorder="1" applyAlignment="1" applyProtection="1">
      <alignment horizontal="right"/>
      <protection locked="0"/>
    </xf>
    <xf numFmtId="5" fontId="6" fillId="0" borderId="24" xfId="0" applyNumberFormat="1" applyFont="1" applyBorder="1" applyAlignment="1" applyProtection="1">
      <alignment horizontal="right"/>
      <protection locked="0"/>
    </xf>
    <xf numFmtId="0" fontId="6" fillId="0" borderId="24" xfId="0" applyFont="1" applyBorder="1" applyAlignment="1" applyProtection="1">
      <alignment horizontal="right"/>
      <protection locked="0"/>
    </xf>
    <xf numFmtId="178" fontId="6" fillId="0" borderId="24" xfId="36" applyNumberFormat="1" applyFont="1" applyFill="1" applyBorder="1" applyAlignment="1" applyProtection="1">
      <alignment horizontal="right"/>
      <protection locked="0"/>
    </xf>
    <xf numFmtId="178" fontId="6" fillId="0" borderId="24" xfId="36" applyNumberFormat="1" applyFont="1" applyBorder="1" applyAlignment="1" applyProtection="1">
      <alignment horizontal="right"/>
      <protection locked="0"/>
    </xf>
    <xf numFmtId="178" fontId="6" fillId="0" borderId="13" xfId="0" applyNumberFormat="1" applyFont="1" applyBorder="1"/>
    <xf numFmtId="178" fontId="6" fillId="0" borderId="24" xfId="0" applyNumberFormat="1" applyFont="1" applyBorder="1" applyAlignment="1" applyProtection="1">
      <alignment horizontal="right"/>
      <protection locked="0"/>
    </xf>
    <xf numFmtId="5" fontId="6" fillId="0" borderId="45" xfId="0" applyNumberFormat="1" applyFont="1" applyBorder="1" applyAlignment="1" applyProtection="1">
      <alignment horizontal="right"/>
      <protection locked="0"/>
    </xf>
    <xf numFmtId="5" fontId="6" fillId="0" borderId="48" xfId="0" applyNumberFormat="1" applyFont="1" applyBorder="1" applyAlignment="1" applyProtection="1">
      <alignment horizontal="right"/>
      <protection locked="0"/>
    </xf>
    <xf numFmtId="5" fontId="6" fillId="0" borderId="23" xfId="0" applyNumberFormat="1" applyFont="1" applyBorder="1" applyAlignment="1">
      <alignment horizontal="center"/>
    </xf>
    <xf numFmtId="5" fontId="6" fillId="0" borderId="49" xfId="0" applyNumberFormat="1" applyFont="1" applyBorder="1" applyAlignment="1">
      <alignment horizontal="right"/>
    </xf>
    <xf numFmtId="5" fontId="6" fillId="0" borderId="55" xfId="0" applyNumberFormat="1" applyFont="1" applyBorder="1" applyProtection="1">
      <protection locked="0"/>
    </xf>
    <xf numFmtId="0" fontId="6" fillId="0" borderId="23" xfId="0" applyFont="1" applyBorder="1" applyProtection="1">
      <protection locked="0"/>
    </xf>
    <xf numFmtId="0" fontId="6" fillId="0" borderId="24" xfId="0" applyFont="1" applyBorder="1" applyProtection="1">
      <protection locked="0"/>
    </xf>
    <xf numFmtId="5" fontId="6" fillId="0" borderId="21" xfId="0" applyNumberFormat="1" applyFont="1" applyBorder="1" applyProtection="1">
      <protection locked="0"/>
    </xf>
    <xf numFmtId="5" fontId="6" fillId="0" borderId="24" xfId="0" applyNumberFormat="1" applyFont="1" applyBorder="1" applyAlignment="1">
      <alignment horizontal="center"/>
    </xf>
    <xf numFmtId="5" fontId="6" fillId="0" borderId="35" xfId="0" applyNumberFormat="1" applyFont="1" applyBorder="1" applyProtection="1">
      <protection locked="0"/>
    </xf>
    <xf numFmtId="0" fontId="6" fillId="0" borderId="19" xfId="0" applyFont="1" applyBorder="1" applyProtection="1">
      <protection locked="0"/>
    </xf>
    <xf numFmtId="5" fontId="6" fillId="0" borderId="0" xfId="0" applyNumberFormat="1" applyFont="1" applyAlignment="1" applyProtection="1">
      <alignment horizontal="centerContinuous"/>
      <protection locked="0"/>
    </xf>
    <xf numFmtId="0" fontId="6" fillId="0" borderId="0" xfId="0" applyFont="1" applyProtection="1">
      <protection locked="0"/>
    </xf>
    <xf numFmtId="43" fontId="6" fillId="0" borderId="0" xfId="36" applyFont="1" applyFill="1"/>
    <xf numFmtId="0" fontId="6" fillId="0" borderId="14" xfId="0" applyFont="1" applyBorder="1" applyProtection="1">
      <protection locked="0"/>
    </xf>
    <xf numFmtId="0" fontId="6" fillId="0" borderId="23" xfId="0" applyFont="1" applyBorder="1" applyAlignment="1" applyProtection="1">
      <alignment horizontal="left" wrapText="1"/>
      <protection locked="0"/>
    </xf>
    <xf numFmtId="0" fontId="6" fillId="0" borderId="21" xfId="0" applyFont="1" applyBorder="1" applyAlignment="1" applyProtection="1">
      <alignment horizontal="left" wrapText="1"/>
      <protection locked="0"/>
    </xf>
    <xf numFmtId="0" fontId="6" fillId="0" borderId="24" xfId="0" applyFont="1" applyBorder="1" applyAlignment="1" applyProtection="1">
      <alignment horizontal="left" wrapText="1"/>
      <protection locked="0"/>
    </xf>
    <xf numFmtId="5" fontId="6" fillId="0" borderId="33" xfId="0" applyNumberFormat="1" applyFont="1" applyBorder="1" applyAlignment="1" applyProtection="1">
      <alignment horizontal="right"/>
      <protection locked="0"/>
    </xf>
    <xf numFmtId="38" fontId="6" fillId="0" borderId="23" xfId="0" applyNumberFormat="1" applyFont="1" applyBorder="1" applyProtection="1">
      <protection locked="0"/>
    </xf>
    <xf numFmtId="38" fontId="6" fillId="0" borderId="33" xfId="0" applyNumberFormat="1" applyFont="1" applyBorder="1" applyProtection="1">
      <protection locked="0"/>
    </xf>
    <xf numFmtId="38" fontId="6" fillId="0" borderId="24" xfId="0" applyNumberFormat="1" applyFont="1" applyBorder="1" applyProtection="1">
      <protection locked="0"/>
    </xf>
    <xf numFmtId="38" fontId="6" fillId="0" borderId="27" xfId="0" applyNumberFormat="1" applyFont="1" applyBorder="1" applyProtection="1">
      <protection locked="0"/>
    </xf>
    <xf numFmtId="38" fontId="6" fillId="9" borderId="45" xfId="0" applyNumberFormat="1" applyFont="1" applyFill="1" applyBorder="1"/>
    <xf numFmtId="38" fontId="6" fillId="9" borderId="52" xfId="0" applyNumberFormat="1" applyFont="1" applyFill="1" applyBorder="1"/>
    <xf numFmtId="38" fontId="6" fillId="0" borderId="13" xfId="0" applyNumberFormat="1" applyFont="1" applyBorder="1" applyProtection="1">
      <protection locked="0"/>
    </xf>
    <xf numFmtId="38" fontId="6" fillId="9" borderId="43" xfId="0" applyNumberFormat="1" applyFont="1" applyFill="1" applyBorder="1" applyProtection="1">
      <protection locked="0"/>
    </xf>
    <xf numFmtId="38" fontId="6" fillId="9" borderId="41" xfId="0" applyNumberFormat="1" applyFont="1" applyFill="1" applyBorder="1"/>
    <xf numFmtId="38" fontId="6" fillId="0" borderId="0" xfId="0" applyNumberFormat="1" applyFont="1" applyProtection="1">
      <protection locked="0"/>
    </xf>
    <xf numFmtId="38" fontId="6" fillId="0" borderId="0" xfId="0" applyNumberFormat="1" applyFont="1" applyAlignment="1" applyProtection="1">
      <alignment horizontal="centerContinuous"/>
      <protection locked="0"/>
    </xf>
    <xf numFmtId="38" fontId="6" fillId="0" borderId="37" xfId="0" applyNumberFormat="1" applyFont="1" applyBorder="1" applyProtection="1">
      <protection locked="0"/>
    </xf>
    <xf numFmtId="43" fontId="6" fillId="9" borderId="0" xfId="36" applyFont="1" applyFill="1" applyBorder="1"/>
    <xf numFmtId="43" fontId="6" fillId="0" borderId="0" xfId="36" applyFont="1" applyBorder="1" applyAlignment="1">
      <alignment horizontal="centerContinuous"/>
    </xf>
    <xf numFmtId="0" fontId="9" fillId="0" borderId="0" xfId="0" applyFont="1" applyAlignment="1" applyProtection="1">
      <alignment horizontal="centerContinuous"/>
      <protection locked="0"/>
    </xf>
    <xf numFmtId="0" fontId="67" fillId="0" borderId="0" xfId="0" applyFont="1" applyAlignment="1" applyProtection="1">
      <alignment horizontal="centerContinuous"/>
      <protection locked="0"/>
    </xf>
    <xf numFmtId="0" fontId="67" fillId="0" borderId="0" xfId="0" applyFont="1" applyProtection="1">
      <protection locked="0"/>
    </xf>
    <xf numFmtId="0" fontId="17" fillId="0" borderId="0" xfId="0" applyFont="1" applyAlignment="1" applyProtection="1">
      <alignment horizontal="left" wrapText="1"/>
      <protection locked="0"/>
    </xf>
    <xf numFmtId="0" fontId="17" fillId="0" borderId="34" xfId="0" applyFont="1" applyBorder="1" applyAlignment="1" applyProtection="1">
      <alignment horizontal="left" wrapText="1"/>
      <protection locked="0"/>
    </xf>
    <xf numFmtId="0" fontId="17" fillId="0" borderId="47" xfId="0" applyFont="1" applyBorder="1" applyAlignment="1" applyProtection="1">
      <alignment horizontal="left" wrapText="1"/>
      <protection locked="0"/>
    </xf>
    <xf numFmtId="5" fontId="6" fillId="0" borderId="47" xfId="0" applyNumberFormat="1" applyFont="1" applyBorder="1" applyProtection="1">
      <protection locked="0"/>
    </xf>
    <xf numFmtId="37" fontId="6" fillId="0" borderId="47" xfId="83" applyNumberFormat="1" applyFont="1" applyBorder="1" applyProtection="1">
      <protection locked="0"/>
    </xf>
    <xf numFmtId="181" fontId="0" fillId="0" borderId="33" xfId="0" applyNumberFormat="1" applyBorder="1"/>
    <xf numFmtId="0" fontId="6" fillId="18" borderId="36" xfId="0" applyFont="1" applyFill="1" applyBorder="1"/>
    <xf numFmtId="0" fontId="6" fillId="18" borderId="0" xfId="0" applyFont="1" applyFill="1"/>
    <xf numFmtId="0" fontId="6" fillId="18" borderId="32" xfId="0" applyFont="1" applyFill="1" applyBorder="1"/>
    <xf numFmtId="37" fontId="6" fillId="0" borderId="27" xfId="0" applyNumberFormat="1" applyFont="1" applyBorder="1"/>
    <xf numFmtId="0" fontId="6" fillId="18" borderId="29" xfId="0" applyFont="1" applyFill="1" applyBorder="1"/>
    <xf numFmtId="37" fontId="67" fillId="0" borderId="27" xfId="0" applyNumberFormat="1" applyFont="1" applyBorder="1" applyProtection="1">
      <protection locked="0"/>
    </xf>
    <xf numFmtId="37" fontId="67" fillId="0" borderId="45" xfId="0" applyNumberFormat="1" applyFont="1" applyBorder="1" applyProtection="1">
      <protection locked="0"/>
    </xf>
    <xf numFmtId="37" fontId="6" fillId="0" borderId="57" xfId="0" applyNumberFormat="1" applyFont="1" applyBorder="1"/>
    <xf numFmtId="0" fontId="67" fillId="0" borderId="12" xfId="0" applyFont="1" applyBorder="1" applyProtection="1">
      <protection locked="0"/>
    </xf>
    <xf numFmtId="0" fontId="67" fillId="0" borderId="0" xfId="0" quotePrefix="1" applyFont="1" applyProtection="1">
      <protection locked="0"/>
    </xf>
    <xf numFmtId="0" fontId="85" fillId="0" borderId="13" xfId="0" applyFont="1" applyBorder="1" applyAlignment="1" applyProtection="1">
      <alignment horizontal="right"/>
      <protection locked="0"/>
    </xf>
    <xf numFmtId="0" fontId="86" fillId="0" borderId="0" xfId="0" applyFont="1" applyProtection="1">
      <protection locked="0"/>
    </xf>
    <xf numFmtId="0" fontId="67" fillId="0" borderId="13" xfId="0" applyFont="1" applyBorder="1" applyProtection="1">
      <protection locked="0"/>
    </xf>
    <xf numFmtId="0" fontId="67" fillId="0" borderId="16" xfId="0" applyFont="1" applyBorder="1" applyProtection="1">
      <protection locked="0"/>
    </xf>
    <xf numFmtId="0" fontId="67" fillId="0" borderId="14" xfId="0" applyFont="1" applyBorder="1" applyProtection="1">
      <protection locked="0"/>
    </xf>
    <xf numFmtId="0" fontId="67" fillId="0" borderId="17" xfId="0" applyFont="1" applyBorder="1" applyProtection="1">
      <protection locked="0"/>
    </xf>
    <xf numFmtId="37" fontId="67" fillId="0" borderId="26" xfId="0" applyNumberFormat="1" applyFont="1" applyBorder="1" applyProtection="1">
      <protection locked="0"/>
    </xf>
    <xf numFmtId="14" fontId="67" fillId="0" borderId="26" xfId="0" applyNumberFormat="1" applyFont="1" applyBorder="1" applyProtection="1">
      <protection locked="0"/>
    </xf>
    <xf numFmtId="10" fontId="67" fillId="0" borderId="26" xfId="0" applyNumberFormat="1" applyFont="1" applyBorder="1" applyProtection="1">
      <protection locked="0"/>
    </xf>
    <xf numFmtId="10" fontId="67" fillId="0" borderId="26" xfId="0" applyNumberFormat="1" applyFont="1" applyBorder="1" applyAlignment="1" applyProtection="1">
      <alignment horizontal="right"/>
      <protection locked="0"/>
    </xf>
    <xf numFmtId="37" fontId="67" fillId="0" borderId="0" xfId="0" applyNumberFormat="1" applyFont="1" applyProtection="1">
      <protection locked="0"/>
    </xf>
    <xf numFmtId="37" fontId="6" fillId="0" borderId="0" xfId="0" applyNumberFormat="1" applyFont="1" applyAlignment="1">
      <alignment horizontal="right"/>
    </xf>
    <xf numFmtId="174" fontId="67" fillId="0" borderId="26" xfId="0" applyNumberFormat="1" applyFont="1" applyBorder="1" applyProtection="1">
      <protection locked="0"/>
    </xf>
    <xf numFmtId="168" fontId="67" fillId="0" borderId="26" xfId="0" applyNumberFormat="1" applyFont="1" applyBorder="1" applyProtection="1">
      <protection locked="0"/>
    </xf>
    <xf numFmtId="37" fontId="67" fillId="0" borderId="33" xfId="0" applyNumberFormat="1" applyFont="1" applyBorder="1" applyProtection="1">
      <protection locked="0"/>
    </xf>
    <xf numFmtId="0" fontId="6" fillId="0" borderId="56" xfId="0" applyFont="1" applyBorder="1"/>
    <xf numFmtId="0" fontId="6" fillId="0" borderId="56" xfId="0" applyFont="1" applyBorder="1" applyAlignment="1">
      <alignment horizontal="right"/>
    </xf>
    <xf numFmtId="37" fontId="6" fillId="0" borderId="33" xfId="0" applyNumberFormat="1" applyFont="1" applyBorder="1" applyAlignment="1" applyProtection="1">
      <alignment horizontal="center"/>
      <protection locked="0"/>
    </xf>
    <xf numFmtId="0" fontId="7" fillId="29" borderId="12" xfId="0" applyFont="1" applyFill="1" applyBorder="1" applyAlignment="1">
      <alignment horizontal="centerContinuous"/>
    </xf>
    <xf numFmtId="40" fontId="0" fillId="0" borderId="0" xfId="0" applyNumberFormat="1"/>
    <xf numFmtId="0" fontId="6" fillId="0" borderId="32" xfId="0" applyFont="1" applyBorder="1" applyProtection="1">
      <protection locked="0"/>
    </xf>
    <xf numFmtId="0" fontId="7" fillId="29" borderId="0" xfId="0" applyFont="1" applyFill="1" applyAlignment="1">
      <alignment horizontal="centerContinuous"/>
    </xf>
    <xf numFmtId="0" fontId="17" fillId="29" borderId="58" xfId="0" applyFont="1" applyFill="1" applyBorder="1"/>
    <xf numFmtId="0" fontId="67" fillId="0" borderId="24" xfId="0" applyFont="1" applyBorder="1" applyProtection="1">
      <protection locked="0"/>
    </xf>
    <xf numFmtId="37" fontId="67" fillId="0" borderId="23" xfId="0" applyNumberFormat="1" applyFont="1" applyBorder="1" applyProtection="1">
      <protection locked="0"/>
    </xf>
    <xf numFmtId="5" fontId="67" fillId="0" borderId="23" xfId="0" applyNumberFormat="1" applyFont="1" applyBorder="1" applyProtection="1">
      <protection locked="0"/>
    </xf>
    <xf numFmtId="39" fontId="67" fillId="0" borderId="23" xfId="0" applyNumberFormat="1" applyFont="1" applyBorder="1" applyProtection="1">
      <protection locked="0"/>
    </xf>
    <xf numFmtId="37" fontId="67" fillId="0" borderId="38" xfId="0" applyNumberFormat="1" applyFont="1" applyBorder="1" applyProtection="1">
      <protection locked="0"/>
    </xf>
    <xf numFmtId="39" fontId="67" fillId="0" borderId="13" xfId="0" applyNumberFormat="1" applyFont="1" applyBorder="1" applyProtection="1">
      <protection locked="0"/>
    </xf>
    <xf numFmtId="0" fontId="85" fillId="0" borderId="24" xfId="0" applyFont="1" applyBorder="1" applyProtection="1">
      <protection locked="0"/>
    </xf>
    <xf numFmtId="180" fontId="6" fillId="0" borderId="13" xfId="45" applyNumberFormat="1" applyFont="1" applyFill="1" applyBorder="1" applyProtection="1">
      <protection locked="0"/>
    </xf>
    <xf numFmtId="37" fontId="67" fillId="0" borderId="24" xfId="0" applyNumberFormat="1" applyFont="1" applyBorder="1" applyProtection="1">
      <protection locked="0"/>
    </xf>
    <xf numFmtId="0" fontId="67" fillId="0" borderId="31" xfId="0" applyFont="1" applyBorder="1" applyProtection="1">
      <protection locked="0"/>
    </xf>
    <xf numFmtId="37" fontId="67" fillId="0" borderId="55" xfId="0" applyNumberFormat="1" applyFont="1" applyBorder="1" applyProtection="1">
      <protection locked="0"/>
    </xf>
    <xf numFmtId="5" fontId="67" fillId="0" borderId="55" xfId="0" applyNumberFormat="1" applyFont="1" applyBorder="1" applyProtection="1">
      <protection locked="0"/>
    </xf>
    <xf numFmtId="39" fontId="67" fillId="0" borderId="55" xfId="0" applyNumberFormat="1" applyFont="1" applyBorder="1" applyProtection="1">
      <protection locked="0"/>
    </xf>
    <xf numFmtId="0" fontId="67" fillId="0" borderId="40" xfId="0" applyFont="1" applyBorder="1" applyProtection="1">
      <protection locked="0"/>
    </xf>
    <xf numFmtId="39" fontId="67" fillId="0" borderId="57" xfId="0" applyNumberFormat="1" applyFont="1" applyBorder="1" applyProtection="1">
      <protection locked="0"/>
    </xf>
    <xf numFmtId="0" fontId="6" fillId="0" borderId="0" xfId="84" applyFont="1"/>
    <xf numFmtId="0" fontId="70" fillId="0" borderId="0" xfId="0" applyFont="1" applyProtection="1">
      <protection locked="0"/>
    </xf>
    <xf numFmtId="0" fontId="38" fillId="0" borderId="0" xfId="0" applyFont="1" applyAlignment="1" applyProtection="1">
      <alignment horizontal="right"/>
      <protection locked="0"/>
    </xf>
    <xf numFmtId="0" fontId="38" fillId="0" borderId="0" xfId="0" applyFont="1" applyProtection="1">
      <protection locked="0"/>
    </xf>
    <xf numFmtId="0" fontId="87" fillId="0" borderId="0" xfId="0" applyFont="1" applyAlignment="1" applyProtection="1">
      <alignment vertical="top"/>
      <protection locked="0"/>
    </xf>
    <xf numFmtId="0" fontId="67" fillId="0" borderId="26" xfId="0" applyFont="1" applyBorder="1" applyProtection="1">
      <protection locked="0"/>
    </xf>
    <xf numFmtId="0" fontId="41" fillId="0" borderId="0" xfId="0" applyFont="1" applyProtection="1">
      <protection locked="0"/>
    </xf>
    <xf numFmtId="0" fontId="67" fillId="0" borderId="0" xfId="0" applyFont="1" applyAlignment="1" applyProtection="1">
      <alignment horizontal="right"/>
      <protection locked="0"/>
    </xf>
    <xf numFmtId="0" fontId="67" fillId="0" borderId="0" xfId="0" applyFont="1" applyAlignment="1" applyProtection="1">
      <alignment horizontal="left"/>
      <protection locked="0"/>
    </xf>
    <xf numFmtId="0" fontId="41" fillId="0" borderId="0" xfId="0" applyFont="1" applyAlignment="1" applyProtection="1">
      <alignment horizontal="centerContinuous"/>
      <protection locked="0"/>
    </xf>
    <xf numFmtId="3" fontId="6" fillId="0" borderId="23" xfId="0" applyNumberFormat="1" applyFont="1" applyBorder="1"/>
    <xf numFmtId="0" fontId="129" fillId="0" borderId="0" xfId="0" applyFont="1" applyProtection="1">
      <protection locked="0"/>
    </xf>
    <xf numFmtId="37" fontId="121" fillId="0" borderId="45" xfId="0" applyNumberFormat="1" applyFont="1" applyBorder="1" applyProtection="1">
      <protection locked="0"/>
    </xf>
    <xf numFmtId="10" fontId="121" fillId="0" borderId="52" xfId="0" applyNumberFormat="1" applyFont="1" applyBorder="1" applyProtection="1">
      <protection locked="0"/>
    </xf>
    <xf numFmtId="1" fontId="42" fillId="0" borderId="23" xfId="0" quotePrefix="1" applyNumberFormat="1" applyFont="1" applyBorder="1" applyAlignment="1">
      <alignment horizontal="center"/>
    </xf>
    <xf numFmtId="14" fontId="42" fillId="0" borderId="24" xfId="0" applyNumberFormat="1" applyFont="1" applyBorder="1" applyAlignment="1">
      <alignment horizontal="center"/>
    </xf>
    <xf numFmtId="0" fontId="42" fillId="0" borderId="24" xfId="0" quotePrefix="1" applyFont="1" applyBorder="1" applyAlignment="1">
      <alignment horizontal="center"/>
    </xf>
    <xf numFmtId="0" fontId="6" fillId="0" borderId="33" xfId="0" quotePrefix="1" applyFont="1" applyBorder="1" applyAlignment="1">
      <alignment horizontal="center" vertical="center"/>
    </xf>
    <xf numFmtId="0" fontId="121" fillId="29" borderId="14" xfId="0" applyFont="1" applyFill="1" applyBorder="1" applyAlignment="1">
      <alignment horizontal="center"/>
    </xf>
    <xf numFmtId="0" fontId="121" fillId="29" borderId="17" xfId="0" applyFont="1" applyFill="1" applyBorder="1" applyAlignment="1">
      <alignment horizontal="center"/>
    </xf>
    <xf numFmtId="0" fontId="121" fillId="29" borderId="12" xfId="0" quotePrefix="1" applyFont="1" applyFill="1" applyBorder="1"/>
    <xf numFmtId="0" fontId="121" fillId="0" borderId="14" xfId="0" applyFont="1" applyBorder="1" applyAlignment="1" applyProtection="1">
      <alignment horizontal="left"/>
      <protection locked="0"/>
    </xf>
    <xf numFmtId="0" fontId="121" fillId="0" borderId="14" xfId="0" applyFont="1" applyBorder="1" applyProtection="1">
      <protection locked="0"/>
    </xf>
    <xf numFmtId="0" fontId="54" fillId="9" borderId="28" xfId="0" applyFont="1" applyFill="1" applyBorder="1" applyAlignment="1">
      <alignment wrapText="1"/>
    </xf>
    <xf numFmtId="3" fontId="0" fillId="0" borderId="156" xfId="0" applyNumberFormat="1" applyBorder="1" applyAlignment="1">
      <alignment horizontal="center"/>
    </xf>
    <xf numFmtId="7" fontId="130" fillId="0" borderId="0" xfId="0" applyNumberFormat="1" applyFont="1"/>
    <xf numFmtId="3" fontId="0" fillId="0" borderId="118" xfId="0" applyNumberFormat="1" applyBorder="1" applyAlignment="1">
      <alignment horizontal="center"/>
    </xf>
    <xf numFmtId="16" fontId="54" fillId="29" borderId="13" xfId="0" quotePrefix="1" applyNumberFormat="1" applyFont="1" applyFill="1" applyBorder="1" applyAlignment="1">
      <alignment horizontal="center"/>
    </xf>
    <xf numFmtId="10" fontId="6" fillId="0" borderId="0" xfId="85" applyNumberFormat="1" applyFont="1"/>
    <xf numFmtId="37" fontId="121" fillId="0" borderId="24" xfId="0" applyNumberFormat="1" applyFont="1" applyBorder="1" applyProtection="1">
      <protection locked="0"/>
    </xf>
    <xf numFmtId="0" fontId="6" fillId="0" borderId="32" xfId="0" quotePrefix="1" applyFont="1" applyBorder="1" applyAlignment="1">
      <alignment horizontal="left"/>
    </xf>
    <xf numFmtId="5" fontId="47" fillId="0" borderId="46" xfId="0" applyNumberFormat="1" applyFont="1" applyBorder="1"/>
    <xf numFmtId="37" fontId="47" fillId="0" borderId="39" xfId="0" applyNumberFormat="1" applyFont="1" applyBorder="1" applyAlignment="1">
      <alignment horizontal="center"/>
    </xf>
    <xf numFmtId="0" fontId="132" fillId="0" borderId="0" xfId="0" applyFont="1"/>
    <xf numFmtId="5" fontId="47" fillId="0" borderId="24" xfId="0" applyNumberFormat="1" applyFont="1" applyBorder="1"/>
    <xf numFmtId="5" fontId="47" fillId="0" borderId="13" xfId="0" applyNumberFormat="1" applyFont="1" applyBorder="1"/>
    <xf numFmtId="5" fontId="47" fillId="0" borderId="49" xfId="0" applyNumberFormat="1" applyFont="1" applyBorder="1"/>
    <xf numFmtId="0" fontId="47" fillId="0" borderId="0" xfId="0" quotePrefix="1" applyFont="1" applyAlignment="1">
      <alignment horizontal="left"/>
    </xf>
    <xf numFmtId="0" fontId="47" fillId="0" borderId="0" xfId="0" quotePrefix="1" applyFont="1"/>
    <xf numFmtId="37" fontId="121" fillId="0" borderId="28" xfId="0" applyNumberFormat="1" applyFont="1" applyBorder="1" applyProtection="1">
      <protection locked="0"/>
    </xf>
    <xf numFmtId="0" fontId="6" fillId="13" borderId="15" xfId="0" applyFont="1" applyFill="1" applyBorder="1" applyAlignment="1">
      <alignment horizontal="centerContinuous"/>
    </xf>
    <xf numFmtId="0" fontId="47" fillId="0" borderId="35" xfId="0" applyFont="1" applyBorder="1"/>
    <xf numFmtId="0" fontId="47" fillId="0" borderId="35" xfId="0" applyFont="1" applyBorder="1" applyAlignment="1">
      <alignment horizontal="center"/>
    </xf>
    <xf numFmtId="0" fontId="47" fillId="0" borderId="21" xfId="0" applyFont="1" applyBorder="1" applyAlignment="1">
      <alignment horizontal="center"/>
    </xf>
    <xf numFmtId="0" fontId="47" fillId="0" borderId="28" xfId="0" applyFont="1" applyBorder="1" applyAlignment="1">
      <alignment horizontal="centerContinuous"/>
    </xf>
    <xf numFmtId="37" fontId="6" fillId="0" borderId="0" xfId="80" applyNumberFormat="1" applyAlignment="1">
      <alignment horizontal="right"/>
    </xf>
    <xf numFmtId="0" fontId="133" fillId="0" borderId="0" xfId="0" applyFont="1"/>
    <xf numFmtId="178" fontId="6" fillId="0" borderId="55" xfId="0" applyNumberFormat="1" applyFont="1" applyBorder="1" applyProtection="1">
      <protection locked="0"/>
    </xf>
    <xf numFmtId="178" fontId="6" fillId="0" borderId="13" xfId="36" applyNumberFormat="1" applyFont="1" applyFill="1" applyBorder="1" applyAlignment="1" applyProtection="1"/>
    <xf numFmtId="0" fontId="90" fillId="0" borderId="0" xfId="0" applyFont="1" applyProtection="1">
      <protection locked="0"/>
    </xf>
    <xf numFmtId="0" fontId="134" fillId="0" borderId="0" xfId="0" applyFont="1"/>
    <xf numFmtId="10" fontId="6" fillId="0" borderId="31" xfId="85" applyNumberFormat="1" applyFont="1" applyBorder="1" applyProtection="1"/>
    <xf numFmtId="178" fontId="3" fillId="0" borderId="0" xfId="36" applyNumberFormat="1" applyFont="1"/>
    <xf numFmtId="178" fontId="6" fillId="0" borderId="57" xfId="0" applyNumberFormat="1" applyFont="1" applyBorder="1"/>
    <xf numFmtId="39" fontId="47" fillId="0" borderId="37" xfId="0" applyNumberFormat="1" applyFont="1" applyBorder="1"/>
    <xf numFmtId="39" fontId="47" fillId="2" borderId="37" xfId="0" applyNumberFormat="1" applyFont="1" applyFill="1" applyBorder="1"/>
    <xf numFmtId="39" fontId="47" fillId="0" borderId="41" xfId="0" applyNumberFormat="1" applyFont="1" applyBorder="1"/>
    <xf numFmtId="39" fontId="47" fillId="0" borderId="11" xfId="0" applyNumberFormat="1" applyFont="1" applyBorder="1"/>
    <xf numFmtId="39" fontId="0" fillId="0" borderId="13" xfId="0" applyNumberFormat="1" applyBorder="1"/>
    <xf numFmtId="39" fontId="47" fillId="0" borderId="22" xfId="0" applyNumberFormat="1" applyFont="1" applyBorder="1" applyAlignment="1">
      <alignment horizontal="centerContinuous"/>
    </xf>
    <xf numFmtId="39" fontId="47" fillId="0" borderId="29" xfId="0" applyNumberFormat="1" applyFont="1" applyBorder="1" applyAlignment="1">
      <alignment horizontal="centerContinuous"/>
    </xf>
    <xf numFmtId="39" fontId="47" fillId="0" borderId="33" xfId="0" applyNumberFormat="1" applyFont="1" applyBorder="1" applyAlignment="1">
      <alignment horizontal="centerContinuous"/>
    </xf>
    <xf numFmtId="39" fontId="47" fillId="0" borderId="37" xfId="0" applyNumberFormat="1" applyFont="1" applyBorder="1" applyAlignment="1">
      <alignment horizontal="center"/>
    </xf>
    <xf numFmtId="37" fontId="47" fillId="0" borderId="41" xfId="0" applyNumberFormat="1" applyFont="1" applyBorder="1"/>
    <xf numFmtId="37" fontId="121" fillId="0" borderId="45" xfId="0" applyNumberFormat="1" applyFont="1" applyBorder="1"/>
    <xf numFmtId="3" fontId="4" fillId="29" borderId="135" xfId="0" applyNumberFormat="1" applyFont="1" applyFill="1" applyBorder="1" applyAlignment="1">
      <alignment horizontal="center" vertical="center"/>
    </xf>
    <xf numFmtId="180" fontId="4" fillId="0" borderId="136" xfId="0" applyNumberFormat="1" applyFont="1" applyBorder="1" applyAlignment="1">
      <alignment horizontal="center" vertical="center"/>
    </xf>
    <xf numFmtId="42" fontId="0" fillId="0" borderId="0" xfId="0" applyNumberFormat="1"/>
    <xf numFmtId="0" fontId="6" fillId="0" borderId="32" xfId="66" applyBorder="1" applyAlignment="1">
      <alignment horizontal="left"/>
    </xf>
    <xf numFmtId="0" fontId="47" fillId="9" borderId="0" xfId="66" applyFont="1" applyFill="1" applyAlignment="1">
      <alignment horizontal="left"/>
    </xf>
    <xf numFmtId="0" fontId="6" fillId="0" borderId="20" xfId="66" applyBorder="1" applyAlignment="1">
      <alignment horizontal="center"/>
    </xf>
    <xf numFmtId="0" fontId="6" fillId="0" borderId="23" xfId="66" applyBorder="1" applyAlignment="1">
      <alignment horizontal="center"/>
    </xf>
    <xf numFmtId="37" fontId="4" fillId="0" borderId="21" xfId="0" applyNumberFormat="1" applyFont="1" applyBorder="1"/>
    <xf numFmtId="37" fontId="4" fillId="0" borderId="24" xfId="0" applyNumberFormat="1" applyFont="1" applyBorder="1"/>
    <xf numFmtId="0" fontId="4" fillId="0" borderId="93" xfId="0" applyFont="1" applyBorder="1" applyAlignment="1">
      <alignment horizontal="center"/>
    </xf>
    <xf numFmtId="0" fontId="4" fillId="0" borderId="23" xfId="0" applyFont="1" applyBorder="1"/>
    <xf numFmtId="37" fontId="4" fillId="0" borderId="93" xfId="0" applyNumberFormat="1" applyFont="1" applyBorder="1"/>
    <xf numFmtId="0" fontId="4" fillId="0" borderId="0" xfId="0" applyFont="1" applyAlignment="1">
      <alignment horizontal="center"/>
    </xf>
    <xf numFmtId="37" fontId="4" fillId="0" borderId="23" xfId="0" applyNumberFormat="1" applyFont="1" applyBorder="1"/>
    <xf numFmtId="5" fontId="47" fillId="0" borderId="28" xfId="0" applyNumberFormat="1" applyFont="1" applyBorder="1" applyAlignment="1">
      <alignment horizontal="right"/>
    </xf>
    <xf numFmtId="38" fontId="6" fillId="0" borderId="21" xfId="0" applyNumberFormat="1" applyFont="1" applyBorder="1"/>
    <xf numFmtId="5" fontId="47" fillId="14" borderId="39" xfId="0" applyNumberFormat="1" applyFont="1" applyFill="1" applyBorder="1"/>
    <xf numFmtId="5" fontId="47" fillId="0" borderId="38" xfId="0" applyNumberFormat="1" applyFont="1" applyBorder="1"/>
    <xf numFmtId="5" fontId="47" fillId="15" borderId="39" xfId="0" applyNumberFormat="1" applyFont="1" applyFill="1" applyBorder="1"/>
    <xf numFmtId="5" fontId="47" fillId="14" borderId="46" xfId="0" applyNumberFormat="1" applyFont="1" applyFill="1" applyBorder="1"/>
    <xf numFmtId="0" fontId="0" fillId="0" borderId="90" xfId="0" applyBorder="1" applyAlignment="1">
      <alignment horizontal="center" vertical="center"/>
    </xf>
    <xf numFmtId="38" fontId="6" fillId="0" borderId="45" xfId="0" applyNumberFormat="1" applyFont="1" applyBorder="1"/>
    <xf numFmtId="38" fontId="6" fillId="0" borderId="27" xfId="0" applyNumberFormat="1" applyFont="1" applyBorder="1"/>
    <xf numFmtId="37" fontId="6" fillId="0" borderId="23" xfId="0" applyNumberFormat="1" applyFont="1" applyBorder="1" applyAlignment="1">
      <alignment horizontal="right" wrapText="1"/>
    </xf>
    <xf numFmtId="37" fontId="6" fillId="0" borderId="24" xfId="36" applyNumberFormat="1" applyFont="1" applyFill="1" applyBorder="1" applyAlignment="1" applyProtection="1">
      <alignment horizontal="right"/>
      <protection locked="0"/>
    </xf>
    <xf numFmtId="7" fontId="6" fillId="0" borderId="0" xfId="0" applyNumberFormat="1" applyFont="1" applyAlignment="1">
      <alignment horizontal="centerContinuous"/>
    </xf>
    <xf numFmtId="0" fontId="42" fillId="0" borderId="81" xfId="0" applyFont="1" applyBorder="1" applyAlignment="1">
      <alignment horizontal="right"/>
    </xf>
    <xf numFmtId="42" fontId="4" fillId="0" borderId="104" xfId="45" applyNumberFormat="1" applyFont="1" applyFill="1" applyBorder="1" applyAlignment="1">
      <alignment horizontal="right" vertical="center"/>
    </xf>
    <xf numFmtId="0" fontId="42" fillId="9" borderId="79" xfId="0" applyFont="1" applyFill="1" applyBorder="1" applyAlignment="1">
      <alignment horizontal="right"/>
    </xf>
    <xf numFmtId="0" fontId="42" fillId="9" borderId="81" xfId="0" applyFont="1" applyFill="1" applyBorder="1" applyAlignment="1">
      <alignment horizontal="right"/>
    </xf>
    <xf numFmtId="0" fontId="42" fillId="9" borderId="97" xfId="0" applyFont="1" applyFill="1" applyBorder="1" applyAlignment="1">
      <alignment horizontal="right"/>
    </xf>
    <xf numFmtId="0" fontId="3" fillId="0" borderId="136" xfId="0" applyFont="1" applyBorder="1" applyAlignment="1">
      <alignment horizontal="right"/>
    </xf>
    <xf numFmtId="0" fontId="3" fillId="0" borderId="0" xfId="0" applyFont="1" applyAlignment="1">
      <alignment horizontal="right"/>
    </xf>
    <xf numFmtId="4" fontId="54" fillId="0" borderId="0" xfId="0" applyNumberFormat="1" applyFont="1" applyAlignment="1">
      <alignment horizontal="right"/>
    </xf>
    <xf numFmtId="4" fontId="0" fillId="0" borderId="0" xfId="0" applyNumberFormat="1" applyAlignment="1">
      <alignment horizontal="right"/>
    </xf>
    <xf numFmtId="37" fontId="47" fillId="0" borderId="46" xfId="0" applyNumberFormat="1" applyFont="1" applyBorder="1"/>
    <xf numFmtId="5" fontId="121" fillId="0" borderId="24" xfId="0" applyNumberFormat="1" applyFont="1" applyBorder="1" applyProtection="1">
      <protection locked="0"/>
    </xf>
    <xf numFmtId="41" fontId="6" fillId="0" borderId="32" xfId="0" applyNumberFormat="1" applyFont="1" applyBorder="1"/>
    <xf numFmtId="41" fontId="0" fillId="0" borderId="21" xfId="0" applyNumberFormat="1" applyBorder="1"/>
    <xf numFmtId="41" fontId="0" fillId="0" borderId="20" xfId="0" applyNumberFormat="1" applyBorder="1"/>
    <xf numFmtId="41" fontId="0" fillId="0" borderId="24" xfId="0" applyNumberFormat="1" applyBorder="1"/>
    <xf numFmtId="41" fontId="0" fillId="0" borderId="0" xfId="0" applyNumberFormat="1"/>
    <xf numFmtId="5" fontId="6" fillId="0" borderId="23" xfId="0" applyNumberFormat="1" applyFont="1" applyBorder="1" applyProtection="1">
      <protection locked="0"/>
    </xf>
    <xf numFmtId="5" fontId="6" fillId="0" borderId="33" xfId="0" applyNumberFormat="1" applyFont="1" applyBorder="1" applyProtection="1">
      <protection locked="0"/>
    </xf>
    <xf numFmtId="5" fontId="6" fillId="0" borderId="28" xfId="0" applyNumberFormat="1" applyFont="1" applyBorder="1" applyProtection="1">
      <protection locked="0"/>
    </xf>
    <xf numFmtId="5" fontId="6" fillId="0" borderId="37" xfId="0" applyNumberFormat="1" applyFont="1" applyBorder="1" applyProtection="1">
      <protection locked="0"/>
    </xf>
    <xf numFmtId="183" fontId="0" fillId="0" borderId="0" xfId="0" applyNumberFormat="1"/>
    <xf numFmtId="0" fontId="6" fillId="0" borderId="32" xfId="57" applyFont="1" applyFill="1" applyBorder="1"/>
    <xf numFmtId="0" fontId="6" fillId="0" borderId="0" xfId="57" applyFont="1" applyFill="1" applyBorder="1"/>
    <xf numFmtId="0" fontId="121" fillId="0" borderId="12" xfId="0" applyFont="1" applyBorder="1"/>
    <xf numFmtId="10" fontId="0" fillId="0" borderId="0" xfId="85" applyNumberFormat="1" applyFont="1" applyProtection="1"/>
    <xf numFmtId="0" fontId="20" fillId="0" borderId="13" xfId="0" applyFont="1" applyBorder="1" applyAlignment="1" applyProtection="1">
      <alignment horizontal="center"/>
      <protection locked="0"/>
    </xf>
    <xf numFmtId="176" fontId="54" fillId="0" borderId="23" xfId="0" applyNumberFormat="1" applyFont="1" applyBorder="1" applyAlignment="1">
      <alignment horizontal="center"/>
    </xf>
    <xf numFmtId="179" fontId="47" fillId="0" borderId="23" xfId="0" applyNumberFormat="1" applyFont="1" applyBorder="1" applyAlignment="1">
      <alignment horizontal="center"/>
    </xf>
    <xf numFmtId="181" fontId="6" fillId="0" borderId="23" xfId="0" applyNumberFormat="1" applyFont="1" applyBorder="1"/>
    <xf numFmtId="5" fontId="17" fillId="0" borderId="57" xfId="0" applyNumberFormat="1" applyFont="1" applyBorder="1"/>
    <xf numFmtId="41" fontId="6" fillId="0" borderId="23" xfId="0" applyNumberFormat="1" applyFont="1" applyBorder="1"/>
    <xf numFmtId="173" fontId="54" fillId="0" borderId="23" xfId="0" applyNumberFormat="1" applyFont="1" applyBorder="1" applyAlignment="1">
      <alignment horizontal="center"/>
    </xf>
    <xf numFmtId="0" fontId="7" fillId="0" borderId="9" xfId="57" applyFont="1" applyFill="1" applyBorder="1" applyAlignment="1">
      <alignment horizontal="centerContinuous"/>
    </xf>
    <xf numFmtId="0" fontId="7" fillId="0" borderId="10" xfId="57" applyFont="1" applyFill="1" applyBorder="1" applyAlignment="1">
      <alignment horizontal="centerContinuous"/>
    </xf>
    <xf numFmtId="0" fontId="121" fillId="0" borderId="11" xfId="57" applyFont="1" applyFill="1" applyBorder="1" applyAlignment="1">
      <alignment horizontal="centerContinuous"/>
    </xf>
    <xf numFmtId="0" fontId="7" fillId="0" borderId="12" xfId="57" applyFont="1" applyFill="1" applyBorder="1" applyAlignment="1">
      <alignment horizontal="centerContinuous"/>
    </xf>
    <xf numFmtId="0" fontId="121" fillId="0" borderId="6" xfId="57" applyFont="1" applyFill="1" applyAlignment="1">
      <alignment horizontal="centerContinuous"/>
    </xf>
    <xf numFmtId="0" fontId="121" fillId="0" borderId="13" xfId="57" applyFont="1" applyFill="1" applyBorder="1" applyAlignment="1">
      <alignment horizontal="centerContinuous"/>
    </xf>
    <xf numFmtId="40" fontId="6" fillId="0" borderId="0" xfId="63" quotePrefix="1" applyFont="1" applyAlignment="1">
      <alignment horizontal="center"/>
    </xf>
    <xf numFmtId="40" fontId="6" fillId="0" borderId="0" xfId="63" applyFont="1" applyAlignment="1">
      <alignment horizontal="centerContinuous"/>
    </xf>
    <xf numFmtId="40" fontId="36" fillId="0" borderId="0" xfId="63" applyFont="1" applyAlignment="1">
      <alignment horizontal="centerContinuous"/>
    </xf>
    <xf numFmtId="40" fontId="6" fillId="0" borderId="13" xfId="63" applyFont="1" applyBorder="1" applyAlignment="1">
      <alignment horizontal="centerContinuous"/>
    </xf>
    <xf numFmtId="40" fontId="6" fillId="0" borderId="25" xfId="63" applyFont="1" applyBorder="1"/>
    <xf numFmtId="40" fontId="6" fillId="0" borderId="26" xfId="63" applyFont="1" applyBorder="1"/>
    <xf numFmtId="40" fontId="6" fillId="0" borderId="29" xfId="63" applyFont="1" applyBorder="1"/>
    <xf numFmtId="40" fontId="6" fillId="0" borderId="38" xfId="63" applyFont="1" applyBorder="1"/>
    <xf numFmtId="40" fontId="6" fillId="0" borderId="0" xfId="63" applyFont="1"/>
    <xf numFmtId="40" fontId="6" fillId="0" borderId="32" xfId="63" applyFont="1" applyBorder="1"/>
    <xf numFmtId="40" fontId="6" fillId="0" borderId="0" xfId="63" applyFont="1" applyAlignment="1">
      <alignment horizontal="center"/>
    </xf>
    <xf numFmtId="40" fontId="6" fillId="0" borderId="13" xfId="63" applyFont="1" applyBorder="1"/>
    <xf numFmtId="40" fontId="6" fillId="0" borderId="38" xfId="63" applyFont="1" applyBorder="1" applyAlignment="1">
      <alignment horizontal="center"/>
    </xf>
    <xf numFmtId="40" fontId="6" fillId="0" borderId="36" xfId="63" applyFont="1" applyBorder="1"/>
    <xf numFmtId="40" fontId="6" fillId="0" borderId="26" xfId="63" applyFont="1" applyBorder="1" applyAlignment="1">
      <alignment horizontal="center"/>
    </xf>
    <xf numFmtId="40" fontId="6" fillId="0" borderId="12" xfId="63" applyFont="1" applyBorder="1"/>
    <xf numFmtId="40" fontId="36" fillId="0" borderId="0" xfId="63" applyFont="1"/>
    <xf numFmtId="0" fontId="135" fillId="0" borderId="13" xfId="57" applyFont="1" applyFill="1" applyBorder="1"/>
    <xf numFmtId="40" fontId="6" fillId="0" borderId="12" xfId="63" applyFont="1" applyBorder="1" applyAlignment="1">
      <alignment horizontal="center"/>
    </xf>
    <xf numFmtId="40" fontId="6" fillId="0" borderId="16" xfId="63" applyFont="1" applyBorder="1"/>
    <xf numFmtId="40" fontId="36" fillId="0" borderId="14" xfId="63" applyFont="1" applyBorder="1"/>
    <xf numFmtId="40" fontId="6" fillId="0" borderId="14" xfId="63" applyFont="1" applyBorder="1"/>
    <xf numFmtId="40" fontId="6" fillId="0" borderId="17" xfId="63" applyFont="1" applyBorder="1"/>
    <xf numFmtId="40" fontId="59" fillId="0" borderId="9" xfId="63" applyFont="1" applyBorder="1" applyAlignment="1">
      <alignment horizontal="centerContinuous"/>
    </xf>
    <xf numFmtId="40" fontId="6" fillId="0" borderId="10" xfId="63" applyFont="1" applyBorder="1" applyAlignment="1">
      <alignment horizontal="centerContinuous"/>
    </xf>
    <xf numFmtId="40" fontId="6" fillId="0" borderId="11" xfId="63" applyFont="1" applyBorder="1" applyAlignment="1">
      <alignment horizontal="centerContinuous"/>
    </xf>
    <xf numFmtId="37" fontId="6" fillId="0" borderId="26" xfId="57" applyNumberFormat="1" applyFont="1" applyFill="1" applyBorder="1" applyProtection="1">
      <protection locked="0"/>
    </xf>
    <xf numFmtId="10" fontId="6" fillId="0" borderId="26" xfId="57" applyNumberFormat="1" applyFont="1" applyFill="1" applyBorder="1" applyProtection="1">
      <protection locked="0"/>
    </xf>
    <xf numFmtId="10" fontId="6" fillId="0" borderId="26" xfId="57" applyNumberFormat="1" applyFont="1" applyFill="1" applyBorder="1" applyAlignment="1" applyProtection="1">
      <alignment horizontal="right"/>
      <protection locked="0"/>
    </xf>
    <xf numFmtId="37" fontId="6" fillId="0" borderId="0" xfId="57" applyNumberFormat="1" applyFont="1" applyFill="1" applyBorder="1" applyProtection="1">
      <protection locked="0"/>
    </xf>
    <xf numFmtId="37" fontId="7" fillId="0" borderId="26" xfId="57" applyNumberFormat="1" applyFont="1" applyFill="1" applyBorder="1"/>
    <xf numFmtId="37" fontId="6" fillId="0" borderId="3" xfId="57" applyNumberFormat="1" applyFont="1" applyFill="1" applyBorder="1" applyProtection="1">
      <protection locked="0"/>
    </xf>
    <xf numFmtId="37" fontId="6" fillId="0" borderId="0" xfId="57" applyNumberFormat="1" applyFont="1" applyFill="1" applyBorder="1"/>
    <xf numFmtId="37" fontId="6" fillId="0" borderId="159" xfId="57" applyNumberFormat="1" applyFont="1" applyFill="1" applyBorder="1" applyProtection="1">
      <protection locked="0"/>
    </xf>
    <xf numFmtId="0" fontId="9" fillId="0" borderId="0" xfId="57" applyFont="1" applyFill="1" applyBorder="1" applyAlignment="1">
      <alignment horizontal="center"/>
    </xf>
    <xf numFmtId="5" fontId="6" fillId="0" borderId="0" xfId="57" applyNumberFormat="1" applyFont="1" applyFill="1" applyBorder="1"/>
    <xf numFmtId="0" fontId="6" fillId="0" borderId="0" xfId="57" applyFont="1" applyFill="1" applyBorder="1" applyAlignment="1">
      <alignment horizontal="center"/>
    </xf>
    <xf numFmtId="0" fontId="6" fillId="0" borderId="26" xfId="57" applyFont="1" applyFill="1" applyBorder="1"/>
    <xf numFmtId="0" fontId="6" fillId="0" borderId="0" xfId="62" applyFont="1" applyFill="1" applyBorder="1"/>
    <xf numFmtId="0" fontId="6" fillId="0" borderId="32" xfId="57" applyFont="1" applyFill="1" applyBorder="1" applyAlignment="1">
      <alignment horizontal="right"/>
    </xf>
    <xf numFmtId="14" fontId="6" fillId="0" borderId="26" xfId="57" applyNumberFormat="1" applyFont="1" applyFill="1" applyBorder="1" applyProtection="1">
      <protection locked="0"/>
    </xf>
    <xf numFmtId="9" fontId="6" fillId="0" borderId="0" xfId="57" applyNumberFormat="1" applyFont="1" applyFill="1" applyBorder="1" applyProtection="1">
      <protection locked="0"/>
    </xf>
    <xf numFmtId="37" fontId="6" fillId="0" borderId="0" xfId="57" applyNumberFormat="1" applyFont="1" applyFill="1" applyBorder="1" applyAlignment="1">
      <alignment horizontal="right"/>
    </xf>
    <xf numFmtId="0" fontId="6" fillId="0" borderId="36" xfId="57" applyFont="1" applyFill="1" applyBorder="1"/>
    <xf numFmtId="0" fontId="6" fillId="0" borderId="0" xfId="57" applyFont="1" applyFill="1" applyBorder="1" applyProtection="1">
      <protection locked="0"/>
    </xf>
    <xf numFmtId="0" fontId="7" fillId="0" borderId="6" xfId="57" applyFont="1" applyFill="1" applyAlignment="1">
      <alignment horizontal="centerContinuous"/>
    </xf>
    <xf numFmtId="0" fontId="6" fillId="0" borderId="32" xfId="62" applyFont="1" applyFill="1" applyBorder="1"/>
    <xf numFmtId="0" fontId="6" fillId="0" borderId="6" xfId="62" applyFont="1" applyFill="1"/>
    <xf numFmtId="37" fontId="56" fillId="0" borderId="6" xfId="62" applyNumberFormat="1" applyFont="1" applyFill="1" applyProtection="1">
      <protection locked="0"/>
    </xf>
    <xf numFmtId="0" fontId="6" fillId="0" borderId="32" xfId="62" applyFont="1" applyFill="1" applyBorder="1" applyAlignment="1">
      <alignment horizontal="center"/>
    </xf>
    <xf numFmtId="37" fontId="56" fillId="0" borderId="26" xfId="62" applyNumberFormat="1" applyFont="1" applyFill="1" applyBorder="1" applyProtection="1">
      <protection locked="0"/>
    </xf>
    <xf numFmtId="0" fontId="56" fillId="0" borderId="6" xfId="62" applyFont="1" applyFill="1" applyProtection="1">
      <protection locked="0"/>
    </xf>
    <xf numFmtId="37" fontId="6" fillId="0" borderId="26" xfId="62" applyNumberFormat="1" applyFont="1" applyFill="1" applyBorder="1"/>
    <xf numFmtId="170" fontId="56" fillId="0" borderId="26" xfId="62" applyNumberFormat="1" applyFont="1" applyFill="1" applyBorder="1" applyProtection="1">
      <protection locked="0"/>
    </xf>
    <xf numFmtId="9" fontId="6" fillId="0" borderId="26" xfId="62" applyNumberFormat="1" applyFont="1" applyFill="1" applyBorder="1"/>
    <xf numFmtId="0" fontId="6" fillId="0" borderId="36" xfId="62" applyFont="1" applyFill="1" applyBorder="1"/>
    <xf numFmtId="0" fontId="6" fillId="0" borderId="26" xfId="62" applyFont="1" applyFill="1" applyBorder="1"/>
    <xf numFmtId="0" fontId="56" fillId="0" borderId="26" xfId="62" applyFont="1" applyFill="1" applyBorder="1" applyProtection="1">
      <protection locked="0"/>
    </xf>
    <xf numFmtId="0" fontId="6" fillId="0" borderId="36" xfId="62" applyFont="1" applyFill="1" applyBorder="1" applyAlignment="1">
      <alignment horizontal="center"/>
    </xf>
    <xf numFmtId="0" fontId="6" fillId="0" borderId="6" xfId="62" applyFont="1" applyFill="1" applyAlignment="1">
      <alignment horizontal="center"/>
    </xf>
    <xf numFmtId="9" fontId="56" fillId="0" borderId="26" xfId="62" applyNumberFormat="1" applyFont="1" applyFill="1" applyBorder="1" applyProtection="1">
      <protection locked="0"/>
    </xf>
    <xf numFmtId="0" fontId="6" fillId="0" borderId="12" xfId="62" applyFont="1" applyFill="1" applyBorder="1"/>
    <xf numFmtId="0" fontId="6" fillId="0" borderId="13" xfId="62" applyFont="1" applyFill="1" applyBorder="1"/>
    <xf numFmtId="0" fontId="6" fillId="0" borderId="12" xfId="62" applyFont="1" applyFill="1" applyBorder="1" applyAlignment="1">
      <alignment horizontal="center"/>
    </xf>
    <xf numFmtId="0" fontId="6" fillId="0" borderId="18" xfId="62" applyFont="1" applyFill="1" applyBorder="1"/>
    <xf numFmtId="0" fontId="6" fillId="0" borderId="34" xfId="62" applyFont="1" applyFill="1" applyBorder="1"/>
    <xf numFmtId="0" fontId="6" fillId="0" borderId="19" xfId="62" applyFont="1" applyFill="1" applyBorder="1"/>
    <xf numFmtId="0" fontId="6" fillId="0" borderId="25" xfId="62" applyFont="1" applyFill="1" applyBorder="1"/>
    <xf numFmtId="37" fontId="6" fillId="0" borderId="6" xfId="62" applyNumberFormat="1" applyFont="1" applyFill="1"/>
    <xf numFmtId="0" fontId="6" fillId="0" borderId="12" xfId="62" applyFont="1" applyFill="1" applyBorder="1" applyAlignment="1">
      <alignment horizontal="left"/>
    </xf>
    <xf numFmtId="0" fontId="6" fillId="0" borderId="6" xfId="62" applyFont="1" applyFill="1" applyAlignment="1">
      <alignment horizontal="centerContinuous"/>
    </xf>
    <xf numFmtId="0" fontId="6" fillId="0" borderId="25" xfId="62" applyFont="1" applyFill="1" applyBorder="1" applyAlignment="1">
      <alignment horizontal="center"/>
    </xf>
    <xf numFmtId="0" fontId="6" fillId="0" borderId="12" xfId="62" applyFont="1" applyFill="1" applyBorder="1" applyAlignment="1">
      <alignment horizontal="right"/>
    </xf>
    <xf numFmtId="0" fontId="6" fillId="0" borderId="16" xfId="62" applyFont="1" applyFill="1" applyBorder="1"/>
    <xf numFmtId="0" fontId="6" fillId="0" borderId="14" xfId="62" applyFont="1" applyFill="1" applyBorder="1"/>
    <xf numFmtId="0" fontId="6" fillId="0" borderId="17" xfId="62" applyFont="1" applyFill="1" applyBorder="1"/>
    <xf numFmtId="0" fontId="56" fillId="0" borderId="14" xfId="62" applyFont="1" applyFill="1" applyBorder="1" applyProtection="1">
      <protection locked="0"/>
    </xf>
    <xf numFmtId="0" fontId="6" fillId="0" borderId="13" xfId="57" applyFont="1" applyFill="1" applyBorder="1" applyAlignment="1">
      <alignment horizontal="left"/>
    </xf>
    <xf numFmtId="0" fontId="6" fillId="0" borderId="13" xfId="57" applyFont="1" applyFill="1" applyBorder="1"/>
    <xf numFmtId="0" fontId="6" fillId="0" borderId="12" xfId="57" applyFont="1" applyFill="1" applyBorder="1" applyAlignment="1" applyProtection="1">
      <alignment horizontal="right"/>
      <protection locked="0"/>
    </xf>
    <xf numFmtId="0" fontId="6" fillId="0" borderId="13" xfId="57" applyFont="1" applyFill="1" applyBorder="1" applyAlignment="1" applyProtection="1">
      <alignment horizontal="centerContinuous"/>
      <protection locked="0"/>
    </xf>
    <xf numFmtId="0" fontId="6" fillId="0" borderId="13" xfId="57" applyFont="1" applyFill="1" applyBorder="1" applyProtection="1">
      <protection locked="0"/>
    </xf>
    <xf numFmtId="40" fontId="6" fillId="0" borderId="39" xfId="63" applyFont="1" applyBorder="1" applyAlignment="1">
      <alignment horizontal="center"/>
    </xf>
    <xf numFmtId="0" fontId="9" fillId="0" borderId="0" xfId="0" applyFont="1" applyAlignment="1">
      <alignment horizontal="center"/>
    </xf>
    <xf numFmtId="9" fontId="67" fillId="0" borderId="0" xfId="0" applyNumberFormat="1" applyFont="1" applyProtection="1">
      <protection locked="0"/>
    </xf>
    <xf numFmtId="37" fontId="67" fillId="0" borderId="5" xfId="0" applyNumberFormat="1" applyFont="1" applyBorder="1" applyProtection="1">
      <protection locked="0"/>
    </xf>
    <xf numFmtId="5" fontId="92" fillId="0" borderId="26" xfId="0" applyNumberFormat="1" applyFont="1" applyBorder="1" applyProtection="1">
      <protection locked="0"/>
    </xf>
    <xf numFmtId="0" fontId="92" fillId="0" borderId="0" xfId="0" applyFont="1" applyProtection="1">
      <protection locked="0"/>
    </xf>
    <xf numFmtId="0" fontId="92" fillId="0" borderId="0" xfId="0" applyFont="1" applyAlignment="1" applyProtection="1">
      <alignment horizontal="centerContinuous"/>
      <protection locked="0"/>
    </xf>
    <xf numFmtId="37" fontId="92" fillId="0" borderId="26" xfId="0" applyNumberFormat="1" applyFont="1" applyBorder="1" applyProtection="1">
      <protection locked="0"/>
    </xf>
    <xf numFmtId="5" fontId="6" fillId="0" borderId="4" xfId="0" applyNumberFormat="1" applyFont="1" applyBorder="1"/>
    <xf numFmtId="0" fontId="4" fillId="0" borderId="24" xfId="0" applyFont="1" applyBorder="1" applyAlignment="1">
      <alignment horizontal="centerContinuous"/>
    </xf>
    <xf numFmtId="39" fontId="54" fillId="0" borderId="0" xfId="0" quotePrefix="1" applyNumberFormat="1" applyFont="1" applyAlignment="1">
      <alignment horizontal="left"/>
    </xf>
    <xf numFmtId="178" fontId="6" fillId="0" borderId="42" xfId="0" applyNumberFormat="1" applyFont="1" applyBorder="1"/>
    <xf numFmtId="178" fontId="6" fillId="0" borderId="56" xfId="0" applyNumberFormat="1" applyFont="1" applyBorder="1" applyAlignment="1" applyProtection="1">
      <alignment horizontal="right"/>
      <protection locked="0"/>
    </xf>
    <xf numFmtId="0" fontId="22" fillId="0" borderId="0" xfId="0" applyFont="1" applyAlignment="1">
      <alignment horizontal="left"/>
    </xf>
    <xf numFmtId="178" fontId="47" fillId="0" borderId="23" xfId="36" applyNumberFormat="1" applyFont="1" applyBorder="1" applyProtection="1"/>
    <xf numFmtId="0" fontId="6" fillId="0" borderId="12" xfId="57" applyFont="1" applyFill="1" applyBorder="1" applyAlignment="1">
      <alignment horizontal="right"/>
    </xf>
    <xf numFmtId="5" fontId="3" fillId="0" borderId="35" xfId="0" applyNumberFormat="1" applyFont="1" applyBorder="1"/>
    <xf numFmtId="37" fontId="67" fillId="0" borderId="51" xfId="0" applyNumberFormat="1" applyFont="1" applyBorder="1" applyProtection="1">
      <protection locked="0"/>
    </xf>
    <xf numFmtId="3" fontId="6" fillId="0" borderId="0" xfId="0" applyNumberFormat="1" applyFont="1" applyAlignment="1">
      <alignment horizontal="center"/>
    </xf>
    <xf numFmtId="37" fontId="17" fillId="0" borderId="23" xfId="0" applyNumberFormat="1" applyFont="1" applyBorder="1" applyAlignment="1">
      <alignment horizontal="center"/>
    </xf>
    <xf numFmtId="16" fontId="17" fillId="0" borderId="23" xfId="0" quotePrefix="1" applyNumberFormat="1" applyFont="1" applyBorder="1" applyAlignment="1">
      <alignment horizontal="center"/>
    </xf>
    <xf numFmtId="5" fontId="47" fillId="14" borderId="36" xfId="0" applyNumberFormat="1" applyFont="1" applyFill="1" applyBorder="1"/>
    <xf numFmtId="37" fontId="47" fillId="0" borderId="47" xfId="0" applyNumberFormat="1" applyFont="1" applyBorder="1"/>
    <xf numFmtId="0" fontId="47" fillId="14" borderId="52" xfId="0" applyFont="1" applyFill="1" applyBorder="1"/>
    <xf numFmtId="185" fontId="6" fillId="0" borderId="21" xfId="0" applyNumberFormat="1" applyFont="1" applyBorder="1"/>
    <xf numFmtId="0" fontId="47" fillId="0" borderId="13" xfId="0" applyFont="1" applyBorder="1" applyAlignment="1">
      <alignment horizontal="center"/>
    </xf>
    <xf numFmtId="5" fontId="47" fillId="0" borderId="0" xfId="0" applyNumberFormat="1" applyFont="1" applyAlignment="1">
      <alignment horizontal="right"/>
    </xf>
    <xf numFmtId="37" fontId="6" fillId="0" borderId="34" xfId="0" applyNumberFormat="1" applyFont="1" applyBorder="1" applyProtection="1">
      <protection locked="0"/>
    </xf>
    <xf numFmtId="37" fontId="0" fillId="0" borderId="4" xfId="0" applyNumberFormat="1" applyBorder="1"/>
    <xf numFmtId="178" fontId="67" fillId="0" borderId="13" xfId="36" applyNumberFormat="1" applyFont="1" applyBorder="1" applyProtection="1">
      <protection locked="0"/>
    </xf>
    <xf numFmtId="43" fontId="67" fillId="0" borderId="13" xfId="36" applyFont="1" applyFill="1" applyBorder="1" applyProtection="1">
      <protection locked="0"/>
    </xf>
    <xf numFmtId="37" fontId="6" fillId="0" borderId="32" xfId="156" applyNumberFormat="1" applyBorder="1"/>
    <xf numFmtId="172" fontId="6" fillId="0" borderId="0" xfId="0" quotePrefix="1" applyNumberFormat="1" applyFont="1" applyAlignment="1">
      <alignment horizontal="center"/>
    </xf>
    <xf numFmtId="178" fontId="6" fillId="0" borderId="35" xfId="36" applyNumberFormat="1" applyFont="1" applyFill="1" applyBorder="1" applyProtection="1"/>
    <xf numFmtId="178" fontId="6" fillId="0" borderId="33" xfId="36" applyNumberFormat="1" applyFont="1" applyFill="1" applyBorder="1" applyProtection="1"/>
    <xf numFmtId="187" fontId="6" fillId="0" borderId="0" xfId="85" applyNumberFormat="1" applyFont="1"/>
    <xf numFmtId="0" fontId="42" fillId="9" borderId="41" xfId="0" applyFont="1" applyFill="1" applyBorder="1" applyAlignment="1">
      <alignment horizontal="center" vertical="center"/>
    </xf>
    <xf numFmtId="0" fontId="54" fillId="0" borderId="33" xfId="0" applyFont="1" applyBorder="1" applyAlignment="1">
      <alignment horizontal="center" vertical="center"/>
    </xf>
    <xf numFmtId="0" fontId="54" fillId="0" borderId="37" xfId="0" applyFont="1" applyBorder="1" applyAlignment="1">
      <alignment horizontal="center" vertical="center"/>
    </xf>
    <xf numFmtId="7" fontId="54" fillId="0" borderId="0" xfId="0" applyNumberFormat="1" applyFont="1" applyAlignment="1">
      <alignment horizontal="center"/>
    </xf>
    <xf numFmtId="7" fontId="54" fillId="0" borderId="14" xfId="0" applyNumberFormat="1" applyFont="1" applyBorder="1" applyAlignment="1">
      <alignment horizontal="center"/>
    </xf>
    <xf numFmtId="0" fontId="54" fillId="0" borderId="13" xfId="0" applyFont="1" applyBorder="1" applyAlignment="1">
      <alignment horizontal="center" vertical="center"/>
    </xf>
    <xf numFmtId="0" fontId="54" fillId="0" borderId="29" xfId="0" applyFont="1" applyBorder="1" applyAlignment="1">
      <alignment horizontal="center" vertical="center"/>
    </xf>
    <xf numFmtId="0" fontId="54" fillId="0" borderId="29" xfId="0" quotePrefix="1" applyFont="1" applyBorder="1" applyAlignment="1">
      <alignment horizontal="center"/>
    </xf>
    <xf numFmtId="37" fontId="54" fillId="0" borderId="13" xfId="0" applyNumberFormat="1" applyFont="1" applyBorder="1" applyAlignment="1">
      <alignment horizontal="center" vertical="center"/>
    </xf>
    <xf numFmtId="0" fontId="6" fillId="0" borderId="73" xfId="0" applyFont="1" applyBorder="1" applyAlignment="1">
      <alignment horizontal="center" vertical="center"/>
    </xf>
    <xf numFmtId="0" fontId="6" fillId="0" borderId="11" xfId="0" applyFont="1" applyBorder="1" applyAlignment="1">
      <alignment horizontal="center" vertical="center"/>
    </xf>
    <xf numFmtId="177" fontId="42" fillId="9" borderId="23" xfId="0" applyNumberFormat="1" applyFont="1" applyFill="1" applyBorder="1" applyAlignment="1">
      <alignment horizontal="center" vertical="center"/>
    </xf>
    <xf numFmtId="0" fontId="76" fillId="9" borderId="13" xfId="0" applyFont="1" applyFill="1" applyBorder="1"/>
    <xf numFmtId="0" fontId="91" fillId="13" borderId="0" xfId="0" applyFont="1" applyFill="1" applyAlignment="1">
      <alignment horizontal="centerContinuous"/>
    </xf>
    <xf numFmtId="3" fontId="72" fillId="0" borderId="23" xfId="0" applyNumberFormat="1" applyFont="1" applyBorder="1" applyAlignment="1">
      <alignment horizontal="center"/>
    </xf>
    <xf numFmtId="0" fontId="42" fillId="9" borderId="21" xfId="0" applyFont="1" applyFill="1" applyBorder="1" applyAlignment="1">
      <alignment horizontal="left" vertical="center"/>
    </xf>
    <xf numFmtId="171" fontId="42" fillId="9" borderId="24" xfId="0" applyNumberFormat="1" applyFont="1" applyFill="1" applyBorder="1" applyAlignment="1">
      <alignment horizontal="left" vertical="center"/>
    </xf>
    <xf numFmtId="0" fontId="42" fillId="9" borderId="24" xfId="0" quotePrefix="1" applyFont="1" applyFill="1" applyBorder="1" applyAlignment="1">
      <alignment horizontal="left" vertical="center"/>
    </xf>
    <xf numFmtId="0" fontId="138" fillId="9" borderId="24" xfId="0" applyFont="1" applyFill="1" applyBorder="1" applyAlignment="1">
      <alignment horizontal="left" vertical="center"/>
    </xf>
    <xf numFmtId="171" fontId="47" fillId="9" borderId="31" xfId="0" applyNumberFormat="1" applyFont="1" applyFill="1" applyBorder="1"/>
    <xf numFmtId="0" fontId="42" fillId="0" borderId="0" xfId="0" applyFont="1" applyAlignment="1">
      <alignment horizontal="center"/>
    </xf>
    <xf numFmtId="0" fontId="43" fillId="0" borderId="80" xfId="0" applyFont="1" applyBorder="1"/>
    <xf numFmtId="1" fontId="42" fillId="0" borderId="0" xfId="0" applyNumberFormat="1" applyFont="1"/>
    <xf numFmtId="37" fontId="42" fillId="0" borderId="141" xfId="0" applyNumberFormat="1" applyFont="1" applyBorder="1" applyAlignment="1">
      <alignment horizontal="centerContinuous" vertical="center"/>
    </xf>
    <xf numFmtId="0" fontId="3" fillId="0" borderId="111" xfId="0" applyFont="1" applyBorder="1"/>
    <xf numFmtId="0" fontId="42" fillId="0" borderId="103" xfId="0" applyFont="1" applyBorder="1" applyAlignment="1">
      <alignment horizontal="centerContinuous" vertical="center"/>
    </xf>
    <xf numFmtId="0" fontId="43" fillId="0" borderId="112" xfId="0" applyFont="1" applyBorder="1"/>
    <xf numFmtId="0" fontId="42" fillId="0" borderId="113" xfId="0" applyFont="1" applyBorder="1" applyAlignment="1">
      <alignment horizontal="center"/>
    </xf>
    <xf numFmtId="37" fontId="42" fillId="0" borderId="113" xfId="0" applyNumberFormat="1" applyFont="1" applyBorder="1"/>
    <xf numFmtId="0" fontId="43" fillId="0" borderId="114" xfId="0" applyFont="1" applyBorder="1"/>
    <xf numFmtId="0" fontId="42" fillId="0" borderId="115" xfId="0" applyFont="1" applyBorder="1" applyAlignment="1">
      <alignment horizontal="center"/>
    </xf>
    <xf numFmtId="37" fontId="42" fillId="0" borderId="116" xfId="0" applyNumberFormat="1" applyFont="1" applyBorder="1"/>
    <xf numFmtId="0" fontId="43" fillId="0" borderId="117" xfId="0" applyFont="1" applyBorder="1"/>
    <xf numFmtId="0" fontId="42" fillId="0" borderId="118" xfId="0" applyFont="1" applyBorder="1" applyAlignment="1">
      <alignment horizontal="center"/>
    </xf>
    <xf numFmtId="37" fontId="42" fillId="0" borderId="118" xfId="0" applyNumberFormat="1" applyFont="1" applyBorder="1"/>
    <xf numFmtId="37" fontId="42" fillId="0" borderId="154" xfId="0" applyNumberFormat="1" applyFont="1" applyBorder="1"/>
    <xf numFmtId="37" fontId="42" fillId="0" borderId="160" xfId="0" applyNumberFormat="1" applyFont="1" applyBorder="1"/>
    <xf numFmtId="37" fontId="42" fillId="0" borderId="24" xfId="0" applyNumberFormat="1" applyFont="1" applyBorder="1" applyAlignment="1">
      <alignment horizontal="center"/>
    </xf>
    <xf numFmtId="37" fontId="42" fillId="0" borderId="28" xfId="0" applyNumberFormat="1" applyFont="1" applyBorder="1"/>
    <xf numFmtId="0" fontId="43" fillId="0" borderId="119" xfId="0" applyFont="1" applyBorder="1"/>
    <xf numFmtId="37" fontId="42" fillId="0" borderId="120" xfId="0" applyNumberFormat="1" applyFont="1" applyBorder="1"/>
    <xf numFmtId="37" fontId="76" fillId="0" borderId="120" xfId="0" applyNumberFormat="1" applyFont="1" applyBorder="1"/>
    <xf numFmtId="37" fontId="76" fillId="0" borderId="121" xfId="0" applyNumberFormat="1" applyFont="1" applyBorder="1"/>
    <xf numFmtId="37" fontId="42" fillId="0" borderId="0" xfId="0" applyNumberFormat="1" applyFont="1" applyAlignment="1">
      <alignment horizontal="right"/>
    </xf>
    <xf numFmtId="0" fontId="43" fillId="0" borderId="0" xfId="0" applyFont="1"/>
    <xf numFmtId="0" fontId="42" fillId="31" borderId="23" xfId="0" applyFont="1" applyFill="1" applyBorder="1" applyAlignment="1">
      <alignment horizontal="center" vertical="center"/>
    </xf>
    <xf numFmtId="0" fontId="0" fillId="31" borderId="24" xfId="0" applyFill="1" applyBorder="1" applyAlignment="1">
      <alignment vertical="center"/>
    </xf>
    <xf numFmtId="0" fontId="42" fillId="31" borderId="33" xfId="0" applyFont="1" applyFill="1" applyBorder="1" applyAlignment="1">
      <alignment horizontal="center" vertical="center"/>
    </xf>
    <xf numFmtId="0" fontId="38" fillId="31" borderId="24" xfId="0" applyFont="1" applyFill="1" applyBorder="1" applyAlignment="1">
      <alignment horizontal="center" vertical="center"/>
    </xf>
    <xf numFmtId="0" fontId="42" fillId="31" borderId="24" xfId="0" applyFont="1" applyFill="1" applyBorder="1" applyAlignment="1">
      <alignment horizontal="center" vertical="center"/>
    </xf>
    <xf numFmtId="37" fontId="42" fillId="31" borderId="24" xfId="0" applyNumberFormat="1" applyFont="1" applyFill="1" applyBorder="1" applyAlignment="1">
      <alignment horizontal="center" vertical="center"/>
    </xf>
    <xf numFmtId="37" fontId="42" fillId="31" borderId="33" xfId="0" applyNumberFormat="1" applyFont="1" applyFill="1" applyBorder="1" applyAlignment="1">
      <alignment horizontal="center" vertical="center"/>
    </xf>
    <xf numFmtId="0" fontId="38" fillId="31" borderId="24" xfId="0" applyFont="1" applyFill="1" applyBorder="1" applyAlignment="1">
      <alignment horizontal="left" vertical="center"/>
    </xf>
    <xf numFmtId="0" fontId="54" fillId="0" borderId="38" xfId="0" applyFont="1" applyBorder="1"/>
    <xf numFmtId="0" fontId="54" fillId="0" borderId="28" xfId="0" applyFont="1" applyBorder="1"/>
    <xf numFmtId="0" fontId="54" fillId="0" borderId="39" xfId="0" applyFont="1" applyBorder="1" applyAlignment="1">
      <alignment horizontal="center"/>
    </xf>
    <xf numFmtId="16" fontId="54" fillId="0" borderId="38" xfId="0" quotePrefix="1" applyNumberFormat="1" applyFont="1" applyBorder="1" applyAlignment="1">
      <alignment horizontal="center"/>
    </xf>
    <xf numFmtId="7" fontId="54" fillId="0" borderId="38" xfId="0" applyNumberFormat="1" applyFont="1" applyBorder="1" applyAlignment="1">
      <alignment horizontal="center"/>
    </xf>
    <xf numFmtId="7" fontId="54" fillId="0" borderId="40" xfId="0" applyNumberFormat="1" applyFont="1" applyBorder="1" applyAlignment="1">
      <alignment horizontal="center"/>
    </xf>
    <xf numFmtId="0" fontId="75" fillId="32" borderId="77" xfId="0" applyFont="1" applyFill="1" applyBorder="1" applyAlignment="1">
      <alignment horizontal="centerContinuous" vertical="center"/>
    </xf>
    <xf numFmtId="0" fontId="4" fillId="32" borderId="78" xfId="0" applyFont="1" applyFill="1" applyBorder="1" applyAlignment="1">
      <alignment horizontal="centerContinuous" vertical="center"/>
    </xf>
    <xf numFmtId="0" fontId="4" fillId="32" borderId="79" xfId="0" applyFont="1" applyFill="1" applyBorder="1" applyAlignment="1">
      <alignment horizontal="centerContinuous" vertical="center"/>
    </xf>
    <xf numFmtId="0" fontId="4" fillId="31" borderId="80" xfId="0" applyFont="1" applyFill="1" applyBorder="1"/>
    <xf numFmtId="0" fontId="4" fillId="31" borderId="0" xfId="0" applyFont="1" applyFill="1" applyAlignment="1">
      <alignment horizontal="centerContinuous"/>
    </xf>
    <xf numFmtId="0" fontId="4" fillId="31" borderId="0" xfId="0" applyFont="1" applyFill="1"/>
    <xf numFmtId="0" fontId="75" fillId="31" borderId="0" xfId="0" applyFont="1" applyFill="1" applyAlignment="1">
      <alignment horizontal="centerContinuous"/>
    </xf>
    <xf numFmtId="0" fontId="4" fillId="31" borderId="81" xfId="0" applyFont="1" applyFill="1" applyBorder="1" applyAlignment="1">
      <alignment horizontal="centerContinuous"/>
    </xf>
    <xf numFmtId="0" fontId="4" fillId="31" borderId="81" xfId="0" applyFont="1" applyFill="1" applyBorder="1"/>
    <xf numFmtId="0" fontId="4" fillId="31" borderId="94" xfId="0" applyFont="1" applyFill="1" applyBorder="1"/>
    <xf numFmtId="0" fontId="4" fillId="31" borderId="19" xfId="0" applyFont="1" applyFill="1" applyBorder="1"/>
    <xf numFmtId="0" fontId="4" fillId="31" borderId="95" xfId="0" applyFont="1" applyFill="1" applyBorder="1"/>
    <xf numFmtId="0" fontId="4" fillId="31" borderId="80" xfId="0" applyFont="1" applyFill="1" applyBorder="1" applyAlignment="1">
      <alignment horizontal="center"/>
    </xf>
    <xf numFmtId="0" fontId="4" fillId="31" borderId="0" xfId="0" applyFont="1" applyFill="1" applyAlignment="1">
      <alignment horizontal="center"/>
    </xf>
    <xf numFmtId="0" fontId="4" fillId="31" borderId="81" xfId="0" applyFont="1" applyFill="1" applyBorder="1" applyAlignment="1">
      <alignment horizontal="center"/>
    </xf>
    <xf numFmtId="0" fontId="4" fillId="31" borderId="96" xfId="0" applyFont="1" applyFill="1" applyBorder="1" applyAlignment="1">
      <alignment horizontal="center"/>
    </xf>
    <xf numFmtId="0" fontId="4" fillId="31" borderId="3" xfId="0" applyFont="1" applyFill="1" applyBorder="1" applyAlignment="1">
      <alignment horizontal="center"/>
    </xf>
    <xf numFmtId="0" fontId="4" fillId="31" borderId="97" xfId="0" applyFont="1" applyFill="1" applyBorder="1" applyAlignment="1">
      <alignment horizontal="center"/>
    </xf>
    <xf numFmtId="0" fontId="49" fillId="31" borderId="98" xfId="0" applyFont="1" applyFill="1" applyBorder="1" applyAlignment="1">
      <alignment horizontal="center" vertical="center"/>
    </xf>
    <xf numFmtId="0" fontId="3" fillId="31" borderId="0" xfId="0" applyFont="1" applyFill="1"/>
    <xf numFmtId="0" fontId="49" fillId="31" borderId="0" xfId="0" applyFont="1" applyFill="1" applyAlignment="1">
      <alignment horizontal="center" vertical="center"/>
    </xf>
    <xf numFmtId="0" fontId="49" fillId="31" borderId="81" xfId="0" applyFont="1" applyFill="1" applyBorder="1" applyAlignment="1">
      <alignment horizontal="center" vertical="center"/>
    </xf>
    <xf numFmtId="0" fontId="49" fillId="31" borderId="80" xfId="0" applyFont="1" applyFill="1" applyBorder="1"/>
    <xf numFmtId="0" fontId="49" fillId="31" borderId="0" xfId="0" applyFont="1" applyFill="1"/>
    <xf numFmtId="0" fontId="3" fillId="31" borderId="80" xfId="0" applyFont="1" applyFill="1" applyBorder="1"/>
    <xf numFmtId="0" fontId="3" fillId="31" borderId="0" xfId="0" applyFont="1" applyFill="1" applyAlignment="1">
      <alignment horizontal="center" vertical="center"/>
    </xf>
    <xf numFmtId="0" fontId="3" fillId="31" borderId="80" xfId="0" applyFont="1" applyFill="1" applyBorder="1" applyAlignment="1">
      <alignment horizontal="right"/>
    </xf>
    <xf numFmtId="0" fontId="42" fillId="31" borderId="0" xfId="0" applyFont="1" applyFill="1"/>
    <xf numFmtId="0" fontId="3" fillId="31" borderId="80" xfId="0" quotePrefix="1" applyFont="1" applyFill="1" applyBorder="1" applyAlignment="1">
      <alignment horizontal="left"/>
    </xf>
    <xf numFmtId="0" fontId="49" fillId="31" borderId="80" xfId="0" applyFont="1" applyFill="1" applyBorder="1" applyAlignment="1">
      <alignment vertical="center"/>
    </xf>
    <xf numFmtId="0" fontId="49" fillId="31" borderId="80" xfId="0" applyFont="1" applyFill="1" applyBorder="1" applyAlignment="1">
      <alignment horizontal="center"/>
    </xf>
    <xf numFmtId="0" fontId="127" fillId="31" borderId="80" xfId="0" applyFont="1" applyFill="1" applyBorder="1"/>
    <xf numFmtId="0" fontId="136" fillId="31" borderId="80" xfId="0" applyFont="1" applyFill="1" applyBorder="1"/>
    <xf numFmtId="0" fontId="3" fillId="31" borderId="81" xfId="0" applyFont="1" applyFill="1" applyBorder="1" applyAlignment="1">
      <alignment horizontal="center" vertical="center"/>
    </xf>
    <xf numFmtId="0" fontId="49" fillId="31" borderId="80" xfId="0" quotePrefix="1" applyFont="1" applyFill="1" applyBorder="1" applyAlignment="1">
      <alignment horizontal="left"/>
    </xf>
    <xf numFmtId="0" fontId="3" fillId="31" borderId="98" xfId="0" applyFont="1" applyFill="1" applyBorder="1" applyAlignment="1">
      <alignment horizontal="center" vertical="center"/>
    </xf>
    <xf numFmtId="0" fontId="6" fillId="31" borderId="0" xfId="0" applyFont="1" applyFill="1"/>
    <xf numFmtId="37" fontId="3" fillId="31" borderId="0" xfId="0" applyNumberFormat="1" applyFont="1" applyFill="1" applyAlignment="1">
      <alignment horizontal="center" vertical="center"/>
    </xf>
    <xf numFmtId="0" fontId="3" fillId="31" borderId="82" xfId="0" applyFont="1" applyFill="1" applyBorder="1"/>
    <xf numFmtId="0" fontId="49" fillId="31" borderId="76" xfId="0" applyFont="1" applyFill="1" applyBorder="1"/>
    <xf numFmtId="0" fontId="49" fillId="31" borderId="76" xfId="0" applyFont="1" applyFill="1" applyBorder="1" applyAlignment="1">
      <alignment horizontal="center" vertical="center"/>
    </xf>
    <xf numFmtId="0" fontId="3" fillId="31" borderId="76" xfId="0" applyFont="1" applyFill="1" applyBorder="1" applyAlignment="1">
      <alignment horizontal="center" vertical="center"/>
    </xf>
    <xf numFmtId="0" fontId="49" fillId="31" borderId="83" xfId="0" applyFont="1" applyFill="1" applyBorder="1" applyAlignment="1">
      <alignment horizontal="center" vertical="center"/>
    </xf>
    <xf numFmtId="0" fontId="43" fillId="32" borderId="77" xfId="0" applyFont="1" applyFill="1" applyBorder="1" applyAlignment="1">
      <alignment horizontal="centerContinuous" vertical="center"/>
    </xf>
    <xf numFmtId="0" fontId="42" fillId="32" borderId="78" xfId="0" applyFont="1" applyFill="1" applyBorder="1" applyAlignment="1">
      <alignment horizontal="centerContinuous" vertical="center"/>
    </xf>
    <xf numFmtId="0" fontId="42" fillId="32" borderId="79" xfId="0" applyFont="1" applyFill="1" applyBorder="1" applyAlignment="1">
      <alignment horizontal="centerContinuous" vertical="center"/>
    </xf>
    <xf numFmtId="0" fontId="42" fillId="32" borderId="80" xfId="0" applyFont="1" applyFill="1" applyBorder="1" applyAlignment="1">
      <alignment horizontal="centerContinuous"/>
    </xf>
    <xf numFmtId="0" fontId="42" fillId="32" borderId="0" xfId="0" applyFont="1" applyFill="1" applyAlignment="1">
      <alignment horizontal="centerContinuous"/>
    </xf>
    <xf numFmtId="0" fontId="3" fillId="31" borderId="0" xfId="0" applyFont="1" applyFill="1" applyAlignment="1">
      <alignment horizontal="centerContinuous"/>
    </xf>
    <xf numFmtId="0" fontId="43" fillId="32" borderId="0" xfId="0" applyFont="1" applyFill="1" applyAlignment="1">
      <alignment horizontal="centerContinuous"/>
    </xf>
    <xf numFmtId="0" fontId="42" fillId="32" borderId="81" xfId="0" applyFont="1" applyFill="1" applyBorder="1" applyAlignment="1">
      <alignment horizontal="centerContinuous"/>
    </xf>
    <xf numFmtId="0" fontId="42" fillId="32" borderId="80" xfId="0" applyFont="1" applyFill="1" applyBorder="1"/>
    <xf numFmtId="0" fontId="42" fillId="32" borderId="0" xfId="0" applyFont="1" applyFill="1"/>
    <xf numFmtId="0" fontId="42" fillId="32" borderId="81" xfId="0" applyFont="1" applyFill="1" applyBorder="1"/>
    <xf numFmtId="0" fontId="42" fillId="32" borderId="94" xfId="0" applyFont="1" applyFill="1" applyBorder="1"/>
    <xf numFmtId="0" fontId="42" fillId="32" borderId="19" xfId="0" applyFont="1" applyFill="1" applyBorder="1"/>
    <xf numFmtId="0" fontId="42" fillId="32" borderId="95" xfId="0" applyFont="1" applyFill="1" applyBorder="1"/>
    <xf numFmtId="0" fontId="42" fillId="32" borderId="80" xfId="0" applyFont="1" applyFill="1" applyBorder="1" applyAlignment="1">
      <alignment horizontal="center"/>
    </xf>
    <xf numFmtId="0" fontId="3" fillId="31" borderId="0" xfId="0" applyFont="1" applyFill="1" applyAlignment="1">
      <alignment horizontal="center"/>
    </xf>
    <xf numFmtId="0" fontId="42" fillId="32" borderId="0" xfId="0" applyFont="1" applyFill="1" applyAlignment="1">
      <alignment horizontal="center"/>
    </xf>
    <xf numFmtId="0" fontId="42" fillId="32" borderId="81" xfId="0" applyFont="1" applyFill="1" applyBorder="1" applyAlignment="1">
      <alignment horizontal="center"/>
    </xf>
    <xf numFmtId="0" fontId="42" fillId="32" borderId="96" xfId="0" applyFont="1" applyFill="1" applyBorder="1" applyAlignment="1">
      <alignment horizontal="center"/>
    </xf>
    <xf numFmtId="0" fontId="42" fillId="32" borderId="3" xfId="0" applyFont="1" applyFill="1" applyBorder="1" applyAlignment="1">
      <alignment horizontal="center"/>
    </xf>
    <xf numFmtId="0" fontId="42" fillId="32" borderId="97" xfId="0" applyFont="1" applyFill="1" applyBorder="1" applyAlignment="1">
      <alignment horizontal="center"/>
    </xf>
    <xf numFmtId="0" fontId="42" fillId="32" borderId="98" xfId="0" applyFont="1" applyFill="1" applyBorder="1" applyAlignment="1">
      <alignment horizontal="center" vertical="center"/>
    </xf>
    <xf numFmtId="0" fontId="42" fillId="32" borderId="0" xfId="0" applyFont="1" applyFill="1" applyAlignment="1">
      <alignment horizontal="center" vertical="center"/>
    </xf>
    <xf numFmtId="0" fontId="42" fillId="32" borderId="81" xfId="0" applyFont="1" applyFill="1" applyBorder="1" applyAlignment="1">
      <alignment horizontal="center" vertical="center"/>
    </xf>
    <xf numFmtId="0" fontId="42" fillId="32" borderId="80" xfId="0" applyFont="1" applyFill="1" applyBorder="1" applyAlignment="1">
      <alignment horizontal="center" vertical="center"/>
    </xf>
    <xf numFmtId="0" fontId="42" fillId="32" borderId="80" xfId="0" applyFont="1" applyFill="1" applyBorder="1" applyAlignment="1">
      <alignment horizontal="left" vertical="center"/>
    </xf>
    <xf numFmtId="0" fontId="4" fillId="31" borderId="80" xfId="0" applyFont="1" applyFill="1" applyBorder="1" applyAlignment="1">
      <alignment horizontal="left"/>
    </xf>
    <xf numFmtId="0" fontId="4" fillId="31" borderId="80" xfId="0" applyFont="1" applyFill="1" applyBorder="1" applyAlignment="1">
      <alignment vertical="center"/>
    </xf>
    <xf numFmtId="0" fontId="49" fillId="32" borderId="0" xfId="0" applyFont="1" applyFill="1"/>
    <xf numFmtId="0" fontId="4" fillId="31" borderId="0" xfId="0" applyFont="1" applyFill="1" applyAlignment="1">
      <alignment horizontal="center" vertical="center"/>
    </xf>
    <xf numFmtId="37" fontId="4" fillId="31" borderId="0" xfId="0" applyNumberFormat="1" applyFont="1" applyFill="1" applyAlignment="1">
      <alignment horizontal="center" vertical="center"/>
    </xf>
    <xf numFmtId="178" fontId="4" fillId="31" borderId="0" xfId="36" applyNumberFormat="1" applyFont="1" applyFill="1" applyBorder="1" applyAlignment="1">
      <alignment horizontal="center" vertical="center"/>
    </xf>
    <xf numFmtId="0" fontId="6" fillId="0" borderId="58" xfId="80" applyBorder="1"/>
    <xf numFmtId="37" fontId="6" fillId="0" borderId="57" xfId="80" applyNumberFormat="1" applyBorder="1"/>
    <xf numFmtId="0" fontId="42" fillId="0" borderId="21" xfId="0" applyFont="1" applyBorder="1" applyAlignment="1">
      <alignment horizontal="center"/>
    </xf>
    <xf numFmtId="0" fontId="42" fillId="0" borderId="21" xfId="0" applyFont="1" applyBorder="1"/>
    <xf numFmtId="0" fontId="42" fillId="0" borderId="61" xfId="0" applyFont="1" applyBorder="1" applyAlignment="1">
      <alignment horizontal="center"/>
    </xf>
    <xf numFmtId="37" fontId="42" fillId="0" borderId="61" xfId="0" applyNumberFormat="1" applyFont="1" applyBorder="1" applyAlignment="1">
      <alignment horizontal="center"/>
    </xf>
    <xf numFmtId="37" fontId="42" fillId="0" borderId="61" xfId="0" applyNumberFormat="1" applyFont="1" applyBorder="1"/>
    <xf numFmtId="0" fontId="47" fillId="0" borderId="12" xfId="0" quotePrefix="1" applyFont="1" applyBorder="1"/>
    <xf numFmtId="0" fontId="131" fillId="0" borderId="32" xfId="0" applyFont="1" applyBorder="1" applyAlignment="1">
      <alignment horizontal="left"/>
    </xf>
    <xf numFmtId="0" fontId="7" fillId="0" borderId="24" xfId="0" applyFont="1" applyBorder="1"/>
    <xf numFmtId="41" fontId="6" fillId="0" borderId="0" xfId="0" applyNumberFormat="1" applyFont="1"/>
    <xf numFmtId="41" fontId="6" fillId="0" borderId="24" xfId="0" applyNumberFormat="1" applyFont="1" applyBorder="1"/>
    <xf numFmtId="172" fontId="6" fillId="33" borderId="48" xfId="0" applyNumberFormat="1" applyFont="1" applyFill="1" applyBorder="1"/>
    <xf numFmtId="172" fontId="6" fillId="33" borderId="47" xfId="0" applyNumberFormat="1" applyFont="1" applyFill="1" applyBorder="1"/>
    <xf numFmtId="41" fontId="6" fillId="0" borderId="45" xfId="0" applyNumberFormat="1" applyFont="1" applyBorder="1"/>
    <xf numFmtId="41" fontId="6" fillId="0" borderId="55" xfId="0" applyNumberFormat="1" applyFont="1" applyBorder="1"/>
    <xf numFmtId="41" fontId="6" fillId="0" borderId="48" xfId="0" applyNumberFormat="1" applyFont="1" applyBorder="1"/>
    <xf numFmtId="41" fontId="6" fillId="0" borderId="49" xfId="0" applyNumberFormat="1" applyFont="1" applyBorder="1"/>
    <xf numFmtId="41" fontId="6" fillId="0" borderId="13" xfId="0" applyNumberFormat="1" applyFont="1" applyBorder="1"/>
    <xf numFmtId="41" fontId="6" fillId="0" borderId="42" xfId="0" applyNumberFormat="1" applyFont="1" applyBorder="1"/>
    <xf numFmtId="37" fontId="3" fillId="34" borderId="0" xfId="0" applyNumberFormat="1" applyFont="1" applyFill="1"/>
    <xf numFmtId="0" fontId="3" fillId="34" borderId="0" xfId="0" applyFont="1" applyFill="1"/>
    <xf numFmtId="178" fontId="3" fillId="34" borderId="0" xfId="36" applyNumberFormat="1" applyFont="1" applyFill="1"/>
    <xf numFmtId="0" fontId="96" fillId="0" borderId="14" xfId="0" applyFont="1" applyBorder="1" applyAlignment="1">
      <alignment vertical="center"/>
    </xf>
    <xf numFmtId="0" fontId="42" fillId="9" borderId="21" xfId="0" applyFont="1" applyFill="1" applyBorder="1" applyAlignment="1">
      <alignment horizontal="center" vertical="center"/>
    </xf>
    <xf numFmtId="0" fontId="6" fillId="0" borderId="74" xfId="0" applyFont="1" applyBorder="1" applyAlignment="1">
      <alignment horizontal="center" vertical="center"/>
    </xf>
    <xf numFmtId="7" fontId="54" fillId="0" borderId="28" xfId="0" applyNumberFormat="1" applyFont="1" applyBorder="1"/>
    <xf numFmtId="7" fontId="54" fillId="9" borderId="12" xfId="0" applyNumberFormat="1" applyFont="1" applyFill="1" applyBorder="1" applyAlignment="1">
      <alignment horizontal="center"/>
    </xf>
    <xf numFmtId="7" fontId="54" fillId="9" borderId="16" xfId="0" applyNumberFormat="1" applyFont="1" applyFill="1" applyBorder="1" applyAlignment="1">
      <alignment horizontal="center"/>
    </xf>
    <xf numFmtId="178" fontId="4" fillId="0" borderId="24" xfId="36" applyNumberFormat="1" applyFont="1" applyFill="1" applyBorder="1" applyAlignment="1" applyProtection="1">
      <alignment horizontal="center" vertical="center"/>
    </xf>
    <xf numFmtId="12" fontId="0" fillId="0" borderId="32" xfId="0" applyNumberFormat="1" applyBorder="1" applyAlignment="1">
      <alignment horizontal="center" vertical="center"/>
    </xf>
    <xf numFmtId="3" fontId="0" fillId="0" borderId="0" xfId="0" applyNumberFormat="1" applyAlignment="1">
      <alignment horizontal="center" vertical="center"/>
    </xf>
    <xf numFmtId="3" fontId="0" fillId="0" borderId="0" xfId="0" applyNumberFormat="1" applyAlignment="1">
      <alignment horizontal="center"/>
    </xf>
    <xf numFmtId="3" fontId="7" fillId="0" borderId="0" xfId="0" applyNumberFormat="1" applyFont="1" applyAlignment="1">
      <alignment horizontal="center"/>
    </xf>
    <xf numFmtId="7" fontId="139" fillId="29" borderId="0" xfId="0" applyNumberFormat="1" applyFont="1" applyFill="1" applyAlignment="1">
      <alignment horizontal="center"/>
    </xf>
    <xf numFmtId="178" fontId="42" fillId="9" borderId="23" xfId="36" applyNumberFormat="1" applyFont="1" applyFill="1" applyBorder="1" applyAlignment="1" applyProtection="1">
      <alignment horizontal="center" vertical="center"/>
    </xf>
    <xf numFmtId="0" fontId="140" fillId="0" borderId="0" xfId="0" applyFont="1"/>
    <xf numFmtId="0" fontId="0" fillId="0" borderId="86" xfId="0" applyBorder="1" applyAlignment="1">
      <alignment horizontal="center" vertical="center"/>
    </xf>
    <xf numFmtId="0" fontId="0" fillId="0" borderId="23" xfId="0" applyBorder="1" applyAlignment="1">
      <alignment horizontal="center" vertical="center"/>
    </xf>
    <xf numFmtId="37" fontId="0" fillId="0" borderId="130" xfId="0" applyNumberFormat="1" applyBorder="1" applyAlignment="1">
      <alignment horizontal="center" vertical="center"/>
    </xf>
    <xf numFmtId="37" fontId="0" fillId="0" borderId="71" xfId="0" applyNumberFormat="1" applyBorder="1" applyAlignment="1">
      <alignment horizontal="center" vertical="center"/>
    </xf>
    <xf numFmtId="0" fontId="0" fillId="34" borderId="0" xfId="0" applyFill="1"/>
    <xf numFmtId="0" fontId="0" fillId="34" borderId="0" xfId="0" applyFill="1" applyAlignment="1">
      <alignment horizontal="center" vertical="center"/>
    </xf>
    <xf numFmtId="3" fontId="0" fillId="34" borderId="0" xfId="0" applyNumberFormat="1" applyFill="1" applyAlignment="1">
      <alignment horizontal="center" vertical="center"/>
    </xf>
    <xf numFmtId="0" fontId="6" fillId="34" borderId="0" xfId="0" applyFont="1" applyFill="1"/>
    <xf numFmtId="0" fontId="42" fillId="32" borderId="80" xfId="0" applyFont="1" applyFill="1" applyBorder="1" applyAlignment="1">
      <alignment horizontal="left"/>
    </xf>
    <xf numFmtId="0" fontId="42" fillId="0" borderId="164" xfId="0" applyFont="1" applyBorder="1" applyAlignment="1">
      <alignment horizontal="center"/>
    </xf>
    <xf numFmtId="0" fontId="141" fillId="9" borderId="24" xfId="0" applyFont="1" applyFill="1" applyBorder="1" applyAlignment="1">
      <alignment horizontal="left" vertical="center"/>
    </xf>
    <xf numFmtId="0" fontId="142" fillId="0" borderId="0" xfId="0" applyFont="1"/>
    <xf numFmtId="37" fontId="6" fillId="0" borderId="32" xfId="62" applyNumberFormat="1" applyFont="1" applyFill="1" applyBorder="1" applyAlignment="1">
      <alignment horizontal="center"/>
    </xf>
    <xf numFmtId="37" fontId="6" fillId="0" borderId="24" xfId="62" applyNumberFormat="1" applyFont="1" applyFill="1" applyBorder="1" applyAlignment="1">
      <alignment horizontal="center"/>
    </xf>
    <xf numFmtId="37" fontId="6" fillId="24" borderId="32" xfId="62" applyNumberFormat="1" applyFont="1" applyFill="1" applyBorder="1"/>
    <xf numFmtId="37" fontId="6" fillId="24" borderId="33" xfId="62" applyNumberFormat="1" applyFont="1" applyFill="1" applyBorder="1"/>
    <xf numFmtId="0" fontId="121" fillId="0" borderId="6" xfId="57" applyFont="1" applyFill="1"/>
    <xf numFmtId="0" fontId="121" fillId="0" borderId="13" xfId="57" applyFont="1" applyFill="1" applyBorder="1"/>
    <xf numFmtId="0" fontId="121" fillId="0" borderId="6" xfId="57" applyFont="1" applyFill="1" applyAlignment="1">
      <alignment horizontal="left"/>
    </xf>
    <xf numFmtId="0" fontId="121" fillId="0" borderId="26" xfId="57" applyFont="1" applyFill="1" applyBorder="1" applyAlignment="1">
      <alignment horizontal="centerContinuous"/>
    </xf>
    <xf numFmtId="0" fontId="17" fillId="0" borderId="0" xfId="0" applyFont="1" applyAlignment="1">
      <alignment horizontal="center"/>
    </xf>
    <xf numFmtId="0" fontId="17" fillId="0" borderId="0" xfId="0" applyFont="1" applyAlignment="1">
      <alignment horizontal="right"/>
    </xf>
    <xf numFmtId="0" fontId="6" fillId="0" borderId="26" xfId="57" applyFont="1" applyFill="1" applyBorder="1" applyAlignment="1">
      <alignment horizontal="left"/>
    </xf>
    <xf numFmtId="0" fontId="135" fillId="0" borderId="29" xfId="57" applyFont="1" applyFill="1" applyBorder="1"/>
    <xf numFmtId="0" fontId="50" fillId="0" borderId="0" xfId="0" applyFont="1" applyAlignment="1">
      <alignment horizontal="right"/>
    </xf>
    <xf numFmtId="5" fontId="47" fillId="0" borderId="13" xfId="36" applyNumberFormat="1" applyFont="1" applyFill="1" applyBorder="1" applyAlignment="1" applyProtection="1"/>
    <xf numFmtId="189" fontId="0" fillId="0" borderId="0" xfId="0" applyNumberFormat="1"/>
    <xf numFmtId="190" fontId="6" fillId="0" borderId="0" xfId="0" applyNumberFormat="1" applyFont="1" applyAlignment="1">
      <alignment horizontal="centerContinuous"/>
    </xf>
    <xf numFmtId="0" fontId="6" fillId="0" borderId="51" xfId="0" applyFont="1" applyBorder="1" applyAlignment="1">
      <alignment horizontal="left"/>
    </xf>
    <xf numFmtId="5" fontId="6" fillId="0" borderId="24" xfId="0" applyNumberFormat="1" applyFont="1" applyBorder="1" applyAlignment="1">
      <alignment horizontal="right"/>
    </xf>
    <xf numFmtId="5" fontId="6" fillId="0" borderId="0" xfId="0" applyNumberFormat="1" applyFont="1" applyAlignment="1">
      <alignment horizontal="right"/>
    </xf>
    <xf numFmtId="5" fontId="6" fillId="0" borderId="33" xfId="0" applyNumberFormat="1" applyFont="1" applyBorder="1" applyAlignment="1">
      <alignment horizontal="right"/>
    </xf>
    <xf numFmtId="0" fontId="6" fillId="0" borderId="49" xfId="0" applyFont="1" applyBorder="1" applyAlignment="1">
      <alignment horizontal="center"/>
    </xf>
    <xf numFmtId="178" fontId="6" fillId="0" borderId="54" xfId="36" applyNumberFormat="1" applyFont="1" applyBorder="1" applyProtection="1"/>
    <xf numFmtId="0" fontId="6" fillId="0" borderId="0" xfId="156"/>
    <xf numFmtId="191" fontId="0" fillId="0" borderId="0" xfId="0" applyNumberFormat="1"/>
    <xf numFmtId="167" fontId="0" fillId="0" borderId="0" xfId="0" applyNumberFormat="1"/>
    <xf numFmtId="5" fontId="6" fillId="9" borderId="43" xfId="0" applyNumberFormat="1" applyFont="1" applyFill="1" applyBorder="1"/>
    <xf numFmtId="5" fontId="6" fillId="9" borderId="41" xfId="0" applyNumberFormat="1" applyFont="1" applyFill="1" applyBorder="1"/>
    <xf numFmtId="0" fontId="6" fillId="0" borderId="26" xfId="174" applyBorder="1" applyAlignment="1">
      <alignment horizontal="left"/>
    </xf>
    <xf numFmtId="0" fontId="6" fillId="0" borderId="0" xfId="174"/>
    <xf numFmtId="0" fontId="6" fillId="0" borderId="0" xfId="174" applyAlignment="1">
      <alignment horizontal="left" indent="2"/>
    </xf>
    <xf numFmtId="41" fontId="6" fillId="0" borderId="0" xfId="162" applyFont="1" applyProtection="1"/>
    <xf numFmtId="0" fontId="6" fillId="0" borderId="0" xfId="174" applyAlignment="1">
      <alignment horizontal="centerContinuous"/>
    </xf>
    <xf numFmtId="41" fontId="6" fillId="0" borderId="0" xfId="162" applyFont="1" applyAlignment="1" applyProtection="1">
      <alignment horizontal="centerContinuous"/>
    </xf>
    <xf numFmtId="0" fontId="0" fillId="0" borderId="0" xfId="174" applyFont="1" applyAlignment="1">
      <alignment horizontal="left" indent="2"/>
    </xf>
    <xf numFmtId="37" fontId="7" fillId="0" borderId="33" xfId="174" applyNumberFormat="1" applyFont="1" applyBorder="1"/>
    <xf numFmtId="0" fontId="6" fillId="0" borderId="9" xfId="174" applyBorder="1" applyAlignment="1">
      <alignment horizontal="center"/>
    </xf>
    <xf numFmtId="0" fontId="6" fillId="0" borderId="10" xfId="174" applyBorder="1"/>
    <xf numFmtId="0" fontId="6" fillId="0" borderId="11" xfId="174" applyBorder="1"/>
    <xf numFmtId="0" fontId="7" fillId="0" borderId="12" xfId="174" applyFont="1" applyBorder="1" applyAlignment="1">
      <alignment horizontal="centerContinuous"/>
    </xf>
    <xf numFmtId="0" fontId="6" fillId="0" borderId="13" xfId="174" applyBorder="1" applyAlignment="1">
      <alignment horizontal="centerContinuous"/>
    </xf>
    <xf numFmtId="0" fontId="6" fillId="0" borderId="25" xfId="174" applyBorder="1" applyAlignment="1">
      <alignment horizontal="center"/>
    </xf>
    <xf numFmtId="0" fontId="6" fillId="0" borderId="26" xfId="174" applyBorder="1"/>
    <xf numFmtId="0" fontId="6" fillId="0" borderId="29" xfId="174" applyBorder="1"/>
    <xf numFmtId="0" fontId="6" fillId="0" borderId="12" xfId="174" applyBorder="1" applyAlignment="1">
      <alignment horizontal="center"/>
    </xf>
    <xf numFmtId="0" fontId="6" fillId="0" borderId="33" xfId="174" applyBorder="1" applyAlignment="1">
      <alignment horizontal="centerContinuous"/>
    </xf>
    <xf numFmtId="0" fontId="6" fillId="0" borderId="26" xfId="174" applyBorder="1" applyAlignment="1">
      <alignment horizontal="centerContinuous"/>
    </xf>
    <xf numFmtId="0" fontId="6" fillId="0" borderId="37" xfId="174" applyBorder="1" applyAlignment="1">
      <alignment horizontal="centerContinuous"/>
    </xf>
    <xf numFmtId="37" fontId="6" fillId="0" borderId="33" xfId="174" applyNumberFormat="1" applyBorder="1"/>
    <xf numFmtId="0" fontId="6" fillId="0" borderId="0" xfId="166" applyFont="1" applyAlignment="1">
      <alignment horizontal="left" indent="2"/>
    </xf>
    <xf numFmtId="0" fontId="0" fillId="0" borderId="0" xfId="166" applyFont="1" applyAlignment="1">
      <alignment horizontal="left" indent="2"/>
    </xf>
    <xf numFmtId="0" fontId="6" fillId="0" borderId="0" xfId="174" applyAlignment="1">
      <alignment horizontal="left"/>
    </xf>
    <xf numFmtId="0" fontId="6" fillId="0" borderId="16" xfId="174" applyBorder="1" applyAlignment="1">
      <alignment horizontal="center"/>
    </xf>
    <xf numFmtId="0" fontId="6" fillId="0" borderId="14" xfId="174" applyBorder="1" applyAlignment="1">
      <alignment horizontal="left"/>
    </xf>
    <xf numFmtId="0" fontId="6" fillId="0" borderId="14" xfId="174" applyBorder="1"/>
    <xf numFmtId="37" fontId="6" fillId="0" borderId="41" xfId="174" applyNumberFormat="1" applyBorder="1"/>
    <xf numFmtId="0" fontId="0" fillId="0" borderId="0" xfId="174" applyFont="1" applyAlignment="1">
      <alignment horizontal="centerContinuous"/>
    </xf>
    <xf numFmtId="5" fontId="6" fillId="0" borderId="37" xfId="174" applyNumberFormat="1" applyBorder="1"/>
    <xf numFmtId="5" fontId="6" fillId="18" borderId="33" xfId="174" applyNumberFormat="1" applyFill="1" applyBorder="1"/>
    <xf numFmtId="0" fontId="6" fillId="19" borderId="33" xfId="174" applyFill="1" applyBorder="1"/>
    <xf numFmtId="0" fontId="6" fillId="19" borderId="37" xfId="174" applyFill="1" applyBorder="1"/>
    <xf numFmtId="0" fontId="6" fillId="0" borderId="26" xfId="174" applyBorder="1" applyAlignment="1">
      <alignment horizontal="left" indent="2"/>
    </xf>
    <xf numFmtId="37" fontId="6" fillId="9" borderId="37" xfId="174" applyNumberFormat="1" applyFill="1" applyBorder="1"/>
    <xf numFmtId="37" fontId="6" fillId="0" borderId="37" xfId="174" applyNumberFormat="1" applyBorder="1"/>
    <xf numFmtId="0" fontId="6" fillId="0" borderId="26" xfId="174" applyBorder="1" applyAlignment="1">
      <alignment horizontal="left" indent="1"/>
    </xf>
    <xf numFmtId="37" fontId="6" fillId="18" borderId="52" xfId="174" applyNumberFormat="1" applyFill="1" applyBorder="1"/>
    <xf numFmtId="0" fontId="0" fillId="0" borderId="26" xfId="174" applyFont="1" applyBorder="1" applyAlignment="1">
      <alignment horizontal="left" indent="2"/>
    </xf>
    <xf numFmtId="37" fontId="6" fillId="18" borderId="37" xfId="174" applyNumberFormat="1" applyFill="1" applyBorder="1"/>
    <xf numFmtId="37" fontId="6" fillId="0" borderId="52" xfId="174" applyNumberFormat="1" applyBorder="1"/>
    <xf numFmtId="37" fontId="6" fillId="0" borderId="33" xfId="62" applyNumberFormat="1" applyFont="1" applyFill="1" applyBorder="1"/>
    <xf numFmtId="37" fontId="6" fillId="0" borderId="168" xfId="62" applyNumberFormat="1" applyFont="1" applyFill="1" applyBorder="1"/>
    <xf numFmtId="0" fontId="6" fillId="0" borderId="38" xfId="174" applyBorder="1" applyAlignment="1">
      <alignment horizontal="center"/>
    </xf>
    <xf numFmtId="49" fontId="6" fillId="0" borderId="0" xfId="175" applyFont="1"/>
    <xf numFmtId="0" fontId="6" fillId="0" borderId="6" xfId="62" applyFont="1" applyFill="1" applyAlignment="1">
      <alignment horizontal="left"/>
    </xf>
    <xf numFmtId="0" fontId="7" fillId="0" borderId="6" xfId="62" applyFont="1" applyFill="1" applyAlignment="1">
      <alignment horizontal="left"/>
    </xf>
    <xf numFmtId="0" fontId="80" fillId="0" borderId="6" xfId="62" applyFill="1"/>
    <xf numFmtId="0" fontId="6" fillId="0" borderId="40" xfId="174" applyBorder="1" applyAlignment="1">
      <alignment horizontal="center"/>
    </xf>
    <xf numFmtId="37" fontId="6" fillId="0" borderId="13" xfId="45" applyNumberFormat="1" applyFont="1" applyFill="1" applyBorder="1" applyProtection="1">
      <protection locked="0"/>
    </xf>
    <xf numFmtId="0" fontId="121" fillId="29" borderId="0" xfId="0" applyFont="1" applyFill="1" applyAlignment="1">
      <alignment horizontal="center"/>
    </xf>
    <xf numFmtId="37" fontId="6" fillId="29" borderId="23" xfId="0" applyNumberFormat="1" applyFont="1" applyFill="1" applyBorder="1" applyProtection="1">
      <protection locked="0"/>
    </xf>
    <xf numFmtId="3" fontId="54" fillId="28" borderId="0" xfId="0" applyNumberFormat="1" applyFont="1" applyFill="1" applyAlignment="1">
      <alignment horizontal="center"/>
    </xf>
    <xf numFmtId="178" fontId="0" fillId="0" borderId="0" xfId="36" applyNumberFormat="1" applyFont="1" applyAlignment="1">
      <alignment horizontal="center"/>
    </xf>
    <xf numFmtId="180" fontId="42" fillId="0" borderId="81" xfId="0" applyNumberFormat="1" applyFont="1" applyBorder="1" applyAlignment="1">
      <alignment horizontal="right" vertical="center"/>
    </xf>
    <xf numFmtId="0" fontId="0" fillId="0" borderId="91" xfId="0" applyBorder="1" applyAlignment="1">
      <alignment horizontal="center"/>
    </xf>
    <xf numFmtId="0" fontId="54" fillId="0" borderId="26" xfId="0" applyFont="1" applyBorder="1" applyAlignment="1">
      <alignment horizontal="center" vertical="center"/>
    </xf>
    <xf numFmtId="0" fontId="54" fillId="0" borderId="28" xfId="0" applyFont="1" applyBorder="1" applyAlignment="1">
      <alignment horizontal="center"/>
    </xf>
    <xf numFmtId="0" fontId="54" fillId="0" borderId="26" xfId="0" quotePrefix="1" applyFont="1" applyBorder="1" applyAlignment="1">
      <alignment horizontal="center"/>
    </xf>
    <xf numFmtId="188" fontId="54" fillId="0" borderId="23" xfId="0" applyNumberFormat="1" applyFont="1" applyBorder="1" applyAlignment="1">
      <alignment horizontal="center"/>
    </xf>
    <xf numFmtId="188" fontId="54" fillId="0" borderId="23" xfId="0" quotePrefix="1" applyNumberFormat="1" applyFont="1" applyBorder="1" applyAlignment="1">
      <alignment horizontal="center"/>
    </xf>
    <xf numFmtId="0" fontId="3" fillId="0" borderId="32" xfId="0" applyFont="1" applyBorder="1"/>
    <xf numFmtId="49" fontId="6" fillId="0" borderId="32" xfId="0" applyNumberFormat="1" applyFont="1" applyBorder="1"/>
    <xf numFmtId="6" fontId="6" fillId="0" borderId="13" xfId="0" applyNumberFormat="1" applyFont="1" applyBorder="1"/>
    <xf numFmtId="49" fontId="6" fillId="0" borderId="24" xfId="0" applyNumberFormat="1" applyFont="1" applyBorder="1"/>
    <xf numFmtId="0" fontId="6" fillId="0" borderId="0" xfId="57" applyFont="1" applyFill="1" applyBorder="1" applyAlignment="1">
      <alignment horizontal="left"/>
    </xf>
    <xf numFmtId="0" fontId="6" fillId="0" borderId="12" xfId="57" applyFont="1" applyFill="1" applyBorder="1"/>
    <xf numFmtId="0" fontId="6" fillId="0" borderId="12" xfId="57" applyFont="1" applyFill="1" applyBorder="1" applyAlignment="1">
      <alignment horizontal="center"/>
    </xf>
    <xf numFmtId="0" fontId="6" fillId="0" borderId="25" xfId="57" applyFont="1" applyFill="1" applyBorder="1"/>
    <xf numFmtId="0" fontId="6" fillId="0" borderId="18" xfId="57" applyFont="1" applyFill="1" applyBorder="1"/>
    <xf numFmtId="40" fontId="6" fillId="0" borderId="169" xfId="63" applyFont="1" applyBorder="1" applyAlignment="1">
      <alignment horizontal="center"/>
    </xf>
    <xf numFmtId="0" fontId="6" fillId="0" borderId="13" xfId="57" applyFont="1" applyFill="1" applyBorder="1" applyAlignment="1">
      <alignment horizontal="centerContinuous"/>
    </xf>
    <xf numFmtId="0" fontId="6" fillId="0" borderId="29" xfId="57" applyFont="1" applyFill="1" applyBorder="1"/>
    <xf numFmtId="0" fontId="6" fillId="0" borderId="22" xfId="57" applyFont="1" applyFill="1" applyBorder="1" applyAlignment="1">
      <alignment horizontal="centerContinuous"/>
    </xf>
    <xf numFmtId="0" fontId="0" fillId="0" borderId="170" xfId="0" applyBorder="1" applyAlignment="1">
      <alignment horizontal="center" vertical="center"/>
    </xf>
    <xf numFmtId="0" fontId="145" fillId="0" borderId="0" xfId="0" applyFont="1" applyAlignment="1">
      <alignment horizontal="left"/>
    </xf>
    <xf numFmtId="9" fontId="121" fillId="29" borderId="0" xfId="0" applyNumberFormat="1" applyFont="1" applyFill="1" applyAlignment="1">
      <alignment horizontal="left"/>
    </xf>
    <xf numFmtId="9" fontId="121" fillId="29" borderId="0" xfId="0" applyNumberFormat="1" applyFont="1" applyFill="1" applyAlignment="1">
      <alignment horizontal="center"/>
    </xf>
    <xf numFmtId="0" fontId="121" fillId="31" borderId="12" xfId="0" applyFont="1" applyFill="1" applyBorder="1"/>
    <xf numFmtId="0" fontId="121" fillId="31" borderId="0" xfId="0" applyFont="1" applyFill="1" applyAlignment="1">
      <alignment horizontal="centerContinuous"/>
    </xf>
    <xf numFmtId="0" fontId="121" fillId="31" borderId="13" xfId="0" applyFont="1" applyFill="1" applyBorder="1" applyAlignment="1">
      <alignment horizontal="centerContinuous"/>
    </xf>
    <xf numFmtId="0" fontId="144" fillId="31" borderId="172" xfId="0" applyFont="1" applyFill="1" applyBorder="1" applyAlignment="1">
      <alignment horizontal="center"/>
    </xf>
    <xf numFmtId="0" fontId="121" fillId="31" borderId="0" xfId="0" applyFont="1" applyFill="1" applyAlignment="1">
      <alignment horizontal="left"/>
    </xf>
    <xf numFmtId="0" fontId="121" fillId="31" borderId="0" xfId="0" applyFont="1" applyFill="1" applyAlignment="1">
      <alignment horizontal="center"/>
    </xf>
    <xf numFmtId="0" fontId="121" fillId="31" borderId="13" xfId="0" applyFont="1" applyFill="1" applyBorder="1" applyAlignment="1">
      <alignment horizontal="center"/>
    </xf>
    <xf numFmtId="0" fontId="121" fillId="35" borderId="171" xfId="0" quotePrefix="1" applyFont="1" applyFill="1" applyBorder="1"/>
    <xf numFmtId="0" fontId="121" fillId="35" borderId="0" xfId="0" applyFont="1" applyFill="1" applyAlignment="1">
      <alignment horizontal="left"/>
    </xf>
    <xf numFmtId="0" fontId="121" fillId="35" borderId="0" xfId="0" applyFont="1" applyFill="1" applyAlignment="1">
      <alignment horizontal="center"/>
    </xf>
    <xf numFmtId="0" fontId="121" fillId="35" borderId="171" xfId="0" applyFont="1" applyFill="1" applyBorder="1"/>
    <xf numFmtId="0" fontId="121" fillId="35" borderId="0" xfId="0" applyFont="1" applyFill="1"/>
    <xf numFmtId="0" fontId="121" fillId="35" borderId="0" xfId="0" applyFont="1" applyFill="1" applyAlignment="1">
      <alignment horizontal="left" wrapText="1"/>
    </xf>
    <xf numFmtId="0" fontId="0" fillId="9" borderId="123" xfId="0" applyFill="1" applyBorder="1" applyAlignment="1">
      <alignment horizontal="center" vertical="center"/>
    </xf>
    <xf numFmtId="0" fontId="6" fillId="0" borderId="131" xfId="0" applyFont="1" applyBorder="1"/>
    <xf numFmtId="37" fontId="54" fillId="0" borderId="0" xfId="0" applyNumberFormat="1" applyFont="1" applyAlignment="1">
      <alignment horizontal="center"/>
    </xf>
    <xf numFmtId="16" fontId="54" fillId="0" borderId="0" xfId="0" quotePrefix="1" applyNumberFormat="1" applyFont="1" applyAlignment="1">
      <alignment horizontal="center"/>
    </xf>
    <xf numFmtId="0" fontId="54" fillId="0" borderId="35" xfId="0" applyFont="1" applyBorder="1" applyAlignment="1">
      <alignment horizontal="center"/>
    </xf>
    <xf numFmtId="37" fontId="54" fillId="0" borderId="24" xfId="0" applyNumberFormat="1" applyFont="1" applyBorder="1" applyAlignment="1">
      <alignment horizontal="center" vertical="center"/>
    </xf>
    <xf numFmtId="37" fontId="54" fillId="0" borderId="0" xfId="0" applyNumberFormat="1" applyFont="1" applyAlignment="1">
      <alignment horizontal="center" vertical="center"/>
    </xf>
    <xf numFmtId="37" fontId="54" fillId="0" borderId="33" xfId="0" applyNumberFormat="1" applyFont="1" applyBorder="1" applyAlignment="1">
      <alignment horizontal="center" vertical="center"/>
    </xf>
    <xf numFmtId="188" fontId="54" fillId="0" borderId="24" xfId="0" quotePrefix="1" applyNumberFormat="1" applyFont="1" applyBorder="1" applyAlignment="1">
      <alignment horizontal="center"/>
    </xf>
    <xf numFmtId="188" fontId="54" fillId="0" borderId="0" xfId="0" quotePrefix="1" applyNumberFormat="1" applyFont="1" applyAlignment="1">
      <alignment horizontal="center"/>
    </xf>
    <xf numFmtId="188" fontId="54" fillId="0" borderId="33" xfId="0" applyNumberFormat="1" applyFont="1" applyBorder="1" applyAlignment="1">
      <alignment horizontal="center"/>
    </xf>
    <xf numFmtId="7" fontId="54" fillId="0" borderId="31" xfId="0" applyNumberFormat="1" applyFont="1" applyBorder="1" applyAlignment="1">
      <alignment horizontal="center"/>
    </xf>
    <xf numFmtId="0" fontId="3" fillId="31" borderId="80" xfId="0" applyFont="1" applyFill="1" applyBorder="1" applyAlignment="1">
      <alignment horizontal="left"/>
    </xf>
    <xf numFmtId="0" fontId="42" fillId="32" borderId="82" xfId="0" applyFont="1" applyFill="1" applyBorder="1" applyAlignment="1">
      <alignment wrapText="1"/>
    </xf>
    <xf numFmtId="0" fontId="42" fillId="32" borderId="82" xfId="0" applyFont="1" applyFill="1" applyBorder="1" applyAlignment="1">
      <alignment horizontal="left"/>
    </xf>
    <xf numFmtId="0" fontId="42" fillId="32" borderId="82" xfId="0" applyFont="1" applyFill="1" applyBorder="1" applyAlignment="1">
      <alignment horizontal="left" vertical="center"/>
    </xf>
    <xf numFmtId="0" fontId="0" fillId="33" borderId="0" xfId="0" applyFill="1"/>
    <xf numFmtId="4" fontId="0" fillId="33" borderId="0" xfId="0" applyNumberFormat="1" applyFill="1" applyAlignment="1">
      <alignment horizontal="center"/>
    </xf>
    <xf numFmtId="4" fontId="0" fillId="33" borderId="0" xfId="0" applyNumberFormat="1" applyFill="1"/>
    <xf numFmtId="178" fontId="0" fillId="33" borderId="0" xfId="36" applyNumberFormat="1" applyFont="1" applyFill="1" applyAlignment="1">
      <alignment horizontal="center"/>
    </xf>
    <xf numFmtId="178" fontId="0" fillId="33" borderId="173" xfId="36" applyNumberFormat="1" applyFont="1" applyFill="1" applyBorder="1" applyAlignment="1">
      <alignment horizontal="center"/>
    </xf>
    <xf numFmtId="39" fontId="47" fillId="0" borderId="12" xfId="0" applyNumberFormat="1" applyFont="1" applyBorder="1"/>
    <xf numFmtId="0" fontId="75" fillId="0" borderId="0" xfId="170"/>
    <xf numFmtId="0" fontId="146" fillId="36" borderId="174" xfId="0" applyFont="1" applyFill="1" applyBorder="1" applyAlignment="1">
      <alignment vertical="center"/>
    </xf>
    <xf numFmtId="0" fontId="146" fillId="36" borderId="174" xfId="0" applyFont="1" applyFill="1" applyBorder="1" applyAlignment="1">
      <alignment horizontal="center" vertical="center"/>
    </xf>
    <xf numFmtId="164" fontId="146" fillId="36" borderId="174" xfId="0" applyNumberFormat="1" applyFont="1" applyFill="1" applyBorder="1" applyAlignment="1">
      <alignment horizontal="center" vertical="center"/>
    </xf>
    <xf numFmtId="0" fontId="127" fillId="0" borderId="174" xfId="0" applyFont="1" applyBorder="1" applyAlignment="1">
      <alignment horizontal="center" vertical="center"/>
    </xf>
    <xf numFmtId="37" fontId="146" fillId="36" borderId="174" xfId="0" applyNumberFormat="1" applyFont="1" applyFill="1" applyBorder="1" applyAlignment="1">
      <alignment horizontal="center" vertical="center"/>
    </xf>
    <xf numFmtId="0" fontId="146" fillId="37" borderId="174" xfId="0" applyFont="1" applyFill="1" applyBorder="1" applyAlignment="1">
      <alignment horizontal="center" vertical="center"/>
    </xf>
    <xf numFmtId="0" fontId="42" fillId="0" borderId="163" xfId="0" applyFont="1" applyBorder="1" applyAlignment="1">
      <alignment horizontal="center" vertical="center"/>
    </xf>
    <xf numFmtId="193" fontId="3" fillId="0" borderId="157" xfId="45" applyNumberFormat="1" applyFont="1" applyFill="1" applyBorder="1"/>
    <xf numFmtId="0" fontId="6" fillId="0" borderId="26" xfId="0" applyFont="1" applyBorder="1" applyAlignment="1">
      <alignment horizontal="right"/>
    </xf>
    <xf numFmtId="0" fontId="47" fillId="9" borderId="54" xfId="80" applyFont="1" applyFill="1" applyBorder="1"/>
    <xf numFmtId="0" fontId="47" fillId="9" borderId="58" xfId="80" applyFont="1" applyFill="1" applyBorder="1"/>
    <xf numFmtId="0" fontId="6" fillId="0" borderId="55" xfId="80" applyBorder="1"/>
    <xf numFmtId="5" fontId="6" fillId="0" borderId="57" xfId="80" applyNumberFormat="1" applyBorder="1"/>
    <xf numFmtId="178" fontId="6" fillId="0" borderId="57" xfId="36" applyNumberFormat="1" applyFont="1" applyBorder="1"/>
    <xf numFmtId="10" fontId="6" fillId="0" borderId="45" xfId="0" applyNumberFormat="1" applyFont="1" applyBorder="1"/>
    <xf numFmtId="37" fontId="6" fillId="0" borderId="173" xfId="0" applyNumberFormat="1" applyFont="1" applyBorder="1"/>
    <xf numFmtId="10" fontId="6" fillId="0" borderId="45" xfId="189" applyNumberFormat="1" applyBorder="1"/>
    <xf numFmtId="37" fontId="6" fillId="0" borderId="0" xfId="0" quotePrefix="1" applyNumberFormat="1" applyFont="1" applyAlignment="1">
      <alignment horizontal="center"/>
    </xf>
    <xf numFmtId="178" fontId="146" fillId="31" borderId="175" xfId="0" applyNumberFormat="1" applyFont="1" applyFill="1" applyBorder="1" applyAlignment="1">
      <alignment horizontal="center" vertical="center"/>
    </xf>
    <xf numFmtId="0" fontId="0" fillId="31" borderId="73" xfId="0" applyFill="1" applyBorder="1"/>
    <xf numFmtId="0" fontId="0" fillId="31" borderId="73" xfId="0" applyFill="1" applyBorder="1" applyAlignment="1">
      <alignment horizontal="center" vertical="center"/>
    </xf>
    <xf numFmtId="0" fontId="0" fillId="31" borderId="24" xfId="0" applyFill="1" applyBorder="1"/>
    <xf numFmtId="0" fontId="54" fillId="9" borderId="36" xfId="0" applyFont="1" applyFill="1" applyBorder="1" applyAlignment="1">
      <alignment horizontal="center" vertical="center"/>
    </xf>
    <xf numFmtId="0" fontId="54" fillId="9" borderId="26" xfId="0" applyFont="1" applyFill="1" applyBorder="1" applyAlignment="1">
      <alignment horizontal="center"/>
    </xf>
    <xf numFmtId="0" fontId="54" fillId="9" borderId="24" xfId="0" applyFont="1" applyFill="1" applyBorder="1" applyAlignment="1">
      <alignment horizontal="center"/>
    </xf>
    <xf numFmtId="0" fontId="54" fillId="9" borderId="28" xfId="0" applyFont="1" applyFill="1" applyBorder="1" applyAlignment="1">
      <alignment horizontal="center"/>
    </xf>
    <xf numFmtId="0" fontId="47" fillId="32" borderId="0" xfId="0" applyFont="1" applyFill="1"/>
    <xf numFmtId="7" fontId="54" fillId="31" borderId="0" xfId="0" applyNumberFormat="1" applyFont="1" applyFill="1" applyAlignment="1">
      <alignment horizontal="center"/>
    </xf>
    <xf numFmtId="7" fontId="54" fillId="31" borderId="23" xfId="0" applyNumberFormat="1" applyFont="1" applyFill="1" applyBorder="1" applyAlignment="1">
      <alignment horizontal="center"/>
    </xf>
    <xf numFmtId="0" fontId="47" fillId="31" borderId="0" xfId="52" applyFont="1" applyFill="1" applyAlignment="1">
      <alignment horizontal="right"/>
    </xf>
    <xf numFmtId="0" fontId="47" fillId="31" borderId="0" xfId="52" applyFont="1" applyFill="1"/>
    <xf numFmtId="0" fontId="47" fillId="31" borderId="36" xfId="52" applyFont="1" applyFill="1" applyBorder="1"/>
    <xf numFmtId="0" fontId="47" fillId="32" borderId="26" xfId="0" applyFont="1" applyFill="1" applyBorder="1"/>
    <xf numFmtId="7" fontId="54" fillId="31" borderId="26" xfId="0" applyNumberFormat="1" applyFont="1" applyFill="1" applyBorder="1" applyAlignment="1">
      <alignment horizontal="center"/>
    </xf>
    <xf numFmtId="7" fontId="54" fillId="31" borderId="27" xfId="0" applyNumberFormat="1" applyFont="1" applyFill="1" applyBorder="1" applyAlignment="1">
      <alignment horizontal="center"/>
    </xf>
    <xf numFmtId="38" fontId="54" fillId="0" borderId="0" xfId="0" applyNumberFormat="1" applyFont="1" applyAlignment="1">
      <alignment horizontal="center" vertical="center"/>
    </xf>
    <xf numFmtId="194" fontId="54" fillId="0" borderId="0" xfId="0" applyNumberFormat="1" applyFont="1" applyAlignment="1">
      <alignment horizontal="center" vertical="center"/>
    </xf>
    <xf numFmtId="188" fontId="54" fillId="0" borderId="33" xfId="0" quotePrefix="1" applyNumberFormat="1" applyFont="1" applyBorder="1" applyAlignment="1">
      <alignment horizontal="center"/>
    </xf>
    <xf numFmtId="182" fontId="0" fillId="0" borderId="0" xfId="0" applyNumberFormat="1"/>
    <xf numFmtId="166" fontId="0" fillId="0" borderId="0" xfId="0" applyNumberFormat="1"/>
    <xf numFmtId="40" fontId="59" fillId="0" borderId="12" xfId="63" applyFont="1" applyBorder="1" applyAlignment="1">
      <alignment horizontal="centerContinuous"/>
    </xf>
    <xf numFmtId="0" fontId="59" fillId="0" borderId="9" xfId="0" applyFont="1" applyBorder="1" applyAlignment="1">
      <alignment horizontal="centerContinuous"/>
    </xf>
    <xf numFmtId="0" fontId="59" fillId="0" borderId="10" xfId="0" applyFont="1" applyBorder="1" applyAlignment="1">
      <alignment horizontal="centerContinuous"/>
    </xf>
    <xf numFmtId="0" fontId="59" fillId="0" borderId="11" xfId="0" applyFont="1" applyBorder="1" applyAlignment="1">
      <alignment horizontal="centerContinuous"/>
    </xf>
    <xf numFmtId="0" fontId="7" fillId="0" borderId="11" xfId="57" applyFont="1" applyFill="1" applyBorder="1" applyAlignment="1">
      <alignment horizontal="centerContinuous"/>
    </xf>
    <xf numFmtId="0" fontId="7" fillId="0" borderId="0" xfId="57" applyFont="1" applyFill="1" applyBorder="1" applyAlignment="1">
      <alignment horizontal="centerContinuous"/>
    </xf>
    <xf numFmtId="0" fontId="7" fillId="0" borderId="13" xfId="57" applyFont="1" applyFill="1" applyBorder="1" applyAlignment="1">
      <alignment horizontal="centerContinuous"/>
    </xf>
    <xf numFmtId="0" fontId="0" fillId="0" borderId="19" xfId="0" applyBorder="1" applyAlignment="1">
      <alignment horizontal="left"/>
    </xf>
    <xf numFmtId="192" fontId="0" fillId="0" borderId="13" xfId="168" applyFont="1" applyBorder="1"/>
    <xf numFmtId="0" fontId="6" fillId="0" borderId="12" xfId="57" applyFont="1" applyFill="1" applyBorder="1" applyProtection="1">
      <protection locked="0"/>
    </xf>
    <xf numFmtId="0" fontId="6" fillId="13" borderId="158" xfId="0" applyFont="1" applyFill="1" applyBorder="1" applyAlignment="1">
      <alignment horizontal="centerContinuous"/>
    </xf>
    <xf numFmtId="0" fontId="7" fillId="13" borderId="158" xfId="0" applyFont="1" applyFill="1" applyBorder="1" applyAlignment="1">
      <alignment horizontal="centerContinuous"/>
    </xf>
    <xf numFmtId="0" fontId="0" fillId="13" borderId="158" xfId="0" applyFill="1" applyBorder="1" applyAlignment="1">
      <alignment horizontal="centerContinuous"/>
    </xf>
    <xf numFmtId="181" fontId="6" fillId="0" borderId="38" xfId="0" applyNumberFormat="1" applyFont="1" applyBorder="1"/>
    <xf numFmtId="37" fontId="67" fillId="0" borderId="33" xfId="0" applyNumberFormat="1" applyFont="1" applyBorder="1" applyAlignment="1" applyProtection="1">
      <alignment horizontal="right"/>
      <protection locked="0"/>
    </xf>
    <xf numFmtId="5" fontId="3" fillId="0" borderId="33" xfId="0" applyNumberFormat="1" applyFont="1" applyBorder="1" applyAlignment="1" applyProtection="1">
      <alignment horizontal="right"/>
      <protection locked="0"/>
    </xf>
    <xf numFmtId="37" fontId="3" fillId="0" borderId="33" xfId="0" applyNumberFormat="1" applyFont="1" applyBorder="1" applyAlignment="1" applyProtection="1">
      <alignment horizontal="right"/>
      <protection locked="0"/>
    </xf>
    <xf numFmtId="0" fontId="42" fillId="0" borderId="0" xfId="0" quotePrefix="1" applyFont="1" applyAlignment="1">
      <alignment horizontal="left" vertical="center"/>
    </xf>
    <xf numFmtId="7" fontId="17" fillId="0" borderId="0" xfId="0" applyNumberFormat="1" applyFont="1"/>
    <xf numFmtId="7" fontId="17" fillId="0" borderId="0" xfId="0" applyNumberFormat="1" applyFont="1" applyAlignment="1">
      <alignment horizontal="right"/>
    </xf>
    <xf numFmtId="7" fontId="17" fillId="0" borderId="0" xfId="0" applyNumberFormat="1" applyFont="1" applyAlignment="1">
      <alignment horizontal="center"/>
    </xf>
    <xf numFmtId="0" fontId="17" fillId="0" borderId="0" xfId="0" quotePrefix="1" applyFont="1" applyAlignment="1">
      <alignment horizontal="left"/>
    </xf>
    <xf numFmtId="43" fontId="47" fillId="0" borderId="0" xfId="36" applyFont="1" applyAlignment="1">
      <alignment horizontal="centerContinuous"/>
    </xf>
    <xf numFmtId="0" fontId="100" fillId="0" borderId="76" xfId="0" applyFont="1" applyBorder="1"/>
    <xf numFmtId="0" fontId="17" fillId="0" borderId="77" xfId="0" applyFont="1" applyBorder="1"/>
    <xf numFmtId="0" fontId="17" fillId="0" borderId="78" xfId="0" applyFont="1" applyBorder="1"/>
    <xf numFmtId="0" fontId="17" fillId="0" borderId="78" xfId="0" applyFont="1" applyBorder="1" applyAlignment="1">
      <alignment horizontal="right"/>
    </xf>
    <xf numFmtId="0" fontId="17" fillId="0" borderId="78" xfId="0" quotePrefix="1" applyFont="1" applyBorder="1" applyAlignment="1">
      <alignment horizontal="left"/>
    </xf>
    <xf numFmtId="0" fontId="6" fillId="0" borderId="78" xfId="0" applyFont="1" applyBorder="1"/>
    <xf numFmtId="0" fontId="131" fillId="0" borderId="79" xfId="0" applyFont="1" applyBorder="1"/>
    <xf numFmtId="0" fontId="17" fillId="0" borderId="82" xfId="0" applyFont="1" applyBorder="1"/>
    <xf numFmtId="0" fontId="17" fillId="0" borderId="76" xfId="0" applyFont="1" applyBorder="1"/>
    <xf numFmtId="0" fontId="17" fillId="0" borderId="76" xfId="0" applyFont="1" applyBorder="1" applyAlignment="1">
      <alignment horizontal="right"/>
    </xf>
    <xf numFmtId="0" fontId="17" fillId="0" borderId="76" xfId="0" quotePrefix="1" applyFont="1" applyBorder="1" applyAlignment="1">
      <alignment horizontal="left"/>
    </xf>
    <xf numFmtId="0" fontId="6" fillId="0" borderId="76" xfId="0" applyFont="1" applyBorder="1"/>
    <xf numFmtId="0" fontId="131" fillId="0" borderId="83" xfId="0" applyFont="1" applyBorder="1"/>
    <xf numFmtId="7" fontId="54" fillId="0" borderId="27" xfId="0" applyNumberFormat="1" applyFont="1" applyBorder="1" applyAlignment="1">
      <alignment horizontal="center"/>
    </xf>
    <xf numFmtId="14" fontId="54" fillId="0" borderId="177" xfId="0" applyNumberFormat="1" applyFont="1" applyBorder="1" applyAlignment="1">
      <alignment horizontal="right"/>
    </xf>
    <xf numFmtId="7" fontId="87" fillId="29" borderId="82" xfId="0" applyNumberFormat="1" applyFont="1" applyFill="1" applyBorder="1"/>
    <xf numFmtId="0" fontId="87" fillId="29" borderId="76" xfId="0" applyFont="1" applyFill="1" applyBorder="1"/>
    <xf numFmtId="0" fontId="87" fillId="29" borderId="76" xfId="0" applyFont="1" applyFill="1" applyBorder="1" applyAlignment="1">
      <alignment horizontal="right"/>
    </xf>
    <xf numFmtId="0" fontId="100" fillId="29" borderId="76" xfId="0" applyFont="1" applyFill="1" applyBorder="1"/>
    <xf numFmtId="0" fontId="87" fillId="29" borderId="83" xfId="0" applyFont="1" applyFill="1" applyBorder="1"/>
    <xf numFmtId="14" fontId="54" fillId="0" borderId="23" xfId="0" applyNumberFormat="1" applyFont="1" applyBorder="1" applyAlignment="1">
      <alignment horizontal="center"/>
    </xf>
    <xf numFmtId="14" fontId="145" fillId="0" borderId="176" xfId="0" applyNumberFormat="1" applyFont="1" applyBorder="1" applyAlignment="1">
      <alignment horizontal="center"/>
    </xf>
    <xf numFmtId="0" fontId="0" fillId="0" borderId="19" xfId="0" applyBorder="1" applyAlignment="1">
      <alignment horizontal="center" vertical="center"/>
    </xf>
    <xf numFmtId="0" fontId="0" fillId="0" borderId="34" xfId="0" applyBorder="1" applyAlignment="1">
      <alignment horizontal="center" vertical="center"/>
    </xf>
    <xf numFmtId="0" fontId="0" fillId="0" borderId="21" xfId="0" applyBorder="1" applyAlignment="1">
      <alignment horizontal="center" vertical="center"/>
    </xf>
    <xf numFmtId="3" fontId="0" fillId="0" borderId="21" xfId="0" applyNumberFormat="1" applyBorder="1" applyAlignment="1">
      <alignment horizontal="center" vertical="center"/>
    </xf>
    <xf numFmtId="3" fontId="0" fillId="0" borderId="22" xfId="0" applyNumberFormat="1" applyBorder="1" applyAlignment="1">
      <alignment horizontal="center" vertical="center"/>
    </xf>
    <xf numFmtId="5" fontId="47" fillId="18" borderId="36" xfId="0" applyNumberFormat="1" applyFont="1" applyFill="1" applyBorder="1" applyAlignment="1">
      <alignment horizontal="centerContinuous"/>
    </xf>
    <xf numFmtId="5" fontId="47" fillId="18" borderId="29" xfId="0" applyNumberFormat="1" applyFont="1" applyFill="1" applyBorder="1" applyAlignment="1">
      <alignment horizontal="centerContinuous"/>
    </xf>
    <xf numFmtId="7" fontId="6" fillId="0" borderId="0" xfId="0" applyNumberFormat="1" applyFont="1"/>
    <xf numFmtId="0" fontId="6" fillId="0" borderId="0" xfId="232"/>
    <xf numFmtId="0" fontId="6" fillId="0" borderId="178" xfId="232" applyBorder="1"/>
    <xf numFmtId="12" fontId="6" fillId="0" borderId="179" xfId="232" applyNumberFormat="1" applyBorder="1" applyAlignment="1">
      <alignment horizontal="center"/>
    </xf>
    <xf numFmtId="12" fontId="6" fillId="0" borderId="179" xfId="232" applyNumberFormat="1" applyBorder="1" applyAlignment="1">
      <alignment horizontal="right"/>
    </xf>
    <xf numFmtId="12" fontId="6" fillId="0" borderId="179" xfId="232" applyNumberFormat="1" applyBorder="1"/>
    <xf numFmtId="12" fontId="6" fillId="9" borderId="179" xfId="232" applyNumberFormat="1" applyFill="1" applyBorder="1" applyAlignment="1">
      <alignment horizontal="center"/>
    </xf>
    <xf numFmtId="0" fontId="54" fillId="9" borderId="180" xfId="0" applyFont="1" applyFill="1" applyBorder="1"/>
    <xf numFmtId="173" fontId="54" fillId="9" borderId="180" xfId="0" applyNumberFormat="1" applyFont="1" applyFill="1" applyBorder="1" applyAlignment="1">
      <alignment horizontal="center"/>
    </xf>
    <xf numFmtId="0" fontId="54" fillId="9" borderId="180" xfId="0" applyFont="1" applyFill="1" applyBorder="1" applyAlignment="1">
      <alignment horizontal="center"/>
    </xf>
    <xf numFmtId="0" fontId="54" fillId="9" borderId="181" xfId="0" applyFont="1" applyFill="1" applyBorder="1" applyAlignment="1">
      <alignment horizontal="center"/>
    </xf>
    <xf numFmtId="0" fontId="54" fillId="9" borderId="179" xfId="0" applyFont="1" applyFill="1" applyBorder="1"/>
    <xf numFmtId="0" fontId="0" fillId="0" borderId="182" xfId="0" applyBorder="1" applyAlignment="1">
      <alignment horizontal="center"/>
    </xf>
    <xf numFmtId="0" fontId="0" fillId="0" borderId="179" xfId="0" applyBorder="1"/>
    <xf numFmtId="0" fontId="6" fillId="0" borderId="179" xfId="0" applyFont="1" applyBorder="1"/>
    <xf numFmtId="0" fontId="47" fillId="9" borderId="180" xfId="0" applyFont="1" applyFill="1" applyBorder="1"/>
    <xf numFmtId="0" fontId="47" fillId="9" borderId="183" xfId="0" applyFont="1" applyFill="1" applyBorder="1" applyAlignment="1">
      <alignment horizontal="centerContinuous"/>
    </xf>
    <xf numFmtId="0" fontId="47" fillId="9" borderId="184" xfId="0" applyFont="1" applyFill="1" applyBorder="1" applyAlignment="1">
      <alignment horizontal="centerContinuous"/>
    </xf>
    <xf numFmtId="0" fontId="47" fillId="9" borderId="183" xfId="0" applyFont="1" applyFill="1" applyBorder="1"/>
    <xf numFmtId="0" fontId="47" fillId="9" borderId="184" xfId="0" applyFont="1" applyFill="1" applyBorder="1"/>
    <xf numFmtId="0" fontId="47" fillId="9" borderId="185" xfId="0" applyFont="1" applyFill="1" applyBorder="1" applyAlignment="1">
      <alignment horizontal="centerContinuous"/>
    </xf>
    <xf numFmtId="0" fontId="54" fillId="9" borderId="186" xfId="0" applyFont="1" applyFill="1" applyBorder="1" applyAlignment="1">
      <alignment horizontal="center"/>
    </xf>
    <xf numFmtId="0" fontId="54" fillId="9" borderId="187" xfId="0" applyFont="1" applyFill="1" applyBorder="1"/>
    <xf numFmtId="169" fontId="54" fillId="9" borderId="180" xfId="0" applyNumberFormat="1" applyFont="1" applyFill="1" applyBorder="1" applyAlignment="1">
      <alignment horizontal="center"/>
    </xf>
    <xf numFmtId="172" fontId="54" fillId="9" borderId="180" xfId="0" applyNumberFormat="1" applyFont="1" applyFill="1" applyBorder="1"/>
    <xf numFmtId="176" fontId="54" fillId="0" borderId="180" xfId="0" applyNumberFormat="1" applyFont="1" applyBorder="1" applyAlignment="1">
      <alignment horizontal="center"/>
    </xf>
    <xf numFmtId="177" fontId="54" fillId="9" borderId="180" xfId="0" applyNumberFormat="1" applyFont="1" applyFill="1" applyBorder="1" applyAlignment="1">
      <alignment horizontal="center"/>
    </xf>
    <xf numFmtId="176" fontId="54" fillId="9" borderId="180" xfId="0" applyNumberFormat="1" applyFont="1" applyFill="1" applyBorder="1" applyAlignment="1">
      <alignment horizontal="center"/>
    </xf>
    <xf numFmtId="40" fontId="86" fillId="0" borderId="0" xfId="153" applyFont="1" applyProtection="1">
      <protection locked="0"/>
    </xf>
    <xf numFmtId="178" fontId="67" fillId="0" borderId="13" xfId="206" applyNumberFormat="1" applyFont="1" applyFill="1" applyBorder="1" applyProtection="1">
      <protection locked="0"/>
    </xf>
    <xf numFmtId="39" fontId="6" fillId="0" borderId="168" xfId="62" applyNumberFormat="1" applyFont="1" applyFill="1" applyBorder="1"/>
    <xf numFmtId="194" fontId="0" fillId="0" borderId="0" xfId="0" applyNumberFormat="1"/>
    <xf numFmtId="42" fontId="0" fillId="33" borderId="0" xfId="0" applyNumberFormat="1" applyFill="1"/>
    <xf numFmtId="0" fontId="6" fillId="33" borderId="0" xfId="0" applyFont="1" applyFill="1"/>
    <xf numFmtId="178" fontId="0" fillId="33" borderId="0" xfId="36" applyNumberFormat="1" applyFont="1" applyFill="1"/>
    <xf numFmtId="42" fontId="0" fillId="33" borderId="173" xfId="0" applyNumberFormat="1" applyFill="1" applyBorder="1"/>
    <xf numFmtId="37" fontId="6" fillId="0" borderId="24" xfId="0" applyNumberFormat="1" applyFont="1" applyBorder="1" applyAlignment="1" applyProtection="1">
      <alignment horizontal="right"/>
      <protection locked="0"/>
    </xf>
    <xf numFmtId="37" fontId="6" fillId="0" borderId="33" xfId="0" applyNumberFormat="1" applyFont="1" applyBorder="1" applyAlignment="1" applyProtection="1">
      <alignment horizontal="right"/>
      <protection locked="0"/>
    </xf>
    <xf numFmtId="5" fontId="29" fillId="0" borderId="23" xfId="0" applyNumberFormat="1" applyFont="1" applyBorder="1" applyProtection="1">
      <protection locked="0"/>
    </xf>
    <xf numFmtId="0" fontId="123" fillId="29" borderId="12" xfId="0" applyFont="1" applyFill="1" applyBorder="1" applyAlignment="1">
      <alignment horizontal="center"/>
    </xf>
    <xf numFmtId="0" fontId="123" fillId="29" borderId="0" xfId="0" applyFont="1" applyFill="1" applyAlignment="1">
      <alignment horizontal="center"/>
    </xf>
    <xf numFmtId="0" fontId="123" fillId="29" borderId="13" xfId="0" applyFont="1" applyFill="1" applyBorder="1" applyAlignment="1">
      <alignment horizontal="center"/>
    </xf>
    <xf numFmtId="0" fontId="47" fillId="0" borderId="0" xfId="0" applyFont="1" applyAlignment="1">
      <alignment horizontal="center"/>
    </xf>
    <xf numFmtId="0" fontId="7" fillId="0" borderId="80" xfId="0" applyFont="1" applyBorder="1" applyAlignment="1">
      <alignment horizontal="center"/>
    </xf>
    <xf numFmtId="0" fontId="7" fillId="0" borderId="0" xfId="0" applyFont="1" applyAlignment="1">
      <alignment horizontal="center"/>
    </xf>
    <xf numFmtId="0" fontId="7" fillId="0" borderId="81"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6" fillId="0" borderId="12" xfId="0" applyFont="1" applyBorder="1" applyAlignment="1">
      <alignment horizontal="center"/>
    </xf>
    <xf numFmtId="0" fontId="6" fillId="0" borderId="0" xfId="0" applyFont="1" applyAlignment="1">
      <alignment horizontal="center"/>
    </xf>
    <xf numFmtId="0" fontId="6" fillId="0" borderId="23" xfId="0" applyFont="1" applyBorder="1" applyAlignment="1">
      <alignment horizontal="center"/>
    </xf>
    <xf numFmtId="0" fontId="6" fillId="0" borderId="0" xfId="0" applyFont="1" applyAlignment="1">
      <alignment horizontal="left"/>
    </xf>
    <xf numFmtId="0" fontId="6" fillId="0" borderId="13" xfId="0" applyFont="1" applyBorder="1" applyAlignment="1">
      <alignment horizontal="left"/>
    </xf>
    <xf numFmtId="0" fontId="6" fillId="0" borderId="13" xfId="0" applyFont="1" applyBorder="1" applyAlignment="1">
      <alignment horizontal="center"/>
    </xf>
    <xf numFmtId="0" fontId="6" fillId="0" borderId="12" xfId="0" applyFont="1" applyBorder="1" applyAlignment="1">
      <alignment horizontal="left"/>
    </xf>
    <xf numFmtId="0" fontId="6" fillId="0" borderId="10" xfId="0" applyFont="1" applyBorder="1" applyAlignment="1">
      <alignment horizontal="right"/>
    </xf>
    <xf numFmtId="0" fontId="6" fillId="0" borderId="0" xfId="83" applyFont="1" applyAlignment="1">
      <alignment horizontal="left" vertical="top" wrapText="1"/>
    </xf>
    <xf numFmtId="0" fontId="6" fillId="0" borderId="178" xfId="83" applyFont="1" applyBorder="1" applyAlignment="1">
      <alignment horizontal="left" vertical="top" wrapText="1"/>
    </xf>
    <xf numFmtId="0" fontId="0" fillId="0" borderId="0" xfId="0" applyAlignment="1">
      <alignment horizontal="left"/>
    </xf>
    <xf numFmtId="0" fontId="0" fillId="0" borderId="13" xfId="0" applyBorder="1"/>
    <xf numFmtId="0" fontId="6" fillId="0" borderId="0" xfId="57" applyFont="1" applyFill="1" applyBorder="1" applyAlignment="1">
      <alignment horizontal="left"/>
    </xf>
    <xf numFmtId="0" fontId="6" fillId="0" borderId="13" xfId="57" applyFont="1" applyFill="1" applyBorder="1"/>
    <xf numFmtId="0" fontId="0" fillId="0" borderId="13" xfId="0" applyBorder="1" applyAlignment="1">
      <alignment horizontal="left"/>
    </xf>
    <xf numFmtId="0" fontId="0" fillId="0" borderId="0" xfId="0" applyAlignment="1">
      <alignment horizontal="center"/>
    </xf>
    <xf numFmtId="0" fontId="0" fillId="0" borderId="0" xfId="0"/>
    <xf numFmtId="0" fontId="0" fillId="0" borderId="19" xfId="0" applyBorder="1" applyAlignment="1">
      <alignment horizontal="left"/>
    </xf>
    <xf numFmtId="0" fontId="0" fillId="0" borderId="22" xfId="0" applyBorder="1" applyAlignment="1">
      <alignment horizontal="left"/>
    </xf>
    <xf numFmtId="0" fontId="121" fillId="0" borderId="6" xfId="57" applyFont="1" applyFill="1" applyAlignment="1">
      <alignment horizontal="left"/>
    </xf>
    <xf numFmtId="0" fontId="121" fillId="0" borderId="13" xfId="57" applyFont="1" applyFill="1" applyBorder="1" applyAlignment="1">
      <alignment horizontal="left"/>
    </xf>
    <xf numFmtId="0" fontId="121" fillId="0" borderId="6" xfId="57" applyFont="1" applyFill="1" applyAlignment="1">
      <alignment horizontal="center"/>
    </xf>
    <xf numFmtId="0" fontId="121" fillId="0" borderId="13" xfId="57" applyFont="1" applyFill="1" applyBorder="1"/>
    <xf numFmtId="0" fontId="121" fillId="0" borderId="6" xfId="57" applyFont="1" applyFill="1"/>
    <xf numFmtId="0" fontId="121" fillId="0" borderId="19" xfId="57" applyFont="1" applyFill="1" applyBorder="1" applyAlignment="1">
      <alignment horizontal="left"/>
    </xf>
    <xf numFmtId="0" fontId="121" fillId="0" borderId="22" xfId="57" applyFont="1" applyFill="1" applyBorder="1" applyAlignment="1">
      <alignment horizontal="left"/>
    </xf>
    <xf numFmtId="0" fontId="47" fillId="0" borderId="47" xfId="0" applyFont="1" applyBorder="1" applyAlignment="1">
      <alignment horizontal="center"/>
    </xf>
    <xf numFmtId="0" fontId="0" fillId="0" borderId="51" xfId="0" applyBorder="1"/>
    <xf numFmtId="0" fontId="0" fillId="0" borderId="19" xfId="0" applyBorder="1" applyAlignment="1">
      <alignment horizontal="center"/>
    </xf>
    <xf numFmtId="0" fontId="0" fillId="0" borderId="19" xfId="0" applyBorder="1"/>
    <xf numFmtId="0" fontId="0" fillId="0" borderId="20" xfId="0" applyBorder="1"/>
    <xf numFmtId="37" fontId="42" fillId="9" borderId="35" xfId="0" applyNumberFormat="1" applyFont="1" applyFill="1" applyBorder="1" applyAlignment="1">
      <alignment horizontal="center" vertical="center"/>
    </xf>
    <xf numFmtId="37" fontId="42" fillId="9" borderId="33" xfId="0" applyNumberFormat="1" applyFont="1" applyFill="1" applyBorder="1" applyAlignment="1">
      <alignment horizontal="center" vertical="center"/>
    </xf>
    <xf numFmtId="37" fontId="42" fillId="9" borderId="37" xfId="0" applyNumberFormat="1" applyFont="1" applyFill="1" applyBorder="1" applyAlignment="1">
      <alignment horizontal="center" vertical="center"/>
    </xf>
    <xf numFmtId="0" fontId="42" fillId="0" borderId="161" xfId="0" applyFont="1" applyBorder="1" applyAlignment="1">
      <alignment horizontal="center" vertical="center"/>
    </xf>
    <xf numFmtId="0" fontId="42" fillId="0" borderId="162" xfId="0" applyFont="1" applyBorder="1" applyAlignment="1">
      <alignment horizontal="center" vertical="center"/>
    </xf>
    <xf numFmtId="0" fontId="42" fillId="0" borderId="90" xfId="0" applyFont="1" applyBorder="1" applyAlignment="1">
      <alignment horizontal="center" vertical="center"/>
    </xf>
    <xf numFmtId="0" fontId="42" fillId="31" borderId="33" xfId="0" applyFont="1" applyFill="1" applyBorder="1" applyAlignment="1">
      <alignment horizontal="center" vertical="center"/>
    </xf>
    <xf numFmtId="0" fontId="47" fillId="9" borderId="0" xfId="0" applyFont="1" applyFill="1"/>
  </cellXfs>
  <cellStyles count="307">
    <cellStyle name="20% - Accent1 14 3 2" xfId="220" xr:uid="{00000000-0005-0000-0000-000000000000}"/>
    <cellStyle name="20% - Accent1 14 3 2 2" xfId="263" xr:uid="{00000000-0005-0000-0000-000001000000}"/>
    <cellStyle name="20% - Accent1 14 3 2 3" xfId="282" xr:uid="{00000000-0005-0000-0000-000002000000}"/>
    <cellStyle name="20% - Accent1 14 3 2 4" xfId="295" xr:uid="{00000000-0005-0000-0000-000003000000}"/>
    <cellStyle name="BoldUnderlineNumber 2" xfId="173" xr:uid="{00000000-0005-0000-0000-000004000000}"/>
    <cellStyle name="C00A" xfId="1" xr:uid="{00000000-0005-0000-0000-000005000000}"/>
    <cellStyle name="C00B" xfId="2" xr:uid="{00000000-0005-0000-0000-000006000000}"/>
    <cellStyle name="C00B 2" xfId="3" xr:uid="{00000000-0005-0000-0000-000007000000}"/>
    <cellStyle name="C00B 2 2" xfId="223" xr:uid="{00000000-0005-0000-0000-000008000000}"/>
    <cellStyle name="C00B 2 3" xfId="222" xr:uid="{00000000-0005-0000-0000-000009000000}"/>
    <cellStyle name="C00B 2 4" xfId="177" xr:uid="{00000000-0005-0000-0000-00000A000000}"/>
    <cellStyle name="C00B 3" xfId="4" xr:uid="{00000000-0005-0000-0000-00000B000000}"/>
    <cellStyle name="C00B 3 2" xfId="178" xr:uid="{00000000-0005-0000-0000-00000C000000}"/>
    <cellStyle name="C00L" xfId="5" xr:uid="{00000000-0005-0000-0000-00000D000000}"/>
    <cellStyle name="C01A" xfId="6" xr:uid="{00000000-0005-0000-0000-00000E000000}"/>
    <cellStyle name="C01B" xfId="7" xr:uid="{00000000-0005-0000-0000-00000F000000}"/>
    <cellStyle name="C01B 2" xfId="224" xr:uid="{00000000-0005-0000-0000-000010000000}"/>
    <cellStyle name="C01B 3" xfId="179" xr:uid="{00000000-0005-0000-0000-000011000000}"/>
    <cellStyle name="C01H" xfId="8" xr:uid="{00000000-0005-0000-0000-000012000000}"/>
    <cellStyle name="C01L" xfId="9" xr:uid="{00000000-0005-0000-0000-000013000000}"/>
    <cellStyle name="C02A" xfId="10" xr:uid="{00000000-0005-0000-0000-000014000000}"/>
    <cellStyle name="C02B" xfId="11" xr:uid="{00000000-0005-0000-0000-000015000000}"/>
    <cellStyle name="C02B 2" xfId="225" xr:uid="{00000000-0005-0000-0000-000016000000}"/>
    <cellStyle name="C02B 3" xfId="180" xr:uid="{00000000-0005-0000-0000-000017000000}"/>
    <cellStyle name="C02H" xfId="12" xr:uid="{00000000-0005-0000-0000-000018000000}"/>
    <cellStyle name="C02L" xfId="13" xr:uid="{00000000-0005-0000-0000-000019000000}"/>
    <cellStyle name="C03A" xfId="14" xr:uid="{00000000-0005-0000-0000-00001A000000}"/>
    <cellStyle name="C03B" xfId="15" xr:uid="{00000000-0005-0000-0000-00001B000000}"/>
    <cellStyle name="C03H" xfId="16" xr:uid="{00000000-0005-0000-0000-00001C000000}"/>
    <cellStyle name="C03L" xfId="17" xr:uid="{00000000-0005-0000-0000-00001D000000}"/>
    <cellStyle name="C04A" xfId="18" xr:uid="{00000000-0005-0000-0000-00001E000000}"/>
    <cellStyle name="C04A 2" xfId="226" xr:uid="{00000000-0005-0000-0000-00001F000000}"/>
    <cellStyle name="C04A 3" xfId="181" xr:uid="{00000000-0005-0000-0000-000020000000}"/>
    <cellStyle name="C04B" xfId="19" xr:uid="{00000000-0005-0000-0000-000021000000}"/>
    <cellStyle name="C04H" xfId="20" xr:uid="{00000000-0005-0000-0000-000022000000}"/>
    <cellStyle name="C04L" xfId="21" xr:uid="{00000000-0005-0000-0000-000023000000}"/>
    <cellStyle name="C05A" xfId="22" xr:uid="{00000000-0005-0000-0000-000024000000}"/>
    <cellStyle name="C05B" xfId="23" xr:uid="{00000000-0005-0000-0000-000025000000}"/>
    <cellStyle name="C05H" xfId="24" xr:uid="{00000000-0005-0000-0000-000026000000}"/>
    <cellStyle name="C05L" xfId="25" xr:uid="{00000000-0005-0000-0000-000027000000}"/>
    <cellStyle name="C05L 2" xfId="26" xr:uid="{00000000-0005-0000-0000-000028000000}"/>
    <cellStyle name="C05L 2 2" xfId="228" xr:uid="{00000000-0005-0000-0000-000029000000}"/>
    <cellStyle name="C05L 3" xfId="227" xr:uid="{00000000-0005-0000-0000-00002A000000}"/>
    <cellStyle name="C05L 4" xfId="182" xr:uid="{00000000-0005-0000-0000-00002B000000}"/>
    <cellStyle name="C06A" xfId="27" xr:uid="{00000000-0005-0000-0000-00002C000000}"/>
    <cellStyle name="C06B" xfId="28" xr:uid="{00000000-0005-0000-0000-00002D000000}"/>
    <cellStyle name="C06H" xfId="29" xr:uid="{00000000-0005-0000-0000-00002E000000}"/>
    <cellStyle name="C06L" xfId="30" xr:uid="{00000000-0005-0000-0000-00002F000000}"/>
    <cellStyle name="C07A" xfId="31" xr:uid="{00000000-0005-0000-0000-000030000000}"/>
    <cellStyle name="C07B" xfId="32" xr:uid="{00000000-0005-0000-0000-000031000000}"/>
    <cellStyle name="C07H" xfId="33" xr:uid="{00000000-0005-0000-0000-000032000000}"/>
    <cellStyle name="C07L" xfId="34" xr:uid="{00000000-0005-0000-0000-000033000000}"/>
    <cellStyle name="ColumnHeader" xfId="35" xr:uid="{00000000-0005-0000-0000-000034000000}"/>
    <cellStyle name="Comma" xfId="36" builtinId="3"/>
    <cellStyle name="Comma (.00)" xfId="37" xr:uid="{00000000-0005-0000-0000-000036000000}"/>
    <cellStyle name="Comma (0)" xfId="38" xr:uid="{00000000-0005-0000-0000-000037000000}"/>
    <cellStyle name="Comma [0]" xfId="162" builtinId="6"/>
    <cellStyle name="Comma [0] 2" xfId="287" xr:uid="{00000000-0005-0000-0000-000039000000}"/>
    <cellStyle name="Comma [0] 3" xfId="303" xr:uid="{00000000-0005-0000-0000-00003A000000}"/>
    <cellStyle name="Comma 10" xfId="286" xr:uid="{00000000-0005-0000-0000-00003B000000}"/>
    <cellStyle name="Comma 10 2" xfId="206" xr:uid="{00000000-0005-0000-0000-00003C000000}"/>
    <cellStyle name="Comma 11" xfId="293" xr:uid="{00000000-0005-0000-0000-00003D000000}"/>
    <cellStyle name="Comma 12" xfId="298" xr:uid="{00000000-0005-0000-0000-00003E000000}"/>
    <cellStyle name="Comma 13" xfId="302" xr:uid="{00000000-0005-0000-0000-00003F000000}"/>
    <cellStyle name="Comma 14" xfId="276" xr:uid="{00000000-0005-0000-0000-000040000000}"/>
    <cellStyle name="Comma 15" xfId="306" xr:uid="{00000000-0005-0000-0000-000041000000}"/>
    <cellStyle name="Comma 16" xfId="191" xr:uid="{00000000-0005-0000-0000-000042000000}"/>
    <cellStyle name="Comma 2" xfId="39" xr:uid="{00000000-0005-0000-0000-000043000000}"/>
    <cellStyle name="Comma 2 2" xfId="40" xr:uid="{00000000-0005-0000-0000-000044000000}"/>
    <cellStyle name="Comma 2 2 2" xfId="230" xr:uid="{00000000-0005-0000-0000-000045000000}"/>
    <cellStyle name="Comma 2 3" xfId="155" xr:uid="{00000000-0005-0000-0000-000046000000}"/>
    <cellStyle name="Comma 2 3 2" xfId="205" xr:uid="{00000000-0005-0000-0000-000047000000}"/>
    <cellStyle name="Comma 2 4" xfId="229" xr:uid="{00000000-0005-0000-0000-000048000000}"/>
    <cellStyle name="Comma 20 2" xfId="159" xr:uid="{00000000-0005-0000-0000-000049000000}"/>
    <cellStyle name="Comma 3" xfId="41" xr:uid="{00000000-0005-0000-0000-00004A000000}"/>
    <cellStyle name="Comma 3 2" xfId="231" xr:uid="{00000000-0005-0000-0000-00004B000000}"/>
    <cellStyle name="Comma 3 3" xfId="199" xr:uid="{00000000-0005-0000-0000-00004C000000}"/>
    <cellStyle name="Comma 4" xfId="42" xr:uid="{00000000-0005-0000-0000-00004D000000}"/>
    <cellStyle name="Comma 4 2" xfId="253" xr:uid="{00000000-0005-0000-0000-00004E000000}"/>
    <cellStyle name="Comma 4 3" xfId="202" xr:uid="{00000000-0005-0000-0000-00004F000000}"/>
    <cellStyle name="Comma 5" xfId="43" xr:uid="{00000000-0005-0000-0000-000050000000}"/>
    <cellStyle name="Comma 5 2" xfId="257" xr:uid="{00000000-0005-0000-0000-000051000000}"/>
    <cellStyle name="Comma 5 3" xfId="213" xr:uid="{00000000-0005-0000-0000-000052000000}"/>
    <cellStyle name="Comma 6" xfId="150" xr:uid="{00000000-0005-0000-0000-000053000000}"/>
    <cellStyle name="Comma 6 2" xfId="261" xr:uid="{00000000-0005-0000-0000-000054000000}"/>
    <cellStyle name="Comma 6 3" xfId="218" xr:uid="{00000000-0005-0000-0000-000055000000}"/>
    <cellStyle name="Comma 7" xfId="152" xr:uid="{00000000-0005-0000-0000-000056000000}"/>
    <cellStyle name="Comma 7 2" xfId="266" xr:uid="{00000000-0005-0000-0000-000057000000}"/>
    <cellStyle name="Comma 8" xfId="151" xr:uid="{00000000-0005-0000-0000-000058000000}"/>
    <cellStyle name="Comma 9" xfId="274" xr:uid="{00000000-0005-0000-0000-000059000000}"/>
    <cellStyle name="Comma 9 2" xfId="279" xr:uid="{00000000-0005-0000-0000-00005A000000}"/>
    <cellStyle name="Comma_00200.2004.12.psc" xfId="44" xr:uid="{00000000-0005-0000-0000-00005B000000}"/>
    <cellStyle name="Currency" xfId="45" builtinId="4"/>
    <cellStyle name="Currency 2" xfId="255" xr:uid="{00000000-0005-0000-0000-00005D000000}"/>
    <cellStyle name="Currency 2 2" xfId="209" xr:uid="{00000000-0005-0000-0000-00005E000000}"/>
    <cellStyle name="Currency 3" xfId="207" xr:uid="{00000000-0005-0000-0000-00005F000000}"/>
    <cellStyle name="Currency_00200.2004.12.psc" xfId="46" xr:uid="{00000000-0005-0000-0000-000060000000}"/>
    <cellStyle name="DetailIndented 3" xfId="166" xr:uid="{00000000-0005-0000-0000-000061000000}"/>
    <cellStyle name="DetailTotalNumber 3" xfId="167" xr:uid="{00000000-0005-0000-0000-000062000000}"/>
    <cellStyle name="General" xfId="47" xr:uid="{00000000-0005-0000-0000-000063000000}"/>
    <cellStyle name="GLGrandTotal" xfId="48" xr:uid="{00000000-0005-0000-0000-000064000000}"/>
    <cellStyle name="GLGrandTotal 2" xfId="183" xr:uid="{00000000-0005-0000-0000-000065000000}"/>
    <cellStyle name="GLMonthTotal" xfId="49" xr:uid="{00000000-0005-0000-0000-000066000000}"/>
    <cellStyle name="GLSubtotal" xfId="50" xr:uid="{00000000-0005-0000-0000-000067000000}"/>
    <cellStyle name="GrandTotalNumber" xfId="172" xr:uid="{00000000-0005-0000-0000-000068000000}"/>
    <cellStyle name="Header" xfId="51" xr:uid="{00000000-0005-0000-0000-000069000000}"/>
    <cellStyle name="Header 2" xfId="163" xr:uid="{00000000-0005-0000-0000-00006A000000}"/>
    <cellStyle name="Hyperlink 2" xfId="280" xr:uid="{00000000-0005-0000-0000-00006B000000}"/>
    <cellStyle name="Normal" xfId="0" builtinId="0"/>
    <cellStyle name="Normal 10" xfId="52" xr:uid="{00000000-0005-0000-0000-00006D000000}"/>
    <cellStyle name="Normal 10 2" xfId="53" xr:uid="{00000000-0005-0000-0000-00006E000000}"/>
    <cellStyle name="Normal 10 2 2" xfId="232" xr:uid="{00000000-0005-0000-0000-00006F000000}"/>
    <cellStyle name="Normal 10 3" xfId="196" xr:uid="{00000000-0005-0000-0000-000070000000}"/>
    <cellStyle name="Normal 11" xfId="54" xr:uid="{00000000-0005-0000-0000-000071000000}"/>
    <cellStyle name="Normal 11 2" xfId="252" xr:uid="{00000000-0005-0000-0000-000072000000}"/>
    <cellStyle name="Normal 11 3" xfId="197" xr:uid="{00000000-0005-0000-0000-000073000000}"/>
    <cellStyle name="Normal 12" xfId="55" xr:uid="{00000000-0005-0000-0000-000074000000}"/>
    <cellStyle name="Normal 12 2" xfId="256" xr:uid="{00000000-0005-0000-0000-000075000000}"/>
    <cellStyle name="Normal 12 3" xfId="198" xr:uid="{00000000-0005-0000-0000-000076000000}"/>
    <cellStyle name="Normal 13" xfId="201" xr:uid="{00000000-0005-0000-0000-000077000000}"/>
    <cellStyle name="Normal 13 2" xfId="56" xr:uid="{00000000-0005-0000-0000-000078000000}"/>
    <cellStyle name="Normal 13 2 2" xfId="259" xr:uid="{00000000-0005-0000-0000-000079000000}"/>
    <cellStyle name="Normal 14" xfId="174" xr:uid="{00000000-0005-0000-0000-00007A000000}"/>
    <cellStyle name="Normal 14 2" xfId="260" xr:uid="{00000000-0005-0000-0000-00007B000000}"/>
    <cellStyle name="Normal 14 3" xfId="212" xr:uid="{00000000-0005-0000-0000-00007C000000}"/>
    <cellStyle name="Normal 15" xfId="216" xr:uid="{00000000-0005-0000-0000-00007D000000}"/>
    <cellStyle name="Normal 15 2" xfId="265" xr:uid="{00000000-0005-0000-0000-00007E000000}"/>
    <cellStyle name="Normal 16" xfId="217" xr:uid="{00000000-0005-0000-0000-00007F000000}"/>
    <cellStyle name="Normal 17" xfId="273" xr:uid="{00000000-0005-0000-0000-000080000000}"/>
    <cellStyle name="Normal 18" xfId="277" xr:uid="{00000000-0005-0000-0000-000081000000}"/>
    <cellStyle name="Normal 18 2" xfId="278" xr:uid="{00000000-0005-0000-0000-000082000000}"/>
    <cellStyle name="Normal 19" xfId="175" xr:uid="{00000000-0005-0000-0000-000083000000}"/>
    <cellStyle name="Normal 19 2" xfId="233" xr:uid="{00000000-0005-0000-0000-000084000000}"/>
    <cellStyle name="Normal 19 3" xfId="184" xr:uid="{00000000-0005-0000-0000-000085000000}"/>
    <cellStyle name="Normal 2" xfId="57" xr:uid="{00000000-0005-0000-0000-000086000000}"/>
    <cellStyle name="Normal 2 2" xfId="58" xr:uid="{00000000-0005-0000-0000-000087000000}"/>
    <cellStyle name="Normal 2 2 2" xfId="59" xr:uid="{00000000-0005-0000-0000-000088000000}"/>
    <cellStyle name="Normal 2 2 2 2" xfId="157" xr:uid="{00000000-0005-0000-0000-000089000000}"/>
    <cellStyle name="Normal 2 2 3" xfId="60" xr:uid="{00000000-0005-0000-0000-00008A000000}"/>
    <cellStyle name="Normal 2 2 4" xfId="156" xr:uid="{00000000-0005-0000-0000-00008B000000}"/>
    <cellStyle name="Normal 2 3" xfId="61" xr:uid="{00000000-0005-0000-0000-00008C000000}"/>
    <cellStyle name="Normal 2 3 2" xfId="234" xr:uid="{00000000-0005-0000-0000-00008D000000}"/>
    <cellStyle name="Normal 2 4" xfId="153" xr:uid="{00000000-0005-0000-0000-00008E000000}"/>
    <cellStyle name="Normal 2 5" xfId="176" xr:uid="{00000000-0005-0000-0000-00008F000000}"/>
    <cellStyle name="Normal 20" xfId="284" xr:uid="{00000000-0005-0000-0000-000090000000}"/>
    <cellStyle name="Normal 21" xfId="292" xr:uid="{00000000-0005-0000-0000-000091000000}"/>
    <cellStyle name="Normal 21 2" xfId="304" xr:uid="{00000000-0005-0000-0000-000092000000}"/>
    <cellStyle name="Normal 22" xfId="297" xr:uid="{00000000-0005-0000-0000-000093000000}"/>
    <cellStyle name="Normal 23" xfId="300" xr:uid="{00000000-0005-0000-0000-000094000000}"/>
    <cellStyle name="Normal 24" xfId="305" xr:uid="{00000000-0005-0000-0000-000095000000}"/>
    <cellStyle name="Normal 3" xfId="62" xr:uid="{00000000-0005-0000-0000-000096000000}"/>
    <cellStyle name="Normal 3 2" xfId="63" xr:uid="{00000000-0005-0000-0000-000097000000}"/>
    <cellStyle name="Normal 3 2 2" xfId="64" xr:uid="{00000000-0005-0000-0000-000098000000}"/>
    <cellStyle name="Normal 3 2 3" xfId="235" xr:uid="{00000000-0005-0000-0000-000099000000}"/>
    <cellStyle name="Normal 3 3" xfId="65" xr:uid="{00000000-0005-0000-0000-00009A000000}"/>
    <cellStyle name="Normal 3 4" xfId="154" xr:uid="{00000000-0005-0000-0000-00009B000000}"/>
    <cellStyle name="Normal 3 5" xfId="185" xr:uid="{00000000-0005-0000-0000-00009C000000}"/>
    <cellStyle name="Normal 4" xfId="66" xr:uid="{00000000-0005-0000-0000-00009D000000}"/>
    <cellStyle name="Normal 4 2" xfId="67" xr:uid="{00000000-0005-0000-0000-00009E000000}"/>
    <cellStyle name="Normal 4 3" xfId="68" xr:uid="{00000000-0005-0000-0000-00009F000000}"/>
    <cellStyle name="Normal 4 3 2" xfId="236" xr:uid="{00000000-0005-0000-0000-0000A0000000}"/>
    <cellStyle name="Normal 4 4" xfId="158" xr:uid="{00000000-0005-0000-0000-0000A1000000}"/>
    <cellStyle name="Normal 5" xfId="69" xr:uid="{00000000-0005-0000-0000-0000A2000000}"/>
    <cellStyle name="Normal 5 2" xfId="70" xr:uid="{00000000-0005-0000-0000-0000A3000000}"/>
    <cellStyle name="Normal 5 2 2" xfId="238" xr:uid="{00000000-0005-0000-0000-0000A4000000}"/>
    <cellStyle name="Normal 5 3" xfId="204" xr:uid="{00000000-0005-0000-0000-0000A5000000}"/>
    <cellStyle name="Normal 5 4" xfId="237" xr:uid="{00000000-0005-0000-0000-0000A6000000}"/>
    <cellStyle name="Normal 5 5" xfId="186" xr:uid="{00000000-0005-0000-0000-0000A7000000}"/>
    <cellStyle name="Normal 6" xfId="71" xr:uid="{00000000-0005-0000-0000-0000A8000000}"/>
    <cellStyle name="Normal 6 2" xfId="72" xr:uid="{00000000-0005-0000-0000-0000A9000000}"/>
    <cellStyle name="Normal 6 2 2" xfId="240" xr:uid="{00000000-0005-0000-0000-0000AA000000}"/>
    <cellStyle name="Normal 6 3" xfId="73" xr:uid="{00000000-0005-0000-0000-0000AB000000}"/>
    <cellStyle name="Normal 6 3 2" xfId="239" xr:uid="{00000000-0005-0000-0000-0000AC000000}"/>
    <cellStyle name="Normal 7" xfId="74" xr:uid="{00000000-0005-0000-0000-0000AD000000}"/>
    <cellStyle name="Normal 7 2" xfId="161" xr:uid="{00000000-0005-0000-0000-0000AE000000}"/>
    <cellStyle name="Normal 7 3" xfId="241" xr:uid="{00000000-0005-0000-0000-0000AF000000}"/>
    <cellStyle name="Normal 7 4" xfId="187" xr:uid="{00000000-0005-0000-0000-0000B0000000}"/>
    <cellStyle name="Normal 71" xfId="211" xr:uid="{00000000-0005-0000-0000-0000B1000000}"/>
    <cellStyle name="Normal 78" xfId="215" xr:uid="{00000000-0005-0000-0000-0000B2000000}"/>
    <cellStyle name="Normal 8" xfId="75" xr:uid="{00000000-0005-0000-0000-0000B3000000}"/>
    <cellStyle name="Normal 8 2" xfId="76" xr:uid="{00000000-0005-0000-0000-0000B4000000}"/>
    <cellStyle name="Normal 8 3" xfId="188" xr:uid="{00000000-0005-0000-0000-0000B5000000}"/>
    <cellStyle name="Normal 80" xfId="221" xr:uid="{00000000-0005-0000-0000-0000B6000000}"/>
    <cellStyle name="Normal 80 2" xfId="264" xr:uid="{00000000-0005-0000-0000-0000B7000000}"/>
    <cellStyle name="Normal 809" xfId="77" xr:uid="{00000000-0005-0000-0000-0000B8000000}"/>
    <cellStyle name="Normal 83" xfId="272" xr:uid="{00000000-0005-0000-0000-0000B9000000}"/>
    <cellStyle name="Normal 83 2" xfId="283" xr:uid="{00000000-0005-0000-0000-0000BA000000}"/>
    <cellStyle name="Normal 83 3" xfId="296" xr:uid="{00000000-0005-0000-0000-0000BB000000}"/>
    <cellStyle name="Normal 9" xfId="78" xr:uid="{00000000-0005-0000-0000-0000BC000000}"/>
    <cellStyle name="Normal 9 2" xfId="189" xr:uid="{00000000-0005-0000-0000-0000BD000000}"/>
    <cellStyle name="Normal_00200.2004.12.psc" xfId="79" xr:uid="{00000000-0005-0000-0000-0000BE000000}"/>
    <cellStyle name="Normal_00200.2004.12.psc 2" xfId="80" xr:uid="{00000000-0005-0000-0000-0000BF000000}"/>
    <cellStyle name="Normal_00200.2004.12.PSC.209" xfId="81" xr:uid="{00000000-0005-0000-0000-0000C0000000}"/>
    <cellStyle name="Normal_00200.2004.12.PSC.209_06.00200.2007.12.PSC.209" xfId="82" xr:uid="{00000000-0005-0000-0000-0000C1000000}"/>
    <cellStyle name="Normal_00200.2004.12.PSC.311312" xfId="83" xr:uid="{00000000-0005-0000-0000-0000C2000000}"/>
    <cellStyle name="Normal_2003 PSC OWNB-pbop" xfId="84" xr:uid="{00000000-0005-0000-0000-0000C3000000}"/>
    <cellStyle name="Percent" xfId="85" builtinId="5"/>
    <cellStyle name="Percent 10" xfId="294" xr:uid="{00000000-0005-0000-0000-0000C5000000}"/>
    <cellStyle name="Percent 11" xfId="299" xr:uid="{00000000-0005-0000-0000-0000C6000000}"/>
    <cellStyle name="Percent 12" xfId="301" xr:uid="{00000000-0005-0000-0000-0000C7000000}"/>
    <cellStyle name="Percent 2" xfId="160" xr:uid="{00000000-0005-0000-0000-0000C8000000}"/>
    <cellStyle name="Percent 2 2" xfId="210" xr:uid="{00000000-0005-0000-0000-0000C9000000}"/>
    <cellStyle name="Percent 2 3" xfId="190" xr:uid="{00000000-0005-0000-0000-0000CA000000}"/>
    <cellStyle name="Percent 3" xfId="200" xr:uid="{00000000-0005-0000-0000-0000CB000000}"/>
    <cellStyle name="Percent 3 2" xfId="208" xr:uid="{00000000-0005-0000-0000-0000CC000000}"/>
    <cellStyle name="Percent 3 3" xfId="254" xr:uid="{00000000-0005-0000-0000-0000CD000000}"/>
    <cellStyle name="Percent 4" xfId="203" xr:uid="{00000000-0005-0000-0000-0000CE000000}"/>
    <cellStyle name="Percent 4 2" xfId="258" xr:uid="{00000000-0005-0000-0000-0000CF000000}"/>
    <cellStyle name="Percent 5" xfId="214" xr:uid="{00000000-0005-0000-0000-0000D0000000}"/>
    <cellStyle name="Percent 5 2" xfId="262" xr:uid="{00000000-0005-0000-0000-0000D1000000}"/>
    <cellStyle name="Percent 6" xfId="219" xr:uid="{00000000-0005-0000-0000-0000D2000000}"/>
    <cellStyle name="Percent 6 2" xfId="267" xr:uid="{00000000-0005-0000-0000-0000D3000000}"/>
    <cellStyle name="Percent 7" xfId="275" xr:uid="{00000000-0005-0000-0000-0000D4000000}"/>
    <cellStyle name="Percent 8" xfId="281" xr:uid="{00000000-0005-0000-0000-0000D5000000}"/>
    <cellStyle name="Percent 9" xfId="285" xr:uid="{00000000-0005-0000-0000-0000D6000000}"/>
    <cellStyle name="PSChar" xfId="86" xr:uid="{00000000-0005-0000-0000-0000D7000000}"/>
    <cellStyle name="PSDate" xfId="87" xr:uid="{00000000-0005-0000-0000-0000D8000000}"/>
    <cellStyle name="PSDec" xfId="88" xr:uid="{00000000-0005-0000-0000-0000D9000000}"/>
    <cellStyle name="PSDec 2" xfId="89" xr:uid="{00000000-0005-0000-0000-0000DA000000}"/>
    <cellStyle name="PSHeading" xfId="90" xr:uid="{00000000-0005-0000-0000-0000DB000000}"/>
    <cellStyle name="PSInt" xfId="91" xr:uid="{00000000-0005-0000-0000-0000DC000000}"/>
    <cellStyle name="PSSpacer" xfId="92" xr:uid="{00000000-0005-0000-0000-0000DD000000}"/>
    <cellStyle name="PSTitle" xfId="93" xr:uid="{00000000-0005-0000-0000-0000DE000000}"/>
    <cellStyle name="R00A" xfId="94" xr:uid="{00000000-0005-0000-0000-0000DF000000}"/>
    <cellStyle name="R00A 2" xfId="95" xr:uid="{00000000-0005-0000-0000-0000E0000000}"/>
    <cellStyle name="R00A 3" xfId="96" xr:uid="{00000000-0005-0000-0000-0000E1000000}"/>
    <cellStyle name="R00B" xfId="97" xr:uid="{00000000-0005-0000-0000-0000E2000000}"/>
    <cellStyle name="R00B 2" xfId="98" xr:uid="{00000000-0005-0000-0000-0000E3000000}"/>
    <cellStyle name="R00L" xfId="99" xr:uid="{00000000-0005-0000-0000-0000E4000000}"/>
    <cellStyle name="R00L 2" xfId="100" xr:uid="{00000000-0005-0000-0000-0000E5000000}"/>
    <cellStyle name="R00L 2 2" xfId="243" xr:uid="{00000000-0005-0000-0000-0000E6000000}"/>
    <cellStyle name="R00L 2 3" xfId="242" xr:uid="{00000000-0005-0000-0000-0000E7000000}"/>
    <cellStyle name="R00L 3" xfId="244" xr:uid="{00000000-0005-0000-0000-0000E8000000}"/>
    <cellStyle name="R01A" xfId="101" xr:uid="{00000000-0005-0000-0000-0000E9000000}"/>
    <cellStyle name="R01A 2" xfId="102" xr:uid="{00000000-0005-0000-0000-0000EA000000}"/>
    <cellStyle name="R01B" xfId="103" xr:uid="{00000000-0005-0000-0000-0000EB000000}"/>
    <cellStyle name="R01B 2" xfId="104" xr:uid="{00000000-0005-0000-0000-0000EC000000}"/>
    <cellStyle name="R01B 2 2" xfId="246" xr:uid="{00000000-0005-0000-0000-0000ED000000}"/>
    <cellStyle name="R01B 2 3" xfId="245" xr:uid="{00000000-0005-0000-0000-0000EE000000}"/>
    <cellStyle name="R01H" xfId="105" xr:uid="{00000000-0005-0000-0000-0000EF000000}"/>
    <cellStyle name="R01H 2" xfId="106" xr:uid="{00000000-0005-0000-0000-0000F0000000}"/>
    <cellStyle name="R01L" xfId="107" xr:uid="{00000000-0005-0000-0000-0000F1000000}"/>
    <cellStyle name="R02A" xfId="108" xr:uid="{00000000-0005-0000-0000-0000F2000000}"/>
    <cellStyle name="R02A 2" xfId="109" xr:uid="{00000000-0005-0000-0000-0000F3000000}"/>
    <cellStyle name="R02A 3" xfId="110" xr:uid="{00000000-0005-0000-0000-0000F4000000}"/>
    <cellStyle name="R02B" xfId="111" xr:uid="{00000000-0005-0000-0000-0000F5000000}"/>
    <cellStyle name="R02B 2" xfId="112" xr:uid="{00000000-0005-0000-0000-0000F6000000}"/>
    <cellStyle name="R02H" xfId="113" xr:uid="{00000000-0005-0000-0000-0000F7000000}"/>
    <cellStyle name="R02L" xfId="114" xr:uid="{00000000-0005-0000-0000-0000F8000000}"/>
    <cellStyle name="R02L 2" xfId="115" xr:uid="{00000000-0005-0000-0000-0000F9000000}"/>
    <cellStyle name="R03A" xfId="116" xr:uid="{00000000-0005-0000-0000-0000FA000000}"/>
    <cellStyle name="R03A 2" xfId="247" xr:uid="{00000000-0005-0000-0000-0000FB000000}"/>
    <cellStyle name="R03B" xfId="117" xr:uid="{00000000-0005-0000-0000-0000FC000000}"/>
    <cellStyle name="R03B 2" xfId="118" xr:uid="{00000000-0005-0000-0000-0000FD000000}"/>
    <cellStyle name="R03H" xfId="119" xr:uid="{00000000-0005-0000-0000-0000FE000000}"/>
    <cellStyle name="R03L" xfId="120" xr:uid="{00000000-0005-0000-0000-0000FF000000}"/>
    <cellStyle name="R03L 2" xfId="121" xr:uid="{00000000-0005-0000-0000-000000010000}"/>
    <cellStyle name="R04A" xfId="122" xr:uid="{00000000-0005-0000-0000-000001010000}"/>
    <cellStyle name="R04A 2" xfId="248" xr:uid="{00000000-0005-0000-0000-000002010000}"/>
    <cellStyle name="R04B" xfId="123" xr:uid="{00000000-0005-0000-0000-000003010000}"/>
    <cellStyle name="R04B 2" xfId="124" xr:uid="{00000000-0005-0000-0000-000004010000}"/>
    <cellStyle name="R04H" xfId="125" xr:uid="{00000000-0005-0000-0000-000005010000}"/>
    <cellStyle name="R04L" xfId="126" xr:uid="{00000000-0005-0000-0000-000006010000}"/>
    <cellStyle name="R04L 2" xfId="127" xr:uid="{00000000-0005-0000-0000-000007010000}"/>
    <cellStyle name="R04L 2 2" xfId="289" xr:uid="{00000000-0005-0000-0000-000008010000}"/>
    <cellStyle name="R04L 3" xfId="249" xr:uid="{00000000-0005-0000-0000-000009010000}"/>
    <cellStyle name="R04L 3 2" xfId="269" xr:uid="{00000000-0005-0000-0000-00000A010000}"/>
    <cellStyle name="R04L_BSCOR200 - BU 00055" xfId="192" xr:uid="{00000000-0005-0000-0000-00000B010000}"/>
    <cellStyle name="R05A" xfId="128" xr:uid="{00000000-0005-0000-0000-00000C010000}"/>
    <cellStyle name="R05A 2" xfId="250" xr:uid="{00000000-0005-0000-0000-00000D010000}"/>
    <cellStyle name="R05B" xfId="129" xr:uid="{00000000-0005-0000-0000-00000E010000}"/>
    <cellStyle name="R05B 2" xfId="130" xr:uid="{00000000-0005-0000-0000-00000F010000}"/>
    <cellStyle name="R05H" xfId="131" xr:uid="{00000000-0005-0000-0000-000010010000}"/>
    <cellStyle name="R05L" xfId="132" xr:uid="{00000000-0005-0000-0000-000011010000}"/>
    <cellStyle name="R05L 2" xfId="133" xr:uid="{00000000-0005-0000-0000-000012010000}"/>
    <cellStyle name="R05L 2 2" xfId="291" xr:uid="{00000000-0005-0000-0000-000013010000}"/>
    <cellStyle name="R05L 3" xfId="251" xr:uid="{00000000-0005-0000-0000-000014010000}"/>
    <cellStyle name="R05L 3 2" xfId="271" xr:uid="{00000000-0005-0000-0000-000015010000}"/>
    <cellStyle name="R05L_BSCOR200 - BU 00055" xfId="193" xr:uid="{00000000-0005-0000-0000-000016010000}"/>
    <cellStyle name="R06A" xfId="134" xr:uid="{00000000-0005-0000-0000-000017010000}"/>
    <cellStyle name="R06B" xfId="135" xr:uid="{00000000-0005-0000-0000-000018010000}"/>
    <cellStyle name="R06B 2" xfId="136" xr:uid="{00000000-0005-0000-0000-000019010000}"/>
    <cellStyle name="R06H" xfId="137" xr:uid="{00000000-0005-0000-0000-00001A010000}"/>
    <cellStyle name="R06L" xfId="138" xr:uid="{00000000-0005-0000-0000-00001B010000}"/>
    <cellStyle name="R06L 2" xfId="139" xr:uid="{00000000-0005-0000-0000-00001C010000}"/>
    <cellStyle name="R06L 2 2" xfId="288" xr:uid="{00000000-0005-0000-0000-00001D010000}"/>
    <cellStyle name="R06L 3" xfId="268" xr:uid="{00000000-0005-0000-0000-00001E010000}"/>
    <cellStyle name="R06L_BSCOR200 - BU 00055" xfId="194" xr:uid="{00000000-0005-0000-0000-00001F010000}"/>
    <cellStyle name="R07A" xfId="140" xr:uid="{00000000-0005-0000-0000-000020010000}"/>
    <cellStyle name="R07B" xfId="141" xr:uid="{00000000-0005-0000-0000-000021010000}"/>
    <cellStyle name="R07B 2" xfId="142" xr:uid="{00000000-0005-0000-0000-000022010000}"/>
    <cellStyle name="R07H" xfId="143" xr:uid="{00000000-0005-0000-0000-000023010000}"/>
    <cellStyle name="R07L" xfId="144" xr:uid="{00000000-0005-0000-0000-000024010000}"/>
    <cellStyle name="R07L 2" xfId="145" xr:uid="{00000000-0005-0000-0000-000025010000}"/>
    <cellStyle name="R07L 2 2" xfId="290" xr:uid="{00000000-0005-0000-0000-000026010000}"/>
    <cellStyle name="R07L 3" xfId="270" xr:uid="{00000000-0005-0000-0000-000027010000}"/>
    <cellStyle name="R07L_BSCOR200 - BU 00055" xfId="195" xr:uid="{00000000-0005-0000-0000-000028010000}"/>
    <cellStyle name="SubHeader" xfId="146" xr:uid="{00000000-0005-0000-0000-000029010000}"/>
    <cellStyle name="SubHeader 2" xfId="164" xr:uid="{00000000-0005-0000-0000-00002A010000}"/>
    <cellStyle name="SubTotalNumber 4" xfId="169" xr:uid="{00000000-0005-0000-0000-00002B010000}"/>
    <cellStyle name="TextNumber" xfId="147" xr:uid="{00000000-0005-0000-0000-00002C010000}"/>
    <cellStyle name="TextNumber 4" xfId="168" xr:uid="{00000000-0005-0000-0000-00002D010000}"/>
    <cellStyle name="TextRate 2" xfId="171" xr:uid="{00000000-0005-0000-0000-00002E010000}"/>
    <cellStyle name="TotalNumber" xfId="148" xr:uid="{00000000-0005-0000-0000-00002F010000}"/>
    <cellStyle name="TotalText" xfId="149" xr:uid="{00000000-0005-0000-0000-000030010000}"/>
    <cellStyle name="TotalText 4" xfId="170" xr:uid="{00000000-0005-0000-0000-000031010000}"/>
    <cellStyle name="UnitHeader 3" xfId="165" xr:uid="{00000000-0005-0000-0000-000032010000}"/>
  </cellStyles>
  <dxfs count="0"/>
  <tableStyles count="0" defaultTableStyle="TableStyleMedium9" defaultPivotStyle="PivotStyleLight16"/>
  <colors>
    <mruColors>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drawings/drawing1.xml><?xml version="1.0" encoding="utf-8"?>
<xdr:wsDr xmlns:xdr="http://schemas.openxmlformats.org/drawingml/2006/spreadsheetDrawing" xmlns:a="http://schemas.openxmlformats.org/drawingml/2006/main">
  <xdr:twoCellAnchor>
    <xdr:from>
      <xdr:col>4</xdr:col>
      <xdr:colOff>190500</xdr:colOff>
      <xdr:row>74</xdr:row>
      <xdr:rowOff>184150</xdr:rowOff>
    </xdr:from>
    <xdr:to>
      <xdr:col>4</xdr:col>
      <xdr:colOff>241300</xdr:colOff>
      <xdr:row>97</xdr:row>
      <xdr:rowOff>50800</xdr:rowOff>
    </xdr:to>
    <xdr:sp macro="" textlink="">
      <xdr:nvSpPr>
        <xdr:cNvPr id="35" name="Line 13">
          <a:extLst>
            <a:ext uri="{FF2B5EF4-FFF2-40B4-BE49-F238E27FC236}">
              <a16:creationId xmlns:a16="http://schemas.microsoft.com/office/drawing/2014/main" id="{00000000-0008-0000-0600-000023000000}"/>
            </a:ext>
          </a:extLst>
        </xdr:cNvPr>
        <xdr:cNvSpPr>
          <a:spLocks noChangeShapeType="1"/>
        </xdr:cNvSpPr>
      </xdr:nvSpPr>
      <xdr:spPr bwMode="auto">
        <a:xfrm>
          <a:off x="3971925" y="14709775"/>
          <a:ext cx="50800" cy="424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2331085</xdr:colOff>
      <xdr:row>91</xdr:row>
      <xdr:rowOff>152400</xdr:rowOff>
    </xdr:from>
    <xdr:to>
      <xdr:col>6</xdr:col>
      <xdr:colOff>883021</xdr:colOff>
      <xdr:row>93</xdr:row>
      <xdr:rowOff>107950</xdr:rowOff>
    </xdr:to>
    <xdr:sp macro="" textlink="">
      <xdr:nvSpPr>
        <xdr:cNvPr id="36" name="Rectangle 10">
          <a:extLst>
            <a:ext uri="{FF2B5EF4-FFF2-40B4-BE49-F238E27FC236}">
              <a16:creationId xmlns:a16="http://schemas.microsoft.com/office/drawing/2014/main" id="{00000000-0008-0000-0600-000024000000}"/>
            </a:ext>
          </a:extLst>
        </xdr:cNvPr>
        <xdr:cNvSpPr>
          <a:spLocks noChangeArrowheads="1"/>
        </xdr:cNvSpPr>
      </xdr:nvSpPr>
      <xdr:spPr bwMode="auto">
        <a:xfrm>
          <a:off x="2893060" y="17916525"/>
          <a:ext cx="2295261" cy="33655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ctr" rtl="0">
            <a:defRPr sz="1000"/>
          </a:pPr>
          <a:r>
            <a:rPr lang="en-US" sz="1200" b="0" i="0" strike="noStrike">
              <a:solidFill>
                <a:srgbClr val="000000"/>
              </a:solidFill>
              <a:latin typeface="Arial"/>
              <a:cs typeface="Arial"/>
            </a:rPr>
            <a:t> Veolia</a:t>
          </a:r>
          <a:r>
            <a:rPr lang="en-US" sz="1200" b="0" i="0" strike="noStrike" baseline="0">
              <a:solidFill>
                <a:srgbClr val="000000"/>
              </a:solidFill>
              <a:latin typeface="Arial"/>
              <a:cs typeface="Arial"/>
            </a:rPr>
            <a:t> Utility</a:t>
          </a:r>
          <a:r>
            <a:rPr lang="en-US" sz="1200" b="0" i="0" strike="noStrike">
              <a:solidFill>
                <a:srgbClr val="000000"/>
              </a:solidFill>
              <a:latin typeface="Arial"/>
              <a:cs typeface="Arial"/>
            </a:rPr>
            <a:t> Resources LLC</a:t>
          </a:r>
        </a:p>
      </xdr:txBody>
    </xdr:sp>
    <xdr:clientData/>
  </xdr:twoCellAnchor>
  <xdr:twoCellAnchor>
    <xdr:from>
      <xdr:col>2</xdr:col>
      <xdr:colOff>2305685</xdr:colOff>
      <xdr:row>74</xdr:row>
      <xdr:rowOff>38100</xdr:rowOff>
    </xdr:from>
    <xdr:to>
      <xdr:col>6</xdr:col>
      <xdr:colOff>666751</xdr:colOff>
      <xdr:row>75</xdr:row>
      <xdr:rowOff>190500</xdr:rowOff>
    </xdr:to>
    <xdr:sp macro="" textlink="">
      <xdr:nvSpPr>
        <xdr:cNvPr id="37" name="Rectangle 10">
          <a:extLst>
            <a:ext uri="{FF2B5EF4-FFF2-40B4-BE49-F238E27FC236}">
              <a16:creationId xmlns:a16="http://schemas.microsoft.com/office/drawing/2014/main" id="{00000000-0008-0000-0600-000025000000}"/>
            </a:ext>
          </a:extLst>
        </xdr:cNvPr>
        <xdr:cNvSpPr>
          <a:spLocks noChangeArrowheads="1"/>
        </xdr:cNvSpPr>
      </xdr:nvSpPr>
      <xdr:spPr bwMode="auto">
        <a:xfrm>
          <a:off x="2867660" y="14563725"/>
          <a:ext cx="2104391" cy="34290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ctr" rtl="0">
            <a:defRPr sz="1000"/>
          </a:pPr>
          <a:r>
            <a:rPr lang="en-US" sz="1200" b="0" i="0" strike="noStrike">
              <a:solidFill>
                <a:srgbClr val="000000"/>
              </a:solidFill>
              <a:latin typeface="Arial"/>
              <a:cs typeface="Arial"/>
            </a:rPr>
            <a:t>Veolia Environnement S.A.</a:t>
          </a:r>
          <a:endParaRPr lang="en-US" sz="1200" b="1" i="0" strike="noStrike">
            <a:solidFill>
              <a:srgbClr val="000000"/>
            </a:solidFill>
            <a:latin typeface="Arial"/>
            <a:cs typeface="Arial"/>
          </a:endParaRPr>
        </a:p>
      </xdr:txBody>
    </xdr:sp>
    <xdr:clientData/>
  </xdr:twoCellAnchor>
  <xdr:twoCellAnchor>
    <xdr:from>
      <xdr:col>2</xdr:col>
      <xdr:colOff>2579370</xdr:colOff>
      <xdr:row>95</xdr:row>
      <xdr:rowOff>0</xdr:rowOff>
    </xdr:from>
    <xdr:to>
      <xdr:col>6</xdr:col>
      <xdr:colOff>673100</xdr:colOff>
      <xdr:row>98</xdr:row>
      <xdr:rowOff>146050</xdr:rowOff>
    </xdr:to>
    <xdr:sp macro="" textlink="">
      <xdr:nvSpPr>
        <xdr:cNvPr id="38" name="Rectangle 12">
          <a:extLst>
            <a:ext uri="{FF2B5EF4-FFF2-40B4-BE49-F238E27FC236}">
              <a16:creationId xmlns:a16="http://schemas.microsoft.com/office/drawing/2014/main" id="{00000000-0008-0000-0600-000026000000}"/>
            </a:ext>
          </a:extLst>
        </xdr:cNvPr>
        <xdr:cNvSpPr>
          <a:spLocks noChangeArrowheads="1"/>
        </xdr:cNvSpPr>
      </xdr:nvSpPr>
      <xdr:spPr bwMode="auto">
        <a:xfrm>
          <a:off x="3141345" y="18526125"/>
          <a:ext cx="1837055" cy="71755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ctr" rtl="0">
            <a:defRPr sz="1000"/>
          </a:pPr>
          <a:r>
            <a:rPr lang="en-US" sz="1200" b="1" i="0" strike="noStrike">
              <a:solidFill>
                <a:srgbClr val="000000"/>
              </a:solidFill>
              <a:latin typeface="Arial"/>
              <a:cs typeface="Arial"/>
            </a:rPr>
            <a:t>Veolia Water New York, Inc.</a:t>
          </a:r>
        </a:p>
      </xdr:txBody>
    </xdr:sp>
    <xdr:clientData/>
  </xdr:twoCellAnchor>
  <xdr:twoCellAnchor>
    <xdr:from>
      <xdr:col>2</xdr:col>
      <xdr:colOff>1085850</xdr:colOff>
      <xdr:row>89</xdr:row>
      <xdr:rowOff>28575</xdr:rowOff>
    </xdr:from>
    <xdr:to>
      <xdr:col>2</xdr:col>
      <xdr:colOff>2536825</xdr:colOff>
      <xdr:row>89</xdr:row>
      <xdr:rowOff>28575</xdr:rowOff>
    </xdr:to>
    <xdr:sp macro="" textlink="">
      <xdr:nvSpPr>
        <xdr:cNvPr id="39" name="Line 16">
          <a:extLst>
            <a:ext uri="{FF2B5EF4-FFF2-40B4-BE49-F238E27FC236}">
              <a16:creationId xmlns:a16="http://schemas.microsoft.com/office/drawing/2014/main" id="{00000000-0008-0000-0600-000027000000}"/>
            </a:ext>
          </a:extLst>
        </xdr:cNvPr>
        <xdr:cNvSpPr>
          <a:spLocks noChangeShapeType="1"/>
        </xdr:cNvSpPr>
      </xdr:nvSpPr>
      <xdr:spPr bwMode="auto">
        <a:xfrm flipH="1">
          <a:off x="1647825" y="17411700"/>
          <a:ext cx="145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1101725</xdr:colOff>
      <xdr:row>87</xdr:row>
      <xdr:rowOff>107950</xdr:rowOff>
    </xdr:from>
    <xdr:to>
      <xdr:col>2</xdr:col>
      <xdr:colOff>1101725</xdr:colOff>
      <xdr:row>89</xdr:row>
      <xdr:rowOff>22225</xdr:rowOff>
    </xdr:to>
    <xdr:sp macro="" textlink="">
      <xdr:nvSpPr>
        <xdr:cNvPr id="40" name="Line 17">
          <a:extLst>
            <a:ext uri="{FF2B5EF4-FFF2-40B4-BE49-F238E27FC236}">
              <a16:creationId xmlns:a16="http://schemas.microsoft.com/office/drawing/2014/main" id="{00000000-0008-0000-0600-000028000000}"/>
            </a:ext>
          </a:extLst>
        </xdr:cNvPr>
        <xdr:cNvSpPr>
          <a:spLocks noChangeShapeType="1"/>
        </xdr:cNvSpPr>
      </xdr:nvSpPr>
      <xdr:spPr bwMode="auto">
        <a:xfrm>
          <a:off x="1663700" y="17110075"/>
          <a:ext cx="0"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2586356</xdr:colOff>
      <xdr:row>77</xdr:row>
      <xdr:rowOff>98425</xdr:rowOff>
    </xdr:from>
    <xdr:to>
      <xdr:col>6</xdr:col>
      <xdr:colOff>476250</xdr:colOff>
      <xdr:row>79</xdr:row>
      <xdr:rowOff>38100</xdr:rowOff>
    </xdr:to>
    <xdr:sp macro="" textlink="">
      <xdr:nvSpPr>
        <xdr:cNvPr id="41" name="Rectangle 11">
          <a:extLst>
            <a:ext uri="{FF2B5EF4-FFF2-40B4-BE49-F238E27FC236}">
              <a16:creationId xmlns:a16="http://schemas.microsoft.com/office/drawing/2014/main" id="{00000000-0008-0000-0600-000029000000}"/>
            </a:ext>
          </a:extLst>
        </xdr:cNvPr>
        <xdr:cNvSpPr>
          <a:spLocks noChangeArrowheads="1"/>
        </xdr:cNvSpPr>
      </xdr:nvSpPr>
      <xdr:spPr bwMode="auto">
        <a:xfrm>
          <a:off x="3148331" y="15195550"/>
          <a:ext cx="1633219" cy="320675"/>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ctr" rtl="0">
            <a:defRPr sz="1000"/>
          </a:pPr>
          <a:r>
            <a:rPr lang="en-US" sz="1200" b="0" i="0">
              <a:effectLst/>
              <a:latin typeface="Arial" panose="020B0604020202020204" pitchFamily="34" charset="0"/>
              <a:ea typeface="+mn-ea"/>
              <a:cs typeface="Arial" panose="020B0604020202020204" pitchFamily="34" charset="0"/>
            </a:rPr>
            <a:t>Vigie Groupe</a:t>
          </a:r>
          <a:r>
            <a:rPr lang="en-US" sz="1200" b="0" i="0" baseline="0">
              <a:effectLst/>
              <a:latin typeface="Arial" panose="020B0604020202020204" pitchFamily="34" charset="0"/>
              <a:ea typeface="+mn-ea"/>
              <a:cs typeface="Arial" panose="020B0604020202020204" pitchFamily="34" charset="0"/>
            </a:rPr>
            <a:t> S.A.S.</a:t>
          </a:r>
          <a:endParaRPr lang="en-US" sz="1200" b="0" i="0" strike="noStrike">
            <a:solidFill>
              <a:srgbClr val="000000"/>
            </a:solidFill>
            <a:latin typeface="Arial" panose="020B0604020202020204" pitchFamily="34" charset="0"/>
            <a:cs typeface="Arial" panose="020B0604020202020204" pitchFamily="34" charset="0"/>
          </a:endParaRPr>
        </a:p>
      </xdr:txBody>
    </xdr:sp>
    <xdr:clientData/>
  </xdr:twoCellAnchor>
  <xdr:twoCellAnchor>
    <xdr:from>
      <xdr:col>2</xdr:col>
      <xdr:colOff>2470785</xdr:colOff>
      <xdr:row>80</xdr:row>
      <xdr:rowOff>171450</xdr:rowOff>
    </xdr:from>
    <xdr:to>
      <xdr:col>6</xdr:col>
      <xdr:colOff>641350</xdr:colOff>
      <xdr:row>83</xdr:row>
      <xdr:rowOff>63500</xdr:rowOff>
    </xdr:to>
    <xdr:sp macro="" textlink="">
      <xdr:nvSpPr>
        <xdr:cNvPr id="42" name="Rectangle 10">
          <a:extLst>
            <a:ext uri="{FF2B5EF4-FFF2-40B4-BE49-F238E27FC236}">
              <a16:creationId xmlns:a16="http://schemas.microsoft.com/office/drawing/2014/main" id="{00000000-0008-0000-0600-00002A000000}"/>
            </a:ext>
          </a:extLst>
        </xdr:cNvPr>
        <xdr:cNvSpPr>
          <a:spLocks noChangeArrowheads="1"/>
        </xdr:cNvSpPr>
      </xdr:nvSpPr>
      <xdr:spPr bwMode="auto">
        <a:xfrm>
          <a:off x="3032760" y="15840075"/>
          <a:ext cx="1913890" cy="46355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ctr" rtl="0">
            <a:defRPr sz="1000"/>
          </a:pPr>
          <a:r>
            <a:rPr lang="en-US" sz="1200" b="0" i="0" strike="noStrike">
              <a:solidFill>
                <a:srgbClr val="000000"/>
              </a:solidFill>
              <a:latin typeface="Arial"/>
              <a:cs typeface="Arial"/>
            </a:rPr>
            <a:t>Veolia North America (Paramus), Inc.</a:t>
          </a:r>
          <a:endParaRPr lang="en-US" sz="1200" b="1" i="0" strike="noStrike">
            <a:solidFill>
              <a:srgbClr val="000000"/>
            </a:solidFill>
            <a:latin typeface="Arial"/>
            <a:cs typeface="Arial"/>
          </a:endParaRPr>
        </a:p>
      </xdr:txBody>
    </xdr:sp>
    <xdr:clientData/>
  </xdr:twoCellAnchor>
  <xdr:twoCellAnchor>
    <xdr:from>
      <xdr:col>2</xdr:col>
      <xdr:colOff>2470785</xdr:colOff>
      <xdr:row>84</xdr:row>
      <xdr:rowOff>107950</xdr:rowOff>
    </xdr:from>
    <xdr:to>
      <xdr:col>6</xdr:col>
      <xdr:colOff>641350</xdr:colOff>
      <xdr:row>86</xdr:row>
      <xdr:rowOff>76200</xdr:rowOff>
    </xdr:to>
    <xdr:sp macro="" textlink="">
      <xdr:nvSpPr>
        <xdr:cNvPr id="43" name="Rectangle 10">
          <a:extLst>
            <a:ext uri="{FF2B5EF4-FFF2-40B4-BE49-F238E27FC236}">
              <a16:creationId xmlns:a16="http://schemas.microsoft.com/office/drawing/2014/main" id="{00000000-0008-0000-0600-00002B000000}"/>
            </a:ext>
          </a:extLst>
        </xdr:cNvPr>
        <xdr:cNvSpPr>
          <a:spLocks noChangeArrowheads="1"/>
        </xdr:cNvSpPr>
      </xdr:nvSpPr>
      <xdr:spPr bwMode="auto">
        <a:xfrm>
          <a:off x="3032760" y="16538575"/>
          <a:ext cx="1913890" cy="34925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ctr" rtl="0">
            <a:defRPr sz="1000"/>
          </a:pPr>
          <a:r>
            <a:rPr lang="en-US" sz="1200" b="0" i="0" strike="noStrike">
              <a:solidFill>
                <a:srgbClr val="000000"/>
              </a:solidFill>
              <a:latin typeface="Arial"/>
              <a:cs typeface="Arial"/>
            </a:rPr>
            <a:t>Veolia Water USA, Inc.</a:t>
          </a:r>
          <a:endParaRPr lang="en-US" sz="1200" b="1" i="0" strike="noStrike">
            <a:solidFill>
              <a:srgbClr val="000000"/>
            </a:solidFill>
            <a:latin typeface="Arial"/>
            <a:cs typeface="Arial"/>
          </a:endParaRPr>
        </a:p>
      </xdr:txBody>
    </xdr:sp>
    <xdr:clientData/>
  </xdr:twoCellAnchor>
  <xdr:twoCellAnchor>
    <xdr:from>
      <xdr:col>2</xdr:col>
      <xdr:colOff>2477135</xdr:colOff>
      <xdr:row>88</xdr:row>
      <xdr:rowOff>50800</xdr:rowOff>
    </xdr:from>
    <xdr:to>
      <xdr:col>6</xdr:col>
      <xdr:colOff>647700</xdr:colOff>
      <xdr:row>90</xdr:row>
      <xdr:rowOff>19050</xdr:rowOff>
    </xdr:to>
    <xdr:sp macro="" textlink="">
      <xdr:nvSpPr>
        <xdr:cNvPr id="44" name="Rectangle 10">
          <a:extLst>
            <a:ext uri="{FF2B5EF4-FFF2-40B4-BE49-F238E27FC236}">
              <a16:creationId xmlns:a16="http://schemas.microsoft.com/office/drawing/2014/main" id="{00000000-0008-0000-0600-00002C000000}"/>
            </a:ext>
          </a:extLst>
        </xdr:cNvPr>
        <xdr:cNvSpPr>
          <a:spLocks noChangeArrowheads="1"/>
        </xdr:cNvSpPr>
      </xdr:nvSpPr>
      <xdr:spPr bwMode="auto">
        <a:xfrm>
          <a:off x="3039110" y="17243425"/>
          <a:ext cx="1913890" cy="34925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ctr" rtl="0">
            <a:defRPr sz="1000"/>
          </a:pPr>
          <a:r>
            <a:rPr lang="en-US" sz="1200" b="0" i="0" strike="noStrike">
              <a:solidFill>
                <a:srgbClr val="000000"/>
              </a:solidFill>
              <a:latin typeface="Arial"/>
              <a:cs typeface="Arial"/>
            </a:rPr>
            <a:t>Veolia Utility Parent, Inc.</a:t>
          </a:r>
          <a:endParaRPr lang="en-US" sz="1200" b="1" i="0" strike="noStrike">
            <a:solidFill>
              <a:srgbClr val="000000"/>
            </a:solidFill>
            <a:latin typeface="Arial"/>
            <a:cs typeface="Arial"/>
          </a:endParaRPr>
        </a:p>
      </xdr:txBody>
    </xdr:sp>
    <xdr:clientData/>
  </xdr:twoCellAnchor>
  <xdr:twoCellAnchor>
    <xdr:from>
      <xdr:col>2</xdr:col>
      <xdr:colOff>622935</xdr:colOff>
      <xdr:row>85</xdr:row>
      <xdr:rowOff>139700</xdr:rowOff>
    </xdr:from>
    <xdr:to>
      <xdr:col>2</xdr:col>
      <xdr:colOff>1606550</xdr:colOff>
      <xdr:row>87</xdr:row>
      <xdr:rowOff>107950</xdr:rowOff>
    </xdr:to>
    <xdr:sp macro="" textlink="">
      <xdr:nvSpPr>
        <xdr:cNvPr id="45" name="Rectangle 10">
          <a:extLst>
            <a:ext uri="{FF2B5EF4-FFF2-40B4-BE49-F238E27FC236}">
              <a16:creationId xmlns:a16="http://schemas.microsoft.com/office/drawing/2014/main" id="{00000000-0008-0000-0600-00002D000000}"/>
            </a:ext>
          </a:extLst>
        </xdr:cNvPr>
        <xdr:cNvSpPr>
          <a:spLocks noChangeArrowheads="1"/>
        </xdr:cNvSpPr>
      </xdr:nvSpPr>
      <xdr:spPr bwMode="auto">
        <a:xfrm>
          <a:off x="1184910" y="16760825"/>
          <a:ext cx="983615" cy="34925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ctr" rtl="0">
            <a:defRPr sz="1000"/>
          </a:pPr>
          <a:r>
            <a:rPr lang="en-US" sz="1200" b="0" i="0" strike="noStrike">
              <a:solidFill>
                <a:srgbClr val="000000"/>
              </a:solidFill>
              <a:latin typeface="Arial"/>
              <a:cs typeface="Arial"/>
            </a:rPr>
            <a:t>PGGM</a:t>
          </a:r>
          <a:endParaRPr lang="en-US" sz="12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dimension ref="A1:I58"/>
  <sheetViews>
    <sheetView defaultGridColor="0" topLeftCell="A28" colorId="22" zoomScaleNormal="100" workbookViewId="0">
      <selection activeCell="R36" sqref="R36"/>
    </sheetView>
  </sheetViews>
  <sheetFormatPr defaultColWidth="9.77734375" defaultRowHeight="15"/>
  <cols>
    <col min="1" max="9" width="9.77734375" style="1989"/>
  </cols>
  <sheetData>
    <row r="1" spans="1:8" ht="18">
      <c r="A1" s="1988" t="s">
        <v>2027</v>
      </c>
      <c r="B1" s="1988"/>
      <c r="C1" s="1988"/>
      <c r="D1" s="1988"/>
      <c r="E1" s="1988"/>
      <c r="F1" s="1988"/>
      <c r="G1" s="1988"/>
      <c r="H1" s="1988"/>
    </row>
    <row r="2" spans="1:8">
      <c r="A2" s="1990"/>
      <c r="B2" s="1990"/>
      <c r="C2" s="1990"/>
      <c r="D2" s="1990"/>
      <c r="E2" s="1990"/>
      <c r="F2" s="1990"/>
      <c r="G2" s="1990"/>
      <c r="H2" s="1990"/>
    </row>
    <row r="3" spans="1:8" ht="15.75">
      <c r="A3" s="1991" t="s">
        <v>2028</v>
      </c>
      <c r="B3" s="1991"/>
      <c r="C3" s="1991"/>
      <c r="D3" s="1991"/>
      <c r="E3" s="1991"/>
      <c r="F3" s="1991"/>
      <c r="G3" s="1991"/>
      <c r="H3" s="1991"/>
    </row>
    <row r="4" spans="1:8" ht="15.75">
      <c r="A4" s="1992"/>
      <c r="B4" s="1990"/>
      <c r="C4" s="1990"/>
      <c r="D4" s="1990"/>
      <c r="E4" s="1990"/>
      <c r="F4" s="1990"/>
      <c r="G4" s="1990"/>
      <c r="H4" s="1990"/>
    </row>
    <row r="5" spans="1:8">
      <c r="A5" s="1990"/>
      <c r="B5" s="1990"/>
      <c r="C5" s="1990"/>
      <c r="D5" s="1990"/>
      <c r="E5" s="1990"/>
      <c r="F5" s="1990"/>
      <c r="G5" s="1990"/>
      <c r="H5" s="1990"/>
    </row>
    <row r="6" spans="1:8">
      <c r="A6" s="1990"/>
      <c r="B6" s="1990"/>
      <c r="C6" s="1990"/>
      <c r="D6" s="1990"/>
      <c r="E6" s="1990"/>
      <c r="F6" s="1990"/>
      <c r="G6" s="1990"/>
      <c r="H6" s="1990"/>
    </row>
    <row r="7" spans="1:8" ht="15.75">
      <c r="A7" s="1992" t="s">
        <v>2029</v>
      </c>
      <c r="B7" s="1990"/>
      <c r="C7" s="1990"/>
      <c r="D7" s="1990"/>
      <c r="E7" s="1990"/>
      <c r="F7" s="1990"/>
      <c r="G7" s="1990"/>
      <c r="H7" s="1990"/>
    </row>
    <row r="8" spans="1:8" ht="45">
      <c r="A8" s="1990" t="s">
        <v>1072</v>
      </c>
      <c r="B8" s="1990"/>
      <c r="C8" s="1990"/>
      <c r="D8" s="1990"/>
      <c r="E8" s="1990"/>
      <c r="F8" s="1990"/>
      <c r="G8" s="1990"/>
      <c r="H8" s="1990"/>
    </row>
    <row r="9" spans="1:8">
      <c r="A9" s="1990"/>
      <c r="B9" s="1990"/>
      <c r="C9" s="1990"/>
      <c r="D9" s="1990"/>
      <c r="E9" s="1990"/>
      <c r="F9" s="1990"/>
      <c r="G9" s="1990"/>
      <c r="H9" s="1990"/>
    </row>
    <row r="10" spans="1:8" ht="45">
      <c r="A10" s="1990" t="s">
        <v>3654</v>
      </c>
      <c r="B10" s="1990"/>
      <c r="C10" s="1990"/>
      <c r="D10" s="1990"/>
      <c r="E10" s="1990"/>
      <c r="F10" s="1990"/>
      <c r="G10" s="1990"/>
      <c r="H10" s="1990"/>
    </row>
    <row r="11" spans="1:8">
      <c r="A11" s="1990"/>
      <c r="B11" s="1990"/>
      <c r="C11" s="1990"/>
      <c r="D11" s="1990"/>
      <c r="E11" s="1990"/>
      <c r="F11" s="1990"/>
      <c r="G11" s="1990"/>
      <c r="H11" s="1990"/>
    </row>
    <row r="12" spans="1:8" ht="45">
      <c r="A12" s="1990" t="s">
        <v>3655</v>
      </c>
      <c r="B12" s="1990"/>
      <c r="C12" s="1990"/>
      <c r="D12" s="1990"/>
      <c r="E12" s="1990"/>
      <c r="F12" s="1990"/>
      <c r="G12" s="1990"/>
      <c r="H12" s="1990"/>
    </row>
    <row r="13" spans="1:8">
      <c r="A13" s="1990"/>
      <c r="B13" s="1990"/>
      <c r="C13" s="1990"/>
      <c r="D13" s="1990"/>
      <c r="E13" s="1990"/>
      <c r="F13" s="1990"/>
      <c r="G13" s="1990"/>
      <c r="H13" s="1990"/>
    </row>
    <row r="14" spans="1:8" ht="60">
      <c r="A14" s="1990" t="s">
        <v>2601</v>
      </c>
      <c r="B14" s="1990"/>
      <c r="C14" s="1990"/>
      <c r="D14" s="1990"/>
      <c r="E14" s="1990"/>
      <c r="F14" s="1990"/>
      <c r="G14" s="1990"/>
      <c r="H14" s="1990"/>
    </row>
    <row r="15" spans="1:8">
      <c r="A15" s="1990"/>
      <c r="B15" s="1990"/>
      <c r="C15" s="1990"/>
      <c r="D15" s="1990"/>
      <c r="E15" s="1990"/>
      <c r="F15" s="1990"/>
      <c r="G15" s="1990"/>
      <c r="H15" s="1990"/>
    </row>
    <row r="16" spans="1:8" ht="60">
      <c r="A16" s="1990" t="s">
        <v>1716</v>
      </c>
      <c r="B16" s="1990"/>
      <c r="C16" s="1990"/>
      <c r="D16" s="1990"/>
      <c r="E16" s="1990"/>
      <c r="F16" s="1990"/>
      <c r="G16" s="1990"/>
      <c r="H16" s="1990"/>
    </row>
    <row r="17" spans="1:8">
      <c r="A17" s="1990"/>
      <c r="B17" s="1990"/>
      <c r="C17" s="1990"/>
      <c r="D17" s="1990"/>
      <c r="E17" s="1990"/>
      <c r="F17" s="1990"/>
      <c r="G17" s="1990"/>
      <c r="H17" s="1990"/>
    </row>
    <row r="18" spans="1:8">
      <c r="A18" s="1990"/>
      <c r="B18" s="1990"/>
      <c r="C18" s="1990"/>
      <c r="D18" s="1990"/>
      <c r="E18" s="1990"/>
      <c r="F18" s="1990"/>
      <c r="G18" s="1990"/>
      <c r="H18" s="1990"/>
    </row>
    <row r="19" spans="1:8" ht="15.75">
      <c r="A19" s="1992" t="s">
        <v>142</v>
      </c>
      <c r="B19" s="1990"/>
      <c r="C19" s="1990"/>
      <c r="D19" s="1990"/>
      <c r="E19" s="1990"/>
      <c r="F19" s="1990"/>
      <c r="G19" s="1990"/>
      <c r="H19" s="1990"/>
    </row>
    <row r="20" spans="1:8" ht="75">
      <c r="A20" s="1990" t="s">
        <v>2430</v>
      </c>
      <c r="B20" s="1990"/>
      <c r="C20" s="1990"/>
      <c r="D20" s="1990"/>
      <c r="E20" s="1990"/>
      <c r="F20" s="1990"/>
      <c r="G20" s="1990"/>
      <c r="H20" s="1990"/>
    </row>
    <row r="21" spans="1:8">
      <c r="A21" s="1990"/>
      <c r="B21" s="1990"/>
      <c r="C21" s="1990"/>
      <c r="D21" s="1990"/>
      <c r="E21" s="1990"/>
      <c r="F21" s="1990"/>
      <c r="G21" s="1990"/>
      <c r="H21" s="1990"/>
    </row>
    <row r="22" spans="1:8">
      <c r="A22" s="1990"/>
      <c r="B22" s="1990"/>
      <c r="C22" s="1990"/>
      <c r="D22" s="1990"/>
      <c r="E22" s="1990"/>
      <c r="F22" s="1990"/>
      <c r="G22" s="1990"/>
      <c r="H22" s="1990"/>
    </row>
    <row r="23" spans="1:8" ht="15.75">
      <c r="A23" s="1992" t="s">
        <v>1644</v>
      </c>
      <c r="B23" s="1990"/>
      <c r="C23" s="1990"/>
      <c r="D23" s="1990"/>
      <c r="E23" s="1990"/>
      <c r="F23" s="1990"/>
      <c r="G23" s="1990"/>
      <c r="H23" s="1990"/>
    </row>
    <row r="24" spans="1:8" ht="30">
      <c r="A24" s="1990" t="s">
        <v>57</v>
      </c>
      <c r="B24" s="1990"/>
      <c r="C24" s="1990"/>
      <c r="D24" s="1990"/>
      <c r="E24" s="1990"/>
      <c r="F24" s="1990"/>
      <c r="G24" s="1990"/>
      <c r="H24" s="1990"/>
    </row>
    <row r="25" spans="1:8">
      <c r="A25" s="1990"/>
      <c r="B25" s="1990"/>
      <c r="C25" s="1990"/>
      <c r="D25" s="1990"/>
      <c r="E25" s="1990"/>
      <c r="F25" s="1990"/>
      <c r="G25" s="1990"/>
      <c r="H25" s="1990"/>
    </row>
    <row r="26" spans="1:8" ht="15.75">
      <c r="A26" s="1992" t="s">
        <v>1645</v>
      </c>
      <c r="B26" s="1990"/>
      <c r="C26" s="1990"/>
      <c r="D26" s="1990"/>
      <c r="E26" s="1990"/>
      <c r="F26" s="1990"/>
      <c r="G26" s="1990"/>
      <c r="H26" s="1990"/>
    </row>
    <row r="27" spans="1:8" ht="45">
      <c r="A27" s="1990" t="s">
        <v>2091</v>
      </c>
      <c r="B27" s="1990"/>
      <c r="C27" s="1990"/>
      <c r="D27" s="1990"/>
      <c r="E27" s="1990"/>
      <c r="F27" s="1990"/>
      <c r="G27" s="1990"/>
      <c r="H27" s="1990"/>
    </row>
    <row r="28" spans="1:8">
      <c r="A28" s="1990"/>
      <c r="B28" s="1990"/>
      <c r="C28" s="1990"/>
      <c r="D28" s="1990"/>
      <c r="E28" s="1990"/>
      <c r="F28" s="1990"/>
      <c r="G28" s="1990"/>
      <c r="H28" s="1990"/>
    </row>
    <row r="29" spans="1:8" ht="15.75">
      <c r="A29" s="1992" t="s">
        <v>1024</v>
      </c>
      <c r="B29" s="1990"/>
      <c r="C29" s="1990"/>
      <c r="D29" s="1990"/>
      <c r="E29" s="1990"/>
      <c r="F29" s="1990"/>
      <c r="G29" s="1990"/>
      <c r="H29" s="1990"/>
    </row>
    <row r="30" spans="1:8" ht="60">
      <c r="A30" s="1990" t="s">
        <v>4263</v>
      </c>
      <c r="B30" s="1990"/>
      <c r="C30" s="1990"/>
      <c r="D30" s="1990"/>
      <c r="E30" s="1990"/>
      <c r="F30" s="1990"/>
      <c r="G30" s="1990"/>
      <c r="H30" s="1990"/>
    </row>
    <row r="31" spans="1:8">
      <c r="A31" s="1990"/>
      <c r="B31" s="1990"/>
      <c r="C31" s="1990"/>
      <c r="D31" s="1990"/>
      <c r="E31" s="1990"/>
      <c r="F31" s="1990"/>
      <c r="G31" s="1990"/>
      <c r="H31" s="1990"/>
    </row>
    <row r="32" spans="1:8">
      <c r="A32" s="1990"/>
      <c r="B32" s="1990"/>
      <c r="C32" s="1990"/>
      <c r="D32" s="1990"/>
      <c r="E32" s="1990"/>
      <c r="F32" s="1990"/>
      <c r="G32" s="1990"/>
      <c r="H32" s="1990"/>
    </row>
    <row r="33" spans="1:7" ht="15.75">
      <c r="B33" s="1993"/>
      <c r="C33" s="1994" t="s">
        <v>4264</v>
      </c>
      <c r="D33" s="1995"/>
      <c r="E33" s="1994"/>
      <c r="F33" s="1996"/>
      <c r="G33" s="1993"/>
    </row>
    <row r="34" spans="1:7" ht="15.75">
      <c r="A34" s="1997" t="s">
        <v>1025</v>
      </c>
      <c r="B34" s="1996"/>
      <c r="C34" s="1997" t="s">
        <v>1026</v>
      </c>
      <c r="D34" s="1995"/>
      <c r="E34" s="1997"/>
      <c r="F34" s="1995"/>
    </row>
    <row r="35" spans="1:7" ht="18">
      <c r="A35" s="1998" t="s">
        <v>4269</v>
      </c>
      <c r="B35" s="1996"/>
      <c r="C35" s="1997"/>
      <c r="D35" s="1999" t="s">
        <v>4270</v>
      </c>
      <c r="E35" s="1997"/>
      <c r="F35" s="1995"/>
    </row>
    <row r="36" spans="1:7" ht="18">
      <c r="A36" s="2000" t="s">
        <v>626</v>
      </c>
      <c r="D36" s="1989" t="s">
        <v>4265</v>
      </c>
    </row>
    <row r="37" spans="1:7" ht="18">
      <c r="A37" s="2000" t="s">
        <v>627</v>
      </c>
      <c r="D37" s="1989" t="s">
        <v>4266</v>
      </c>
    </row>
    <row r="38" spans="1:7" ht="18">
      <c r="A38" s="2000" t="s">
        <v>628</v>
      </c>
      <c r="D38" s="1989" t="s">
        <v>4267</v>
      </c>
    </row>
    <row r="39" spans="1:7" ht="18">
      <c r="A39" s="2000" t="s">
        <v>629</v>
      </c>
      <c r="D39" s="1989" t="s">
        <v>4268</v>
      </c>
    </row>
    <row r="40" spans="1:7" ht="18">
      <c r="A40" s="2000" t="s">
        <v>630</v>
      </c>
      <c r="D40" s="1989" t="s">
        <v>4667</v>
      </c>
    </row>
    <row r="41" spans="1:7" ht="18">
      <c r="A41" s="2000" t="s">
        <v>631</v>
      </c>
      <c r="D41" s="1989" t="s">
        <v>4668</v>
      </c>
    </row>
    <row r="42" spans="1:7" ht="18">
      <c r="A42" s="2000" t="s">
        <v>2006</v>
      </c>
      <c r="D42" s="1989" t="s">
        <v>4669</v>
      </c>
    </row>
    <row r="43" spans="1:7">
      <c r="A43" s="1990"/>
      <c r="B43" s="1990"/>
      <c r="C43" s="1990"/>
      <c r="D43" s="1990"/>
      <c r="E43" s="1990"/>
      <c r="F43" s="1990"/>
      <c r="G43" s="1990"/>
    </row>
    <row r="44" spans="1:7">
      <c r="A44" s="1990"/>
      <c r="B44" s="1990"/>
      <c r="C44" s="1990"/>
      <c r="D44" s="1990"/>
      <c r="E44" s="1990"/>
      <c r="F44" s="1990"/>
      <c r="G44" s="1990"/>
    </row>
    <row r="45" spans="1:7">
      <c r="A45" s="1990"/>
      <c r="B45" s="1990"/>
      <c r="C45" s="1990"/>
      <c r="D45" s="1990"/>
      <c r="E45" s="1990"/>
      <c r="F45" s="1990"/>
      <c r="G45" s="1990"/>
    </row>
    <row r="46" spans="1:7">
      <c r="A46" s="1990"/>
      <c r="B46" s="1990"/>
      <c r="C46" s="1990"/>
      <c r="D46" s="1990"/>
      <c r="E46" s="1990"/>
      <c r="F46" s="1990"/>
      <c r="G46" s="1990"/>
    </row>
    <row r="47" spans="1:7">
      <c r="A47" s="1990"/>
      <c r="B47" s="1990"/>
      <c r="C47" s="1990"/>
      <c r="D47" s="1990"/>
      <c r="E47" s="1990"/>
      <c r="F47" s="1990"/>
      <c r="G47" s="1990"/>
    </row>
    <row r="48" spans="1:7">
      <c r="A48" s="1990"/>
      <c r="B48" s="1990"/>
      <c r="C48" s="1990"/>
      <c r="D48" s="1990"/>
      <c r="E48" s="1990"/>
      <c r="F48" s="1990"/>
      <c r="G48" s="1990"/>
    </row>
    <row r="49" spans="1:7">
      <c r="A49" s="1996"/>
      <c r="C49" s="1990"/>
      <c r="D49" s="1990"/>
      <c r="E49" s="1990"/>
      <c r="F49" s="1990"/>
      <c r="G49" s="1990"/>
    </row>
    <row r="50" spans="1:7">
      <c r="A50" s="1996"/>
      <c r="C50" s="1990"/>
      <c r="D50" s="1990"/>
      <c r="E50" s="1990"/>
      <c r="F50" s="1990"/>
      <c r="G50" s="1990"/>
    </row>
    <row r="51" spans="1:7">
      <c r="A51" s="1996"/>
      <c r="C51" s="1990"/>
      <c r="D51" s="1990"/>
      <c r="E51" s="1990"/>
      <c r="F51" s="1990"/>
      <c r="G51" s="1990"/>
    </row>
    <row r="52" spans="1:7">
      <c r="A52" s="1996"/>
      <c r="C52" s="1990"/>
      <c r="D52" s="1990"/>
      <c r="E52" s="1990"/>
      <c r="F52" s="1990"/>
      <c r="G52" s="1990"/>
    </row>
    <row r="53" spans="1:7">
      <c r="A53" s="1996"/>
      <c r="C53" s="1990"/>
      <c r="D53" s="1990"/>
      <c r="E53" s="1990"/>
      <c r="F53" s="1990"/>
      <c r="G53" s="1990"/>
    </row>
    <row r="54" spans="1:7">
      <c r="A54" s="1996"/>
      <c r="C54" s="1990"/>
      <c r="D54" s="1990"/>
      <c r="E54" s="1990"/>
      <c r="F54" s="1990"/>
      <c r="G54" s="1990"/>
    </row>
    <row r="55" spans="1:7">
      <c r="A55" s="1996"/>
      <c r="C55" s="1990"/>
      <c r="D55" s="1990"/>
      <c r="E55" s="1990"/>
      <c r="F55" s="1990"/>
      <c r="G55" s="1990"/>
    </row>
    <row r="56" spans="1:7">
      <c r="C56" s="1990"/>
      <c r="D56" s="1990"/>
      <c r="E56" s="1990"/>
      <c r="F56" s="1990"/>
      <c r="G56" s="1990"/>
    </row>
    <row r="57" spans="1:7">
      <c r="A57" s="1996"/>
      <c r="C57" s="1990"/>
      <c r="D57" s="1990"/>
      <c r="E57" s="1990"/>
      <c r="F57" s="1990"/>
      <c r="G57" s="1990"/>
    </row>
    <row r="58" spans="1:7">
      <c r="A58" s="1996"/>
      <c r="C58" s="1990"/>
      <c r="D58" s="1990"/>
      <c r="E58" s="1990"/>
      <c r="F58" s="1990"/>
      <c r="G58" s="1990"/>
    </row>
  </sheetData>
  <phoneticPr fontId="0" type="noConversion"/>
  <printOptions horizontalCentered="1" verticalCentered="1"/>
  <pageMargins left="0.4" right="0.4" top="0.3" bottom="0.3" header="0" footer="0"/>
  <pageSetup scale="82" orientation="portrait" r:id="rId1"/>
  <headerFooter alignWithMargins="0"/>
  <rowBreaks count="1" manualBreakCount="1">
    <brk id="2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codeName="Sheet10"/>
  <dimension ref="A1:L124"/>
  <sheetViews>
    <sheetView defaultGridColor="0" colorId="22" zoomScale="87" zoomScaleNormal="87" workbookViewId="0">
      <pane ySplit="4" topLeftCell="A5" activePane="bottomLeft" state="frozen"/>
      <selection activeCell="R36" sqref="R36"/>
      <selection pane="bottomLeft" activeCell="F49" sqref="F49"/>
    </sheetView>
  </sheetViews>
  <sheetFormatPr defaultColWidth="9.77734375" defaultRowHeight="15"/>
  <cols>
    <col min="1" max="1" width="2.109375" customWidth="1"/>
    <col min="2" max="2" width="47" customWidth="1"/>
    <col min="3" max="3" width="2.77734375" customWidth="1"/>
    <col min="4" max="4" width="1.77734375" customWidth="1"/>
    <col min="5" max="5" width="15.5546875" customWidth="1"/>
    <col min="6" max="6" width="19.5546875" customWidth="1"/>
    <col min="7" max="7" width="14.5546875" customWidth="1"/>
    <col min="10" max="10" width="46.77734375" customWidth="1"/>
  </cols>
  <sheetData>
    <row r="1" spans="1:12" ht="15.75" thickBot="1">
      <c r="A1" t="str">
        <f>'Data sheet'!A59</f>
        <v>Annual Report of Veolia Water New York, Inc.                                                             Year Ended  December 31, 2023</v>
      </c>
    </row>
    <row r="2" spans="1:12">
      <c r="A2" s="155"/>
      <c r="B2" s="156"/>
      <c r="C2" s="156"/>
      <c r="D2" s="156"/>
      <c r="E2" s="156"/>
      <c r="F2" s="156"/>
      <c r="G2" s="157"/>
    </row>
    <row r="3" spans="1:12" ht="15.75">
      <c r="A3" s="158" t="s">
        <v>3267</v>
      </c>
      <c r="B3" s="159"/>
      <c r="C3" s="159"/>
      <c r="D3" s="159"/>
      <c r="E3" s="159"/>
      <c r="F3" s="159"/>
      <c r="G3" s="160"/>
    </row>
    <row r="4" spans="1:12">
      <c r="A4" s="161"/>
      <c r="B4" s="162"/>
      <c r="C4" s="162"/>
      <c r="D4" s="162"/>
      <c r="E4" s="162"/>
      <c r="F4" s="162"/>
      <c r="G4" s="163"/>
    </row>
    <row r="5" spans="1:12">
      <c r="A5" s="165"/>
      <c r="B5" s="1055" t="s">
        <v>3268</v>
      </c>
      <c r="C5" s="166" t="s">
        <v>233</v>
      </c>
      <c r="D5" s="1055" t="s">
        <v>4187</v>
      </c>
      <c r="E5" s="166"/>
      <c r="F5" s="166"/>
      <c r="G5" s="167"/>
      <c r="K5" s="166"/>
      <c r="L5" s="166"/>
    </row>
    <row r="6" spans="1:12">
      <c r="A6" s="165"/>
      <c r="B6" s="1055" t="s">
        <v>1553</v>
      </c>
      <c r="C6" s="166"/>
      <c r="D6" s="1055" t="s">
        <v>1554</v>
      </c>
      <c r="E6" s="166"/>
      <c r="F6" s="166"/>
      <c r="G6" s="167"/>
      <c r="K6" s="166"/>
      <c r="L6" s="166"/>
    </row>
    <row r="7" spans="1:12">
      <c r="A7" s="165"/>
      <c r="B7" s="1055" t="s">
        <v>1841</v>
      </c>
      <c r="C7" s="166"/>
      <c r="D7" s="1055" t="s">
        <v>1842</v>
      </c>
      <c r="E7" s="166"/>
      <c r="F7" s="166"/>
      <c r="G7" s="167"/>
      <c r="K7" s="166"/>
      <c r="L7" s="166"/>
    </row>
    <row r="8" spans="1:12">
      <c r="A8" s="165"/>
      <c r="B8" s="1055" t="s">
        <v>3358</v>
      </c>
      <c r="C8" s="166"/>
      <c r="D8" s="1055" t="s">
        <v>3359</v>
      </c>
      <c r="E8" s="166"/>
      <c r="F8" s="166"/>
      <c r="G8" s="199"/>
      <c r="K8" s="166"/>
      <c r="L8" s="166"/>
    </row>
    <row r="9" spans="1:12">
      <c r="A9" s="165"/>
      <c r="B9" s="1055" t="s">
        <v>3360</v>
      </c>
      <c r="C9" s="166"/>
      <c r="D9" s="1055" t="s">
        <v>3361</v>
      </c>
      <c r="E9" s="166"/>
      <c r="F9" s="166"/>
      <c r="G9" s="167"/>
      <c r="K9" s="166"/>
      <c r="L9" s="166"/>
    </row>
    <row r="10" spans="1:12">
      <c r="A10" s="165"/>
      <c r="B10" s="1055" t="s">
        <v>3031</v>
      </c>
      <c r="C10" s="166"/>
      <c r="D10" s="1055" t="s">
        <v>3032</v>
      </c>
      <c r="E10" s="166"/>
      <c r="F10" s="166"/>
      <c r="G10" s="167"/>
      <c r="K10" s="166"/>
      <c r="L10" s="166"/>
    </row>
    <row r="11" spans="1:12">
      <c r="A11" s="165"/>
      <c r="B11" s="1055" t="s">
        <v>3033</v>
      </c>
      <c r="C11" s="166"/>
      <c r="D11" s="1055" t="s">
        <v>3034</v>
      </c>
      <c r="E11" s="166"/>
      <c r="F11" s="200"/>
      <c r="G11" s="201"/>
    </row>
    <row r="12" spans="1:12">
      <c r="A12" s="165"/>
      <c r="B12" s="1055" t="s">
        <v>1883</v>
      </c>
      <c r="C12" s="166"/>
      <c r="D12" s="1055" t="s">
        <v>1884</v>
      </c>
      <c r="E12" s="166"/>
      <c r="F12" s="200"/>
      <c r="G12" s="201"/>
    </row>
    <row r="13" spans="1:12">
      <c r="A13" s="165"/>
      <c r="B13" s="1055" t="s">
        <v>1885</v>
      </c>
      <c r="C13" s="166"/>
      <c r="D13" s="1055" t="s">
        <v>2271</v>
      </c>
      <c r="E13" s="166"/>
      <c r="F13" s="200"/>
      <c r="G13" s="201"/>
    </row>
    <row r="14" spans="1:12">
      <c r="A14" s="165"/>
      <c r="B14" s="1055" t="s">
        <v>2272</v>
      </c>
      <c r="C14" s="166"/>
      <c r="D14" s="1055" t="s">
        <v>2273</v>
      </c>
      <c r="E14" s="166"/>
      <c r="F14" s="200"/>
      <c r="G14" s="201"/>
    </row>
    <row r="15" spans="1:12">
      <c r="A15" s="165"/>
      <c r="B15" s="1055" t="s">
        <v>2274</v>
      </c>
      <c r="C15" s="166"/>
      <c r="D15" s="1055" t="s">
        <v>1476</v>
      </c>
      <c r="E15" s="166"/>
      <c r="F15" s="200"/>
      <c r="G15" s="201"/>
    </row>
    <row r="16" spans="1:12">
      <c r="A16" s="165"/>
      <c r="B16" s="1055" t="s">
        <v>1477</v>
      </c>
      <c r="C16" s="166"/>
      <c r="D16" s="1055" t="s">
        <v>3651</v>
      </c>
      <c r="E16" s="166"/>
      <c r="F16" s="166"/>
      <c r="G16" s="167"/>
    </row>
    <row r="17" spans="1:7">
      <c r="A17" s="165"/>
      <c r="B17" s="1055" t="s">
        <v>3652</v>
      </c>
      <c r="C17" s="166"/>
      <c r="D17" s="1055" t="s">
        <v>3653</v>
      </c>
      <c r="E17" s="166"/>
      <c r="F17" s="166"/>
      <c r="G17" s="167"/>
    </row>
    <row r="18" spans="1:7">
      <c r="A18" s="165"/>
      <c r="B18" s="1055" t="s">
        <v>1400</v>
      </c>
      <c r="C18" s="166"/>
      <c r="D18" s="1055" t="s">
        <v>1401</v>
      </c>
      <c r="E18" s="168"/>
      <c r="F18" s="202"/>
      <c r="G18" s="203"/>
    </row>
    <row r="19" spans="1:7">
      <c r="A19" s="165"/>
      <c r="B19" s="1055" t="s">
        <v>520</v>
      </c>
      <c r="C19" s="166"/>
      <c r="D19" s="1055" t="s">
        <v>521</v>
      </c>
      <c r="E19" s="168"/>
      <c r="F19" s="202"/>
      <c r="G19" s="203"/>
    </row>
    <row r="20" spans="1:7">
      <c r="A20" s="165"/>
      <c r="B20" s="1055" t="s">
        <v>3701</v>
      </c>
      <c r="C20" s="166"/>
      <c r="D20" s="1055" t="s">
        <v>2617</v>
      </c>
      <c r="E20" s="168"/>
      <c r="F20" s="202"/>
      <c r="G20" s="203"/>
    </row>
    <row r="21" spans="1:7">
      <c r="A21" s="165"/>
      <c r="B21" s="168" t="s">
        <v>3818</v>
      </c>
      <c r="C21" s="166"/>
      <c r="D21" s="1055" t="s">
        <v>3819</v>
      </c>
      <c r="E21" s="168"/>
      <c r="F21" s="202"/>
      <c r="G21" s="203"/>
    </row>
    <row r="22" spans="1:7">
      <c r="A22" s="165"/>
      <c r="B22" s="1055" t="s">
        <v>4021</v>
      </c>
      <c r="C22" s="166"/>
      <c r="D22" s="1055" t="s">
        <v>4022</v>
      </c>
      <c r="E22" s="168"/>
      <c r="F22" s="202"/>
      <c r="G22" s="203"/>
    </row>
    <row r="23" spans="1:7">
      <c r="A23" s="165"/>
      <c r="B23" s="1055" t="s">
        <v>4023</v>
      </c>
      <c r="C23" s="166"/>
      <c r="D23" s="1055" t="s">
        <v>4348</v>
      </c>
      <c r="E23" s="168"/>
      <c r="F23" s="202"/>
      <c r="G23" s="203"/>
    </row>
    <row r="24" spans="1:7">
      <c r="A24" s="165"/>
      <c r="B24" s="1055" t="s">
        <v>4349</v>
      </c>
      <c r="C24" s="168"/>
      <c r="D24" s="1055" t="s">
        <v>4350</v>
      </c>
      <c r="E24" s="1055"/>
      <c r="F24" s="202"/>
      <c r="G24" s="203"/>
    </row>
    <row r="25" spans="1:7">
      <c r="A25" s="165"/>
      <c r="B25" s="1055" t="s">
        <v>2473</v>
      </c>
      <c r="C25" s="166"/>
      <c r="D25" s="1055" t="s">
        <v>2474</v>
      </c>
      <c r="E25" s="168"/>
      <c r="F25" s="202"/>
      <c r="G25" s="203"/>
    </row>
    <row r="26" spans="1:7">
      <c r="A26" s="165"/>
      <c r="B26" s="1055" t="s">
        <v>2475</v>
      </c>
      <c r="C26" s="166"/>
      <c r="D26" s="166"/>
      <c r="E26" s="168"/>
      <c r="F26" s="202"/>
      <c r="G26" s="203"/>
    </row>
    <row r="27" spans="1:7">
      <c r="A27" s="165"/>
      <c r="B27" s="1055"/>
      <c r="C27" s="166"/>
      <c r="D27" s="166"/>
      <c r="E27" s="168"/>
      <c r="F27" s="202"/>
      <c r="G27" s="203"/>
    </row>
    <row r="28" spans="1:7">
      <c r="A28" s="165"/>
      <c r="B28" s="1055"/>
      <c r="C28" s="166"/>
      <c r="D28" s="166"/>
      <c r="E28" s="168"/>
      <c r="F28" s="202"/>
      <c r="G28" s="203"/>
    </row>
    <row r="29" spans="1:7">
      <c r="A29" s="165"/>
      <c r="B29" s="1055"/>
      <c r="C29" s="166"/>
      <c r="D29" s="166"/>
      <c r="E29" s="168"/>
      <c r="F29" s="202"/>
      <c r="G29" s="203"/>
    </row>
    <row r="30" spans="1:7">
      <c r="A30" s="165"/>
      <c r="B30" s="1055"/>
      <c r="C30" s="166"/>
      <c r="D30" s="166"/>
      <c r="E30" s="168"/>
      <c r="F30" s="202"/>
      <c r="G30" s="203"/>
    </row>
    <row r="31" spans="1:7">
      <c r="A31" s="165"/>
      <c r="B31" s="1055" t="s">
        <v>1854</v>
      </c>
      <c r="C31" s="166"/>
      <c r="D31" s="1055" t="s">
        <v>1855</v>
      </c>
      <c r="E31" s="1055"/>
      <c r="F31" s="202"/>
      <c r="G31" s="203"/>
    </row>
    <row r="32" spans="1:7">
      <c r="A32" s="165"/>
      <c r="B32" s="1055" t="s">
        <v>1856</v>
      </c>
      <c r="C32" s="166"/>
      <c r="D32" s="1055" t="s">
        <v>424</v>
      </c>
      <c r="E32" s="1055"/>
      <c r="F32" s="202"/>
      <c r="G32" s="203"/>
    </row>
    <row r="33" spans="1:7">
      <c r="A33" s="165"/>
      <c r="B33" s="1055" t="s">
        <v>425</v>
      </c>
      <c r="C33" s="166"/>
      <c r="D33" s="1055" t="s">
        <v>426</v>
      </c>
      <c r="E33" s="1055"/>
      <c r="F33" s="202"/>
      <c r="G33" s="203"/>
    </row>
    <row r="34" spans="1:7">
      <c r="A34" s="165"/>
      <c r="B34" s="1055" t="s">
        <v>3616</v>
      </c>
      <c r="C34" s="166"/>
      <c r="D34" s="1055" t="s">
        <v>1446</v>
      </c>
      <c r="E34" s="1055"/>
      <c r="F34" s="202"/>
      <c r="G34" s="203"/>
    </row>
    <row r="35" spans="1:7">
      <c r="A35" s="165"/>
      <c r="B35" s="1055" t="s">
        <v>1447</v>
      </c>
      <c r="C35" s="166"/>
      <c r="D35" s="1055" t="s">
        <v>16</v>
      </c>
      <c r="E35" s="1055"/>
      <c r="F35" s="202"/>
      <c r="G35" s="203"/>
    </row>
    <row r="36" spans="1:7">
      <c r="A36" s="165"/>
      <c r="B36" s="1055" t="s">
        <v>17</v>
      </c>
      <c r="C36" s="166"/>
      <c r="D36" s="1055"/>
      <c r="E36" s="1055"/>
      <c r="F36" s="202"/>
      <c r="G36" s="203"/>
    </row>
    <row r="37" spans="1:7">
      <c r="A37" s="169"/>
      <c r="B37" s="1056"/>
      <c r="C37" s="171"/>
      <c r="D37" s="171"/>
      <c r="E37" s="170"/>
      <c r="F37" s="204"/>
      <c r="G37" s="205"/>
    </row>
    <row r="38" spans="1:7">
      <c r="A38" s="165"/>
      <c r="B38" s="159"/>
      <c r="C38" s="159"/>
      <c r="D38" s="159"/>
      <c r="E38" s="177"/>
      <c r="F38" s="206"/>
      <c r="G38" s="207"/>
    </row>
    <row r="39" spans="1:7">
      <c r="A39" s="165"/>
      <c r="B39" s="191" t="s">
        <v>3005</v>
      </c>
      <c r="C39" s="159"/>
      <c r="D39" s="159"/>
      <c r="E39" s="177"/>
      <c r="F39" s="206"/>
      <c r="G39" s="207"/>
    </row>
    <row r="40" spans="1:7">
      <c r="A40" s="165"/>
      <c r="B40" s="191"/>
      <c r="C40" s="159"/>
      <c r="D40" s="159"/>
      <c r="E40" s="177"/>
      <c r="F40" s="206"/>
      <c r="G40" s="207"/>
    </row>
    <row r="41" spans="1:7">
      <c r="A41" s="165"/>
      <c r="B41" s="2679" t="s">
        <v>5319</v>
      </c>
      <c r="C41" s="159"/>
      <c r="D41" s="159"/>
      <c r="E41" s="177"/>
      <c r="F41" s="206"/>
      <c r="G41" s="207"/>
    </row>
    <row r="42" spans="1:7">
      <c r="A42" s="165"/>
      <c r="B42" s="191" t="s">
        <v>5320</v>
      </c>
      <c r="C42" s="159"/>
      <c r="D42" s="159"/>
      <c r="E42" s="177"/>
      <c r="F42" s="206"/>
      <c r="G42" s="207"/>
    </row>
    <row r="43" spans="1:7">
      <c r="A43" s="165"/>
      <c r="B43" s="191" t="s">
        <v>5321</v>
      </c>
      <c r="C43" s="159"/>
      <c r="D43" s="159"/>
      <c r="E43" s="177"/>
      <c r="F43" s="206"/>
      <c r="G43" s="207"/>
    </row>
    <row r="44" spans="1:7">
      <c r="A44" s="165"/>
      <c r="B44" s="191"/>
      <c r="C44" s="159"/>
      <c r="D44" s="159"/>
      <c r="E44" s="177"/>
      <c r="F44" s="206"/>
      <c r="G44" s="207"/>
    </row>
    <row r="45" spans="1:7">
      <c r="A45" s="165"/>
      <c r="B45" s="191" t="s">
        <v>4962</v>
      </c>
      <c r="C45" s="159"/>
      <c r="D45" s="159"/>
      <c r="E45" s="177"/>
      <c r="F45" s="206"/>
      <c r="G45" s="207"/>
    </row>
    <row r="46" spans="1:7">
      <c r="A46" s="165"/>
      <c r="B46" s="191"/>
      <c r="C46" s="159"/>
      <c r="D46" s="159"/>
      <c r="E46" s="177"/>
      <c r="F46" s="206"/>
      <c r="G46" s="207"/>
    </row>
    <row r="47" spans="1:7">
      <c r="A47" s="165"/>
      <c r="B47" s="191" t="s">
        <v>3006</v>
      </c>
      <c r="C47" s="159"/>
      <c r="D47" s="159"/>
      <c r="E47" s="177"/>
      <c r="F47" s="206"/>
      <c r="G47" s="207"/>
    </row>
    <row r="48" spans="1:7">
      <c r="A48" s="165"/>
      <c r="B48" s="191"/>
      <c r="D48" s="159"/>
      <c r="E48" s="159"/>
      <c r="F48" s="177"/>
      <c r="G48" s="207"/>
    </row>
    <row r="49" spans="1:7">
      <c r="A49" s="165"/>
      <c r="B49" s="191" t="s">
        <v>4369</v>
      </c>
      <c r="D49" s="159"/>
      <c r="E49" s="159"/>
      <c r="F49" s="177"/>
      <c r="G49" s="207"/>
    </row>
    <row r="50" spans="1:7">
      <c r="A50" s="165"/>
      <c r="B50" s="177"/>
      <c r="D50" s="159"/>
      <c r="E50" s="159"/>
      <c r="F50" s="177"/>
      <c r="G50" s="207"/>
    </row>
    <row r="51" spans="1:7">
      <c r="A51" s="165"/>
      <c r="B51" s="177" t="s">
        <v>4600</v>
      </c>
      <c r="D51" s="159"/>
      <c r="E51" s="159"/>
      <c r="F51" s="177"/>
      <c r="G51" s="207"/>
    </row>
    <row r="52" spans="1:7">
      <c r="A52" s="165"/>
      <c r="B52" s="177"/>
      <c r="D52" s="159"/>
      <c r="E52" s="159"/>
      <c r="F52" s="177"/>
      <c r="G52" s="207"/>
    </row>
    <row r="53" spans="1:7">
      <c r="A53" s="165"/>
      <c r="B53" s="177" t="s">
        <v>5322</v>
      </c>
      <c r="D53" s="159"/>
      <c r="E53" s="159"/>
      <c r="F53" s="177"/>
      <c r="G53" s="207"/>
    </row>
    <row r="54" spans="1:7">
      <c r="A54" s="165"/>
      <c r="B54" s="177"/>
      <c r="D54" s="159"/>
      <c r="E54" s="159"/>
      <c r="F54" s="177"/>
      <c r="G54" s="207"/>
    </row>
    <row r="55" spans="1:7">
      <c r="A55" s="165"/>
      <c r="B55" s="177" t="s">
        <v>5323</v>
      </c>
      <c r="C55" s="159"/>
      <c r="D55" s="159"/>
      <c r="E55" s="177"/>
      <c r="F55" s="206"/>
      <c r="G55" s="207"/>
    </row>
    <row r="56" spans="1:7">
      <c r="A56" s="165"/>
      <c r="B56" s="177"/>
      <c r="C56" s="159"/>
      <c r="D56" s="159"/>
      <c r="E56" s="177"/>
      <c r="F56" s="206"/>
      <c r="G56" s="207"/>
    </row>
    <row r="57" spans="1:7">
      <c r="A57" s="165"/>
      <c r="B57" s="177"/>
      <c r="C57" s="159"/>
      <c r="D57" s="159"/>
      <c r="E57" s="177"/>
      <c r="F57" s="206"/>
      <c r="G57" s="207"/>
    </row>
    <row r="58" spans="1:7">
      <c r="A58" s="165"/>
      <c r="B58" s="177"/>
      <c r="C58" s="159"/>
      <c r="D58" s="159"/>
      <c r="E58" s="177"/>
      <c r="F58" s="206"/>
      <c r="G58" s="207"/>
    </row>
    <row r="59" spans="1:7" ht="15.75" thickBot="1">
      <c r="A59" s="208"/>
      <c r="B59" s="196"/>
      <c r="C59" s="209"/>
      <c r="D59" s="209"/>
      <c r="E59" s="196"/>
      <c r="F59" s="210"/>
      <c r="G59" s="211"/>
    </row>
    <row r="60" spans="1:7">
      <c r="A60" s="177" t="s">
        <v>2024</v>
      </c>
      <c r="B60" s="177"/>
      <c r="C60" s="159"/>
      <c r="D60" s="159"/>
      <c r="E60" s="177"/>
      <c r="F60" s="206"/>
      <c r="G60" s="206"/>
    </row>
    <row r="61" spans="1:7">
      <c r="A61" s="2852" t="s">
        <v>18</v>
      </c>
      <c r="B61" s="2852"/>
      <c r="C61" s="2852"/>
      <c r="D61" s="2852"/>
      <c r="E61" s="2852"/>
      <c r="F61" s="2852"/>
      <c r="G61" s="2852"/>
    </row>
    <row r="62" spans="1:7" ht="15.75" thickBot="1">
      <c r="A62" t="str">
        <f>'Data sheet'!A59</f>
        <v>Annual Report of Veolia Water New York, Inc.                                                             Year Ended  December 31, 2023</v>
      </c>
    </row>
    <row r="63" spans="1:7">
      <c r="A63" s="155"/>
      <c r="B63" s="156"/>
      <c r="C63" s="156"/>
      <c r="D63" s="156"/>
      <c r="E63" s="156"/>
      <c r="F63" s="156"/>
      <c r="G63" s="157"/>
    </row>
    <row r="64" spans="1:7" ht="15.75">
      <c r="A64" s="158" t="s">
        <v>772</v>
      </c>
      <c r="B64" s="159"/>
      <c r="C64" s="159"/>
      <c r="D64" s="159"/>
      <c r="E64" s="159"/>
      <c r="F64" s="159"/>
      <c r="G64" s="160"/>
    </row>
    <row r="65" spans="1:10">
      <c r="A65" s="161"/>
      <c r="B65" s="162"/>
      <c r="C65" s="162"/>
      <c r="D65" s="162"/>
      <c r="E65" s="162"/>
      <c r="F65" s="162"/>
      <c r="G65" s="163"/>
    </row>
    <row r="66" spans="1:10">
      <c r="A66" s="83"/>
      <c r="B66" s="4"/>
      <c r="C66" s="4"/>
      <c r="D66" s="4"/>
      <c r="E66" s="4"/>
      <c r="F66" s="4"/>
      <c r="G66" s="119"/>
    </row>
    <row r="67" spans="1:10">
      <c r="A67" s="2535"/>
      <c r="B67" s="977">
        <v>9</v>
      </c>
      <c r="C67" s="5"/>
      <c r="D67" s="5"/>
      <c r="E67" s="5"/>
      <c r="F67" s="5"/>
      <c r="G67" s="132"/>
    </row>
    <row r="68" spans="1:10">
      <c r="A68" s="165"/>
      <c r="B68" s="86" t="s">
        <v>5318</v>
      </c>
      <c r="C68" s="86"/>
      <c r="D68" s="86"/>
      <c r="E68" s="86"/>
      <c r="F68" s="86"/>
      <c r="G68" s="132"/>
    </row>
    <row r="69" spans="1:10">
      <c r="A69" s="85"/>
      <c r="B69" s="86" t="s">
        <v>4745</v>
      </c>
      <c r="C69" s="86"/>
      <c r="D69" s="86"/>
      <c r="E69" s="86"/>
      <c r="F69" s="86"/>
      <c r="G69" s="132"/>
    </row>
    <row r="70" spans="1:10">
      <c r="A70" s="85"/>
      <c r="B70" s="86" t="s">
        <v>4746</v>
      </c>
      <c r="C70" s="86"/>
      <c r="D70" s="86"/>
      <c r="E70" s="86"/>
      <c r="F70" s="86"/>
      <c r="G70" s="132"/>
    </row>
    <row r="71" spans="1:10">
      <c r="A71" s="85"/>
      <c r="B71" s="86"/>
      <c r="C71" s="86"/>
      <c r="D71" s="86"/>
      <c r="E71" s="86"/>
      <c r="F71" s="86"/>
      <c r="G71" s="132"/>
    </row>
    <row r="72" spans="1:10" s="86" customFormat="1">
      <c r="A72" s="85"/>
      <c r="C72" s="5"/>
      <c r="D72" s="5"/>
      <c r="E72" s="5"/>
      <c r="F72" s="5"/>
      <c r="G72" s="132"/>
      <c r="H72"/>
      <c r="I72"/>
      <c r="J72"/>
    </row>
    <row r="73" spans="1:10" s="86" customFormat="1">
      <c r="A73" s="85"/>
      <c r="C73" s="5"/>
      <c r="D73" s="5"/>
      <c r="E73" s="5"/>
      <c r="F73" s="5"/>
      <c r="G73" s="132"/>
      <c r="H73"/>
      <c r="I73"/>
      <c r="J73"/>
    </row>
    <row r="74" spans="1:10" s="86" customFormat="1">
      <c r="A74" s="85"/>
      <c r="C74" s="5"/>
      <c r="D74" s="5"/>
      <c r="E74" s="5"/>
      <c r="F74" s="5"/>
      <c r="G74" s="132"/>
      <c r="H74"/>
      <c r="I74"/>
      <c r="J74"/>
    </row>
    <row r="75" spans="1:10" s="86" customFormat="1">
      <c r="A75" s="85"/>
      <c r="C75" s="5"/>
      <c r="D75" s="5"/>
      <c r="E75" s="5"/>
      <c r="F75" s="5"/>
      <c r="G75" s="132"/>
      <c r="H75"/>
      <c r="I75"/>
      <c r="J75"/>
    </row>
    <row r="76" spans="1:10" s="86" customFormat="1">
      <c r="A76" s="85"/>
      <c r="C76" s="5"/>
      <c r="D76" s="5"/>
      <c r="E76" s="5"/>
      <c r="F76" s="5"/>
      <c r="G76" s="132"/>
      <c r="H76"/>
      <c r="I76"/>
      <c r="J76"/>
    </row>
    <row r="77" spans="1:10" s="86" customFormat="1">
      <c r="A77" s="85"/>
      <c r="B77" s="108"/>
      <c r="C77" s="5"/>
      <c r="D77" s="5"/>
      <c r="E77" s="5"/>
      <c r="F77" s="5"/>
      <c r="G77" s="132"/>
      <c r="H77"/>
      <c r="I77"/>
      <c r="J77"/>
    </row>
    <row r="78" spans="1:10">
      <c r="A78" s="488"/>
      <c r="B78" s="86"/>
      <c r="C78" s="5"/>
      <c r="D78" s="5"/>
      <c r="E78" s="5"/>
      <c r="F78" s="5"/>
      <c r="G78" s="132"/>
    </row>
    <row r="79" spans="1:10" s="86" customFormat="1">
      <c r="A79" s="85"/>
      <c r="C79" s="5"/>
      <c r="D79" s="5"/>
      <c r="E79" s="5"/>
      <c r="F79" s="5"/>
      <c r="G79" s="132"/>
      <c r="H79"/>
      <c r="I79"/>
      <c r="J79"/>
    </row>
    <row r="80" spans="1:10" s="86" customFormat="1">
      <c r="A80" s="85"/>
      <c r="C80" s="108"/>
      <c r="D80" s="108"/>
      <c r="E80" s="108"/>
      <c r="F80" s="108"/>
      <c r="G80" s="132"/>
      <c r="H80"/>
      <c r="I80"/>
      <c r="J80"/>
    </row>
    <row r="81" spans="1:10" s="86" customFormat="1">
      <c r="A81" s="85"/>
      <c r="C81" s="108"/>
      <c r="D81" s="108"/>
      <c r="E81" s="108"/>
      <c r="F81" s="108"/>
      <c r="G81" s="132"/>
      <c r="H81"/>
      <c r="I81"/>
      <c r="J81"/>
    </row>
    <row r="82" spans="1:10" s="86" customFormat="1">
      <c r="A82" s="85"/>
      <c r="B82" s="108"/>
      <c r="C82" s="108"/>
      <c r="D82" s="108"/>
      <c r="E82" s="108"/>
      <c r="F82" s="108"/>
      <c r="G82" s="132"/>
      <c r="H82"/>
      <c r="I82"/>
      <c r="J82"/>
    </row>
    <row r="83" spans="1:10" s="86" customFormat="1">
      <c r="A83" s="85"/>
      <c r="B83" s="108"/>
      <c r="C83"/>
      <c r="D83"/>
      <c r="E83"/>
      <c r="F83"/>
      <c r="G83" s="132"/>
      <c r="H83"/>
      <c r="I83"/>
      <c r="J83"/>
    </row>
    <row r="84" spans="1:10">
      <c r="A84" s="85"/>
      <c r="B84" s="108"/>
      <c r="G84" s="132"/>
    </row>
    <row r="85" spans="1:10">
      <c r="A85" s="85"/>
      <c r="B85" s="108"/>
      <c r="G85" s="132"/>
      <c r="J85" s="86"/>
    </row>
    <row r="86" spans="1:10">
      <c r="A86" s="85"/>
      <c r="B86" s="108"/>
      <c r="G86" s="132"/>
      <c r="J86" s="86"/>
    </row>
    <row r="87" spans="1:10">
      <c r="A87" s="85"/>
      <c r="B87" s="108"/>
      <c r="G87" s="132"/>
      <c r="J87" s="86"/>
    </row>
    <row r="88" spans="1:10">
      <c r="A88" s="85"/>
      <c r="B88" s="108"/>
      <c r="G88" s="132"/>
      <c r="J88" s="86"/>
    </row>
    <row r="89" spans="1:10">
      <c r="A89" s="85"/>
      <c r="B89" s="108"/>
      <c r="G89" s="132"/>
      <c r="I89" s="86"/>
      <c r="J89" s="86"/>
    </row>
    <row r="90" spans="1:10">
      <c r="A90" s="85"/>
      <c r="B90" s="108"/>
      <c r="G90" s="132"/>
      <c r="I90" s="86"/>
      <c r="J90" s="86"/>
    </row>
    <row r="91" spans="1:10">
      <c r="A91" s="85"/>
      <c r="G91" s="132"/>
      <c r="I91" s="86"/>
      <c r="J91" s="86"/>
    </row>
    <row r="92" spans="1:10">
      <c r="A92" s="85"/>
      <c r="G92" s="132"/>
      <c r="I92" s="86"/>
      <c r="J92" s="86"/>
    </row>
    <row r="93" spans="1:10">
      <c r="A93" s="85"/>
      <c r="G93" s="132"/>
      <c r="I93" s="86"/>
      <c r="J93" s="86"/>
    </row>
    <row r="94" spans="1:10">
      <c r="A94" s="85"/>
      <c r="G94" s="132"/>
      <c r="I94" s="86"/>
      <c r="J94" s="86"/>
    </row>
    <row r="95" spans="1:10">
      <c r="A95" s="85"/>
      <c r="G95" s="132"/>
      <c r="I95" s="86"/>
      <c r="J95" s="86"/>
    </row>
    <row r="96" spans="1:10">
      <c r="A96" s="85"/>
      <c r="B96" s="108"/>
      <c r="C96" s="108"/>
      <c r="D96" s="108"/>
      <c r="E96" s="108"/>
      <c r="F96" s="108"/>
      <c r="G96" s="132"/>
      <c r="I96" s="86"/>
      <c r="J96" s="86"/>
    </row>
    <row r="97" spans="1:10">
      <c r="A97" s="85"/>
      <c r="B97" s="108"/>
      <c r="C97" s="108"/>
      <c r="D97" s="108"/>
      <c r="E97" s="108"/>
      <c r="F97" s="108"/>
      <c r="G97" s="132"/>
      <c r="I97" s="86"/>
      <c r="J97" s="86"/>
    </row>
    <row r="98" spans="1:10">
      <c r="A98" s="85"/>
      <c r="B98" s="108"/>
      <c r="C98" s="108"/>
      <c r="D98" s="108"/>
      <c r="E98" s="108"/>
      <c r="F98" s="108"/>
      <c r="G98" s="132"/>
      <c r="I98" s="86"/>
      <c r="J98" s="86"/>
    </row>
    <row r="99" spans="1:10">
      <c r="A99" s="85"/>
      <c r="B99" s="108"/>
      <c r="C99" s="108"/>
      <c r="D99" s="108"/>
      <c r="E99" s="108"/>
      <c r="F99" s="108"/>
      <c r="G99" s="132"/>
      <c r="I99" s="86"/>
      <c r="J99" s="86"/>
    </row>
    <row r="100" spans="1:10">
      <c r="A100" s="85"/>
      <c r="B100" s="108"/>
      <c r="C100" s="108"/>
      <c r="D100" s="108"/>
      <c r="E100" s="108"/>
      <c r="F100" s="108"/>
      <c r="G100" s="132"/>
      <c r="I100" s="86"/>
      <c r="J100" s="86"/>
    </row>
    <row r="101" spans="1:10">
      <c r="A101" s="85"/>
      <c r="C101" s="108"/>
      <c r="D101" s="108"/>
      <c r="E101" s="108"/>
      <c r="F101" s="108"/>
      <c r="G101" s="132"/>
      <c r="I101" s="86"/>
      <c r="J101" s="86"/>
    </row>
    <row r="102" spans="1:10">
      <c r="A102" s="85"/>
      <c r="C102" s="108"/>
      <c r="D102" s="108"/>
      <c r="E102" s="108"/>
      <c r="F102" s="108"/>
      <c r="G102" s="132"/>
      <c r="I102" s="86"/>
      <c r="J102" s="86"/>
    </row>
    <row r="103" spans="1:10">
      <c r="A103" s="85"/>
      <c r="C103" s="108"/>
      <c r="D103" s="108"/>
      <c r="E103" s="108"/>
      <c r="F103" s="108"/>
      <c r="G103" s="132"/>
      <c r="I103" s="86"/>
      <c r="J103" s="86"/>
    </row>
    <row r="104" spans="1:10">
      <c r="A104" s="85"/>
      <c r="B104" s="108"/>
      <c r="C104" s="108"/>
      <c r="D104" s="108"/>
      <c r="E104" s="108"/>
      <c r="F104" s="108"/>
      <c r="G104" s="132"/>
      <c r="I104" s="86"/>
      <c r="J104" s="86"/>
    </row>
    <row r="105" spans="1:10">
      <c r="A105" s="85"/>
      <c r="B105" s="108"/>
      <c r="C105" s="108"/>
      <c r="D105" s="108"/>
      <c r="E105" s="108"/>
      <c r="F105" s="108"/>
      <c r="G105" s="132"/>
      <c r="I105" s="86"/>
      <c r="J105" s="86"/>
    </row>
    <row r="106" spans="1:10">
      <c r="A106" s="85"/>
      <c r="B106" s="108"/>
      <c r="C106" s="108"/>
      <c r="D106" s="108"/>
      <c r="E106" s="108"/>
      <c r="F106" s="108"/>
      <c r="G106" s="132"/>
      <c r="I106" s="86"/>
      <c r="J106" s="86"/>
    </row>
    <row r="107" spans="1:10">
      <c r="A107" s="85"/>
      <c r="B107" s="108"/>
      <c r="C107" s="108"/>
      <c r="D107" s="108"/>
      <c r="E107" s="108"/>
      <c r="F107" s="108"/>
      <c r="G107" s="132"/>
      <c r="I107" s="86"/>
      <c r="J107" s="86"/>
    </row>
    <row r="108" spans="1:10">
      <c r="A108" s="85"/>
      <c r="B108" s="108"/>
      <c r="C108" s="108"/>
      <c r="D108" s="108"/>
      <c r="E108" s="108"/>
      <c r="F108" s="108"/>
      <c r="G108" s="132"/>
      <c r="I108" s="86"/>
      <c r="J108" s="86"/>
    </row>
    <row r="109" spans="1:10">
      <c r="A109" s="85"/>
      <c r="B109" s="108"/>
      <c r="C109" s="108"/>
      <c r="D109" s="108"/>
      <c r="E109" s="108"/>
      <c r="F109" s="108"/>
      <c r="G109" s="132"/>
      <c r="I109" s="86"/>
      <c r="J109" s="86"/>
    </row>
    <row r="110" spans="1:10">
      <c r="A110" s="85"/>
      <c r="B110" s="108"/>
      <c r="C110" s="108"/>
      <c r="D110" s="108"/>
      <c r="E110" s="108"/>
      <c r="F110" s="108"/>
      <c r="G110" s="132"/>
      <c r="I110" s="86"/>
      <c r="J110" s="86"/>
    </row>
    <row r="111" spans="1:10">
      <c r="A111" s="85"/>
      <c r="B111" s="108"/>
      <c r="C111" s="108"/>
      <c r="D111" s="108"/>
      <c r="E111" s="108"/>
      <c r="F111" s="108"/>
      <c r="G111" s="132"/>
      <c r="I111" s="86"/>
      <c r="J111" s="86"/>
    </row>
    <row r="112" spans="1:10">
      <c r="A112" s="85"/>
      <c r="B112" s="108"/>
      <c r="C112" s="108"/>
      <c r="D112" s="108"/>
      <c r="E112" s="108"/>
      <c r="F112" s="108"/>
      <c r="G112" s="132"/>
      <c r="I112" s="86"/>
      <c r="J112" s="86"/>
    </row>
    <row r="113" spans="1:10">
      <c r="A113" s="85"/>
      <c r="B113" s="108"/>
      <c r="C113" s="108"/>
      <c r="D113" s="108"/>
      <c r="E113" s="108"/>
      <c r="F113" s="108"/>
      <c r="G113" s="132"/>
      <c r="I113" s="86"/>
      <c r="J113" s="86"/>
    </row>
    <row r="114" spans="1:10">
      <c r="A114" s="85"/>
      <c r="B114" s="108"/>
      <c r="C114" s="108"/>
      <c r="D114" s="108"/>
      <c r="E114" s="108"/>
      <c r="F114" s="108"/>
      <c r="G114" s="132"/>
      <c r="I114" s="86"/>
      <c r="J114" s="86"/>
    </row>
    <row r="115" spans="1:10">
      <c r="A115" s="85"/>
      <c r="B115" s="108"/>
      <c r="C115" s="108"/>
      <c r="D115" s="108"/>
      <c r="E115" s="108"/>
      <c r="F115" s="108"/>
      <c r="G115" s="132"/>
      <c r="I115" s="86"/>
      <c r="J115" s="86"/>
    </row>
    <row r="116" spans="1:10">
      <c r="A116" s="85"/>
      <c r="B116" s="108"/>
      <c r="C116" s="108"/>
      <c r="D116" s="108"/>
      <c r="E116" s="108"/>
      <c r="F116" s="108"/>
      <c r="G116" s="132"/>
      <c r="I116" s="86"/>
      <c r="J116" s="86"/>
    </row>
    <row r="117" spans="1:10">
      <c r="A117" s="85"/>
      <c r="B117" s="108"/>
      <c r="C117" s="5"/>
      <c r="D117" s="5"/>
      <c r="E117" s="5"/>
      <c r="F117" s="5"/>
      <c r="G117" s="132"/>
      <c r="I117" s="86"/>
      <c r="J117" s="86"/>
    </row>
    <row r="118" spans="1:10">
      <c r="A118" s="85"/>
      <c r="B118" s="108"/>
      <c r="C118" s="5"/>
      <c r="D118" s="5"/>
      <c r="E118" s="5"/>
      <c r="F118" s="5"/>
      <c r="G118" s="132"/>
      <c r="I118" s="86"/>
      <c r="J118" s="86"/>
    </row>
    <row r="119" spans="1:10">
      <c r="A119" s="85"/>
      <c r="B119" s="108"/>
      <c r="C119" s="5"/>
      <c r="D119" s="5"/>
      <c r="E119" s="5"/>
      <c r="F119" s="5"/>
      <c r="G119" s="132"/>
      <c r="I119" s="86"/>
      <c r="J119" s="86"/>
    </row>
    <row r="120" spans="1:10">
      <c r="A120" s="85"/>
      <c r="B120" s="108"/>
      <c r="C120" s="5"/>
      <c r="D120" s="5"/>
      <c r="E120" s="5"/>
      <c r="F120" s="5"/>
      <c r="G120" s="132"/>
      <c r="I120" s="86"/>
      <c r="J120" s="86"/>
    </row>
    <row r="121" spans="1:10">
      <c r="A121" s="85"/>
      <c r="B121" s="108"/>
      <c r="C121" s="5"/>
      <c r="D121" s="5"/>
      <c r="E121" s="5"/>
      <c r="F121" s="5"/>
      <c r="G121" s="132"/>
      <c r="I121" s="86"/>
      <c r="J121" s="86"/>
    </row>
    <row r="122" spans="1:10" ht="15.75" thickBot="1">
      <c r="A122" s="208"/>
      <c r="B122" s="196"/>
      <c r="C122" s="209"/>
      <c r="D122" s="209"/>
      <c r="E122" s="196"/>
      <c r="F122" s="210"/>
      <c r="G122" s="211"/>
    </row>
    <row r="123" spans="1:10">
      <c r="A123" s="177" t="s">
        <v>2024</v>
      </c>
      <c r="B123" s="177"/>
      <c r="C123" s="159"/>
      <c r="D123" s="159"/>
      <c r="E123" s="177"/>
      <c r="F123" s="206"/>
      <c r="G123" s="206"/>
    </row>
    <row r="124" spans="1:10">
      <c r="A124" s="2852" t="s">
        <v>773</v>
      </c>
      <c r="B124" s="2852"/>
      <c r="C124" s="2852"/>
      <c r="D124" s="2852"/>
      <c r="E124" s="2852"/>
      <c r="F124" s="2852"/>
      <c r="G124" s="2852"/>
    </row>
  </sheetData>
  <mergeCells count="2">
    <mergeCell ref="A61:G61"/>
    <mergeCell ref="A124:G124"/>
  </mergeCells>
  <phoneticPr fontId="0" type="noConversion"/>
  <pageMargins left="0.4" right="0.15" top="0.3" bottom="0.3" header="0.5" footer="0.5"/>
  <pageSetup scale="80" orientation="portrait" r:id="rId1"/>
  <headerFooter alignWithMargins="0"/>
  <rowBreaks count="1" manualBreakCount="1">
    <brk id="61" max="1638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96"/>
  <dimension ref="A1:AE38"/>
  <sheetViews>
    <sheetView zoomScaleNormal="100" workbookViewId="0">
      <selection activeCell="A33" sqref="A33"/>
    </sheetView>
  </sheetViews>
  <sheetFormatPr defaultRowHeight="15"/>
  <cols>
    <col min="1" max="1" width="7.6640625" customWidth="1"/>
    <col min="2" max="2" width="37" customWidth="1"/>
    <col min="3" max="3" width="13.5546875" customWidth="1"/>
    <col min="4" max="4" width="10.33203125" customWidth="1"/>
    <col min="5" max="5" width="9.5546875" bestFit="1" customWidth="1"/>
    <col min="6" max="6" width="12.88671875" bestFit="1" customWidth="1"/>
    <col min="7" max="7" width="9.21875" customWidth="1"/>
    <col min="8" max="8" width="9.44140625" bestFit="1" customWidth="1"/>
    <col min="9" max="10" width="8" bestFit="1" customWidth="1"/>
    <col min="11" max="11" width="12.88671875" bestFit="1" customWidth="1"/>
  </cols>
  <sheetData>
    <row r="1" spans="1:31" ht="15.75" thickBot="1">
      <c r="A1" s="86" t="str">
        <f>'Data sheet'!A65</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c r="A2" s="1399"/>
      <c r="B2" s="2737"/>
      <c r="C2" s="2738" t="s">
        <v>3478</v>
      </c>
      <c r="D2" s="1401" t="s">
        <v>1654</v>
      </c>
      <c r="E2" s="1401"/>
      <c r="F2" s="1401"/>
      <c r="G2" s="1401" t="s">
        <v>2164</v>
      </c>
      <c r="H2" s="1401"/>
      <c r="I2" s="1401" t="s">
        <v>2873</v>
      </c>
      <c r="J2" s="1416"/>
    </row>
    <row r="3" spans="1:31">
      <c r="A3" s="939"/>
      <c r="B3" s="238"/>
      <c r="C3" s="1346" t="s">
        <v>3479</v>
      </c>
      <c r="D3" s="1403" t="s">
        <v>4272</v>
      </c>
      <c r="E3" s="1403" t="s">
        <v>3480</v>
      </c>
      <c r="F3" s="1403" t="s">
        <v>3481</v>
      </c>
      <c r="G3" s="1346" t="s">
        <v>3472</v>
      </c>
      <c r="H3" s="1403" t="s">
        <v>1987</v>
      </c>
      <c r="I3" s="1403" t="s">
        <v>3482</v>
      </c>
      <c r="J3" s="1404" t="s">
        <v>1983</v>
      </c>
    </row>
    <row r="4" spans="1:31">
      <c r="A4" s="939"/>
      <c r="B4" s="949" t="s">
        <v>4273</v>
      </c>
      <c r="C4" s="1406" t="s">
        <v>3483</v>
      </c>
      <c r="D4" s="1406">
        <v>15</v>
      </c>
      <c r="E4" s="1406">
        <v>79</v>
      </c>
      <c r="F4" s="1406">
        <v>83</v>
      </c>
      <c r="G4" s="1406">
        <v>10</v>
      </c>
      <c r="H4" s="1406" t="s">
        <v>3484</v>
      </c>
      <c r="I4" s="1405"/>
      <c r="J4" s="1423">
        <v>26</v>
      </c>
    </row>
    <row r="5" spans="1:31">
      <c r="A5" s="936" t="s">
        <v>2048</v>
      </c>
      <c r="B5" s="937" t="s">
        <v>1017</v>
      </c>
      <c r="C5" s="937"/>
      <c r="D5" s="937"/>
      <c r="E5" s="937"/>
      <c r="F5" s="937"/>
      <c r="G5" s="937"/>
      <c r="H5" s="937"/>
      <c r="I5" s="937"/>
      <c r="J5" s="940"/>
    </row>
    <row r="6" spans="1:31">
      <c r="A6" s="936" t="s">
        <v>2051</v>
      </c>
      <c r="B6" s="937"/>
      <c r="C6" s="937" t="s">
        <v>3485</v>
      </c>
      <c r="D6" s="937" t="s">
        <v>3486</v>
      </c>
      <c r="E6" s="937" t="s">
        <v>4249</v>
      </c>
      <c r="F6" s="937" t="s">
        <v>4250</v>
      </c>
      <c r="G6" s="937" t="s">
        <v>3487</v>
      </c>
      <c r="H6" s="937" t="s">
        <v>3488</v>
      </c>
      <c r="I6" s="937" t="s">
        <v>4253</v>
      </c>
      <c r="J6" s="940" t="s">
        <v>4254</v>
      </c>
    </row>
    <row r="7" spans="1:31">
      <c r="A7" s="1410"/>
      <c r="B7" s="1623"/>
      <c r="C7" s="1623"/>
      <c r="D7" s="1623"/>
      <c r="E7" s="1623"/>
      <c r="F7" s="1623"/>
      <c r="G7" s="1623"/>
      <c r="H7" s="1623"/>
      <c r="I7" s="1623"/>
      <c r="J7" s="1655"/>
    </row>
    <row r="8" spans="1:31">
      <c r="A8" s="936">
        <v>1</v>
      </c>
      <c r="B8" s="1624" t="s">
        <v>1020</v>
      </c>
      <c r="C8" s="1622" t="s">
        <v>1748</v>
      </c>
      <c r="D8" s="1622" t="s">
        <v>3489</v>
      </c>
      <c r="E8" s="1814" t="s">
        <v>1748</v>
      </c>
      <c r="F8" s="1814" t="s">
        <v>3490</v>
      </c>
      <c r="G8" s="1622" t="s">
        <v>3491</v>
      </c>
      <c r="H8" s="1622" t="s">
        <v>3491</v>
      </c>
      <c r="I8" s="1622" t="s">
        <v>3491</v>
      </c>
      <c r="J8" s="1801" t="s">
        <v>3491</v>
      </c>
    </row>
    <row r="9" spans="1:31">
      <c r="A9" s="936">
        <v>2</v>
      </c>
      <c r="B9" s="1624" t="s">
        <v>4279</v>
      </c>
      <c r="C9" s="1794" t="s">
        <v>4280</v>
      </c>
      <c r="D9" s="1794" t="s">
        <v>4280</v>
      </c>
      <c r="E9" s="1815" t="s">
        <v>4280</v>
      </c>
      <c r="F9" s="1815" t="s">
        <v>4280</v>
      </c>
      <c r="G9" s="1794" t="s">
        <v>4280</v>
      </c>
      <c r="H9" s="1794" t="s">
        <v>4280</v>
      </c>
      <c r="I9" s="1794" t="s">
        <v>4280</v>
      </c>
      <c r="J9" s="1797" t="s">
        <v>4280</v>
      </c>
    </row>
    <row r="10" spans="1:31">
      <c r="A10" s="936">
        <v>3</v>
      </c>
      <c r="B10" s="1624" t="s">
        <v>479</v>
      </c>
      <c r="C10" s="1794">
        <v>4</v>
      </c>
      <c r="D10" s="1794">
        <v>1</v>
      </c>
      <c r="E10" s="1794">
        <v>1</v>
      </c>
      <c r="F10" s="1794">
        <v>1</v>
      </c>
      <c r="G10" s="1794">
        <v>1</v>
      </c>
      <c r="H10" s="1794">
        <v>1</v>
      </c>
      <c r="I10" s="1794">
        <v>1</v>
      </c>
      <c r="J10" s="1797">
        <v>1</v>
      </c>
    </row>
    <row r="11" spans="1:31">
      <c r="A11" s="936">
        <v>4</v>
      </c>
      <c r="B11" s="1624" t="s">
        <v>3820</v>
      </c>
      <c r="C11" s="726" t="s">
        <v>2289</v>
      </c>
      <c r="D11" s="726" t="s">
        <v>2289</v>
      </c>
      <c r="E11" s="726" t="s">
        <v>2289</v>
      </c>
      <c r="F11" s="726" t="s">
        <v>2289</v>
      </c>
      <c r="G11" s="726" t="s">
        <v>2289</v>
      </c>
      <c r="H11" s="726" t="s">
        <v>2289</v>
      </c>
      <c r="I11" s="726" t="s">
        <v>2289</v>
      </c>
      <c r="J11" s="727" t="s">
        <v>2289</v>
      </c>
    </row>
    <row r="12" spans="1:31">
      <c r="A12" s="936">
        <v>5</v>
      </c>
      <c r="B12" s="1624" t="s">
        <v>3821</v>
      </c>
      <c r="C12" s="1794"/>
      <c r="D12" s="1794"/>
      <c r="E12" s="1794"/>
      <c r="F12" s="1794"/>
      <c r="G12" s="1794"/>
      <c r="H12" s="1794"/>
      <c r="I12" s="1794"/>
      <c r="J12" s="1797"/>
    </row>
    <row r="13" spans="1:31">
      <c r="A13" s="936">
        <v>6</v>
      </c>
      <c r="B13" s="1624" t="s">
        <v>4282</v>
      </c>
      <c r="C13" s="1794">
        <v>2099315000</v>
      </c>
      <c r="D13" s="1816">
        <v>50326</v>
      </c>
      <c r="E13" s="1794">
        <v>27531</v>
      </c>
      <c r="F13" s="1794">
        <v>0</v>
      </c>
      <c r="G13" s="1794" t="s">
        <v>3379</v>
      </c>
      <c r="H13" s="1794">
        <v>99757</v>
      </c>
      <c r="I13" s="1794">
        <v>0</v>
      </c>
      <c r="J13" s="1797">
        <v>95607</v>
      </c>
    </row>
    <row r="14" spans="1:31">
      <c r="A14" s="936">
        <v>7</v>
      </c>
      <c r="B14" s="1624" t="s">
        <v>3823</v>
      </c>
      <c r="C14" s="1794" t="s">
        <v>1604</v>
      </c>
      <c r="D14" s="1794" t="s">
        <v>1604</v>
      </c>
      <c r="E14" s="1794" t="s">
        <v>1604</v>
      </c>
      <c r="F14" s="1794" t="s">
        <v>1604</v>
      </c>
      <c r="G14" s="1794" t="s">
        <v>1604</v>
      </c>
      <c r="H14" s="1794" t="s">
        <v>1604</v>
      </c>
      <c r="I14" s="1794" t="s">
        <v>1604</v>
      </c>
      <c r="J14" s="1797" t="s">
        <v>1604</v>
      </c>
    </row>
    <row r="15" spans="1:31">
      <c r="A15" s="936">
        <v>8</v>
      </c>
      <c r="B15" s="1624" t="s">
        <v>4284</v>
      </c>
      <c r="C15" s="1794">
        <v>5751547.9452054799</v>
      </c>
      <c r="D15" s="1794">
        <v>137.87945205479451</v>
      </c>
      <c r="E15" s="1794">
        <v>75.427397260273978</v>
      </c>
      <c r="F15" s="1794">
        <v>0</v>
      </c>
      <c r="G15" s="1794" t="s">
        <v>3379</v>
      </c>
      <c r="H15" s="1794">
        <v>273.30684931506852</v>
      </c>
      <c r="I15" s="1794">
        <v>0</v>
      </c>
      <c r="J15" s="1797">
        <v>261.93698630136987</v>
      </c>
    </row>
    <row r="16" spans="1:31">
      <c r="A16" s="936">
        <v>9</v>
      </c>
      <c r="B16" s="1624" t="s">
        <v>3014</v>
      </c>
      <c r="C16" s="1794">
        <v>17022000</v>
      </c>
      <c r="D16" s="1794">
        <v>275</v>
      </c>
      <c r="E16" s="1794">
        <v>125</v>
      </c>
      <c r="F16" s="1794">
        <v>350</v>
      </c>
      <c r="G16" s="1794" t="s">
        <v>3379</v>
      </c>
      <c r="H16" s="1794">
        <v>200</v>
      </c>
      <c r="I16" s="1794">
        <v>221</v>
      </c>
      <c r="J16" s="1797">
        <v>524</v>
      </c>
    </row>
    <row r="17" spans="1:10">
      <c r="A17" s="936">
        <v>10</v>
      </c>
      <c r="B17" s="1624" t="s">
        <v>1410</v>
      </c>
      <c r="C17" s="440">
        <v>4</v>
      </c>
      <c r="D17" s="1794">
        <v>1</v>
      </c>
      <c r="E17" s="1794">
        <v>1</v>
      </c>
      <c r="F17" s="1794">
        <v>1</v>
      </c>
      <c r="G17" s="1794">
        <v>1</v>
      </c>
      <c r="H17" s="1794">
        <v>2</v>
      </c>
      <c r="I17" s="1794">
        <v>1</v>
      </c>
      <c r="J17" s="1797">
        <v>1</v>
      </c>
    </row>
    <row r="18" spans="1:10">
      <c r="A18" s="1421" t="s">
        <v>350</v>
      </c>
      <c r="B18" s="1652" t="s">
        <v>1411</v>
      </c>
      <c r="C18" s="1798">
        <v>45107</v>
      </c>
      <c r="D18" s="1798">
        <v>45210</v>
      </c>
      <c r="E18" s="1798">
        <v>45030</v>
      </c>
      <c r="F18" s="1798">
        <v>44927</v>
      </c>
      <c r="G18" s="1799" t="s">
        <v>3379</v>
      </c>
      <c r="H18" s="1799">
        <v>45117</v>
      </c>
      <c r="I18" s="1799">
        <v>44927</v>
      </c>
      <c r="J18" s="1800">
        <v>45066</v>
      </c>
    </row>
    <row r="19" spans="1:10">
      <c r="A19" s="936">
        <v>12</v>
      </c>
      <c r="B19" s="1624" t="s">
        <v>1412</v>
      </c>
      <c r="C19" s="1794">
        <v>17022000</v>
      </c>
      <c r="D19" s="1794">
        <v>275</v>
      </c>
      <c r="E19" s="1794">
        <v>125</v>
      </c>
      <c r="F19" s="1794">
        <v>350</v>
      </c>
      <c r="G19" s="1794" t="s">
        <v>3379</v>
      </c>
      <c r="H19" s="1794">
        <v>200</v>
      </c>
      <c r="I19" s="1794" t="s">
        <v>3379</v>
      </c>
      <c r="J19" s="1797">
        <v>524</v>
      </c>
    </row>
    <row r="20" spans="1:10">
      <c r="A20" s="936">
        <v>13</v>
      </c>
      <c r="B20" s="1624" t="s">
        <v>1411</v>
      </c>
      <c r="C20" s="1798">
        <v>45107</v>
      </c>
      <c r="D20" s="1798">
        <v>45210</v>
      </c>
      <c r="E20" s="1798">
        <v>45030</v>
      </c>
      <c r="F20" s="1798">
        <v>44927</v>
      </c>
      <c r="G20" s="1799" t="s">
        <v>3379</v>
      </c>
      <c r="H20" s="1799">
        <v>45117</v>
      </c>
      <c r="I20" s="1794" t="s">
        <v>3379</v>
      </c>
      <c r="J20" s="1800">
        <v>45066</v>
      </c>
    </row>
    <row r="21" spans="1:10">
      <c r="A21" s="936">
        <v>14</v>
      </c>
      <c r="B21" s="1624" t="s">
        <v>1413</v>
      </c>
      <c r="C21" s="1794" t="s">
        <v>4281</v>
      </c>
      <c r="D21" s="1794" t="s">
        <v>4281</v>
      </c>
      <c r="E21" s="1794" t="s">
        <v>4281</v>
      </c>
      <c r="F21" s="1794" t="s">
        <v>4281</v>
      </c>
      <c r="G21" s="1794" t="s">
        <v>4281</v>
      </c>
      <c r="H21" s="1794" t="s">
        <v>4281</v>
      </c>
      <c r="I21" s="1794" t="s">
        <v>4281</v>
      </c>
      <c r="J21" s="1797" t="s">
        <v>4281</v>
      </c>
    </row>
    <row r="22" spans="1:10">
      <c r="A22" s="936">
        <v>15</v>
      </c>
      <c r="B22" s="1624" t="s">
        <v>1500</v>
      </c>
      <c r="C22" s="1622" t="s">
        <v>2169</v>
      </c>
      <c r="D22" s="1622" t="s">
        <v>2169</v>
      </c>
      <c r="E22" s="1622" t="s">
        <v>2169</v>
      </c>
      <c r="F22" s="1622" t="s">
        <v>2169</v>
      </c>
      <c r="G22" s="1622" t="s">
        <v>2169</v>
      </c>
      <c r="H22" s="1622" t="s">
        <v>2169</v>
      </c>
      <c r="I22" s="1622" t="s">
        <v>2169</v>
      </c>
      <c r="J22" s="1801" t="s">
        <v>2169</v>
      </c>
    </row>
    <row r="23" spans="1:10">
      <c r="A23" s="936">
        <v>16</v>
      </c>
      <c r="B23" s="1624" t="s">
        <v>1501</v>
      </c>
      <c r="C23" s="1622"/>
      <c r="D23" s="1622"/>
      <c r="E23" s="1622"/>
      <c r="F23" s="1622"/>
      <c r="G23" s="1622"/>
      <c r="H23" s="1622"/>
      <c r="I23" s="1622"/>
      <c r="J23" s="1801"/>
    </row>
    <row r="24" spans="1:10">
      <c r="A24" s="936">
        <v>17</v>
      </c>
      <c r="B24" s="1624" t="s">
        <v>1502</v>
      </c>
      <c r="C24" s="1794" t="s">
        <v>2289</v>
      </c>
      <c r="D24" s="1794" t="s">
        <v>2289</v>
      </c>
      <c r="E24" s="1794" t="s">
        <v>2289</v>
      </c>
      <c r="F24" s="1794" t="s">
        <v>2289</v>
      </c>
      <c r="G24" s="1794" t="s">
        <v>2289</v>
      </c>
      <c r="H24" s="1794" t="s">
        <v>2289</v>
      </c>
      <c r="I24" s="1794" t="s">
        <v>2289</v>
      </c>
      <c r="J24" s="1797" t="s">
        <v>2289</v>
      </c>
    </row>
    <row r="25" spans="1:10">
      <c r="A25" s="936">
        <v>18</v>
      </c>
      <c r="B25" s="1624" t="s">
        <v>522</v>
      </c>
      <c r="C25" s="1794" t="s">
        <v>2289</v>
      </c>
      <c r="D25" s="1794" t="s">
        <v>2289</v>
      </c>
      <c r="E25" s="1794" t="s">
        <v>2289</v>
      </c>
      <c r="F25" s="1794" t="s">
        <v>2289</v>
      </c>
      <c r="G25" s="1794" t="s">
        <v>2289</v>
      </c>
      <c r="H25" s="1794" t="s">
        <v>2289</v>
      </c>
      <c r="I25" s="1794" t="s">
        <v>2289</v>
      </c>
      <c r="J25" s="1797" t="s">
        <v>2289</v>
      </c>
    </row>
    <row r="26" spans="1:10">
      <c r="A26" s="936">
        <v>19</v>
      </c>
      <c r="B26" s="1624" t="s">
        <v>523</v>
      </c>
      <c r="C26" s="1794" t="s">
        <v>2289</v>
      </c>
      <c r="D26" s="1794" t="s">
        <v>2289</v>
      </c>
      <c r="E26" s="1794" t="s">
        <v>2289</v>
      </c>
      <c r="F26" s="1794" t="s">
        <v>2289</v>
      </c>
      <c r="G26" s="1794" t="s">
        <v>2289</v>
      </c>
      <c r="H26" s="1794" t="s">
        <v>2289</v>
      </c>
      <c r="I26" s="1794" t="s">
        <v>2289</v>
      </c>
      <c r="J26" s="1797" t="s">
        <v>2289</v>
      </c>
    </row>
    <row r="27" spans="1:10">
      <c r="A27" s="936">
        <v>20</v>
      </c>
      <c r="B27" s="1624" t="s">
        <v>2170</v>
      </c>
      <c r="C27" s="1794">
        <v>7354928</v>
      </c>
      <c r="D27" s="1794">
        <v>105251</v>
      </c>
      <c r="E27" s="1794">
        <v>84013</v>
      </c>
      <c r="F27" s="1794">
        <v>14744</v>
      </c>
      <c r="G27" s="1794" t="s">
        <v>3379</v>
      </c>
      <c r="H27" s="1794">
        <v>293406</v>
      </c>
      <c r="I27" s="1794">
        <v>344</v>
      </c>
      <c r="J27" s="1797">
        <v>309244</v>
      </c>
    </row>
    <row r="28" spans="1:10">
      <c r="A28" s="1412" t="s">
        <v>360</v>
      </c>
      <c r="B28" s="1653" t="s">
        <v>525</v>
      </c>
      <c r="C28" s="1802">
        <v>0</v>
      </c>
      <c r="D28" s="1802">
        <v>0</v>
      </c>
      <c r="E28" s="1802">
        <v>0</v>
      </c>
      <c r="F28" s="1794">
        <v>0</v>
      </c>
      <c r="G28" s="1802" t="s">
        <v>3379</v>
      </c>
      <c r="H28" s="1802">
        <v>0</v>
      </c>
      <c r="I28" s="1794" t="s">
        <v>3379</v>
      </c>
      <c r="J28" s="1803">
        <v>0</v>
      </c>
    </row>
    <row r="29" spans="1:10">
      <c r="A29" s="936">
        <v>22</v>
      </c>
      <c r="B29" s="1624" t="s">
        <v>2587</v>
      </c>
      <c r="C29" s="1794">
        <v>7354928</v>
      </c>
      <c r="D29" s="1794">
        <v>105251</v>
      </c>
      <c r="E29" s="1794">
        <v>84013</v>
      </c>
      <c r="F29" s="1794">
        <v>14744</v>
      </c>
      <c r="G29" s="1794" t="s">
        <v>3379</v>
      </c>
      <c r="H29" s="1794">
        <v>293406</v>
      </c>
      <c r="I29" s="1794">
        <v>344</v>
      </c>
      <c r="J29" s="1797">
        <v>309244</v>
      </c>
    </row>
    <row r="30" spans="1:10">
      <c r="A30" s="936">
        <v>23</v>
      </c>
      <c r="B30" s="1624" t="s">
        <v>2995</v>
      </c>
      <c r="C30" s="1794" t="s">
        <v>2289</v>
      </c>
      <c r="D30" s="1794" t="s">
        <v>2289</v>
      </c>
      <c r="E30" s="1794" t="s">
        <v>2289</v>
      </c>
      <c r="F30" s="1794" t="s">
        <v>2289</v>
      </c>
      <c r="G30" s="1794" t="s">
        <v>2289</v>
      </c>
      <c r="H30" s="1794" t="s">
        <v>2289</v>
      </c>
      <c r="I30" s="1794" t="s">
        <v>2289</v>
      </c>
      <c r="J30" s="1797" t="s">
        <v>2289</v>
      </c>
    </row>
    <row r="31" spans="1:10">
      <c r="A31" s="936">
        <v>24</v>
      </c>
      <c r="B31" s="1624" t="s">
        <v>2996</v>
      </c>
      <c r="C31" s="1794" t="s">
        <v>2289</v>
      </c>
      <c r="D31" s="1794" t="s">
        <v>2289</v>
      </c>
      <c r="E31" s="1794" t="s">
        <v>2289</v>
      </c>
      <c r="F31" s="1794" t="s">
        <v>2289</v>
      </c>
      <c r="G31" s="1794" t="s">
        <v>2289</v>
      </c>
      <c r="H31" s="1794" t="s">
        <v>2289</v>
      </c>
      <c r="I31" s="1794" t="s">
        <v>2289</v>
      </c>
      <c r="J31" s="1797" t="s">
        <v>2289</v>
      </c>
    </row>
    <row r="32" spans="1:10" ht="15.75" thickBot="1">
      <c r="A32" s="1422" t="s">
        <v>364</v>
      </c>
      <c r="B32" s="1648" t="s">
        <v>3466</v>
      </c>
      <c r="C32" s="1804">
        <v>6722.56</v>
      </c>
      <c r="D32" s="1804">
        <v>3.47</v>
      </c>
      <c r="E32" s="1804">
        <v>1.49</v>
      </c>
      <c r="F32" s="1804">
        <v>0</v>
      </c>
      <c r="G32" s="1804">
        <v>0</v>
      </c>
      <c r="H32" s="1804">
        <v>3.38</v>
      </c>
      <c r="I32" s="1804">
        <v>1.8</v>
      </c>
      <c r="J32" s="1832">
        <v>2.99</v>
      </c>
    </row>
    <row r="33" spans="1:10">
      <c r="A33" s="1414" t="s">
        <v>2024</v>
      </c>
      <c r="B33" s="1654"/>
      <c r="C33" s="2172"/>
      <c r="D33" s="1650"/>
      <c r="E33" s="86" t="s">
        <v>5426</v>
      </c>
      <c r="F33" s="1649"/>
      <c r="G33" s="1649"/>
      <c r="H33" s="1649"/>
      <c r="I33" s="1649"/>
      <c r="J33" s="1649"/>
    </row>
    <row r="34" spans="1:10">
      <c r="A34" s="954" t="s">
        <v>3492</v>
      </c>
      <c r="B34" s="1651"/>
      <c r="C34" s="1651"/>
      <c r="D34" s="1651"/>
      <c r="E34" s="1651"/>
      <c r="F34" s="1651"/>
      <c r="G34" s="1651"/>
      <c r="H34" s="1649"/>
      <c r="I34" s="1649"/>
      <c r="J34" s="1649"/>
    </row>
    <row r="35" spans="1:10">
      <c r="A35" s="938"/>
      <c r="B35" s="931"/>
      <c r="C35" s="931"/>
      <c r="D35" s="931"/>
      <c r="E35" s="931"/>
      <c r="F35" s="931"/>
      <c r="G35" s="931"/>
      <c r="H35" s="931"/>
      <c r="I35" s="931"/>
      <c r="J35" s="931"/>
    </row>
    <row r="36" spans="1:10">
      <c r="A36" s="938"/>
      <c r="B36" s="931"/>
      <c r="C36" s="931"/>
      <c r="D36" s="931"/>
      <c r="E36" s="931"/>
      <c r="F36" s="931"/>
      <c r="G36" s="931"/>
      <c r="H36" s="931"/>
      <c r="I36" s="931"/>
      <c r="J36" s="931"/>
    </row>
    <row r="37" spans="1:10">
      <c r="A37" s="938"/>
      <c r="B37" s="931"/>
      <c r="C37" s="931"/>
      <c r="D37" s="931"/>
      <c r="E37" s="931"/>
      <c r="F37" s="931"/>
      <c r="G37" s="931"/>
      <c r="H37" s="931"/>
      <c r="I37" s="931"/>
      <c r="J37" s="931"/>
    </row>
    <row r="38" spans="1:10">
      <c r="A38" s="938"/>
      <c r="B38" s="931"/>
      <c r="C38" s="931"/>
      <c r="D38" s="931"/>
      <c r="E38" s="931"/>
      <c r="F38" s="931"/>
      <c r="G38" s="931"/>
      <c r="H38" s="931"/>
      <c r="I38" s="931"/>
      <c r="J38" s="931"/>
    </row>
  </sheetData>
  <phoneticPr fontId="0" type="noConversion"/>
  <pageMargins left="0.25" right="0.25" top="0.75" bottom="0.5" header="0" footer="0"/>
  <pageSetup scale="80"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97"/>
  <dimension ref="A1:AE37"/>
  <sheetViews>
    <sheetView zoomScaleNormal="100" workbookViewId="0">
      <selection activeCell="D18" sqref="D18"/>
    </sheetView>
  </sheetViews>
  <sheetFormatPr defaultRowHeight="15"/>
  <cols>
    <col min="1" max="1" width="7.77734375" customWidth="1"/>
    <col min="2" max="2" width="37.21875" customWidth="1"/>
    <col min="3" max="3" width="14" bestFit="1" customWidth="1"/>
    <col min="4" max="4" width="12.77734375" customWidth="1"/>
    <col min="5" max="5" width="9.44140625" bestFit="1" customWidth="1"/>
    <col min="6" max="6" width="11.21875" bestFit="1" customWidth="1"/>
    <col min="7" max="8" width="8" bestFit="1" customWidth="1"/>
    <col min="9" max="12" width="9.5546875" bestFit="1" customWidth="1"/>
  </cols>
  <sheetData>
    <row r="1" spans="1:31" ht="15.75" thickBot="1">
      <c r="A1" s="359" t="str">
        <f>'Data sheet'!A65</f>
        <v>Annual Report of Veolia Water New York, Inc.                                                                                          Year Ended  December 31, 2023</v>
      </c>
      <c r="B1" s="359"/>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c r="A2" s="1424"/>
      <c r="B2" s="1425"/>
      <c r="C2" s="1401" t="s">
        <v>3493</v>
      </c>
      <c r="D2" s="1401" t="s">
        <v>3494</v>
      </c>
      <c r="E2" s="1401"/>
      <c r="F2" s="1415"/>
      <c r="G2" s="1415"/>
      <c r="H2" s="1429" t="s">
        <v>218</v>
      </c>
      <c r="I2" s="1415"/>
      <c r="J2" s="1415"/>
      <c r="K2" s="1415"/>
      <c r="L2" s="1402" t="s">
        <v>4271</v>
      </c>
    </row>
    <row r="3" spans="1:31">
      <c r="A3" s="939"/>
      <c r="B3" s="1426"/>
      <c r="C3" s="1403" t="s">
        <v>3495</v>
      </c>
      <c r="D3" s="1403" t="s">
        <v>3496</v>
      </c>
      <c r="E3" s="1403" t="s">
        <v>2164</v>
      </c>
      <c r="F3" s="1403" t="s">
        <v>1990</v>
      </c>
      <c r="G3" s="1403" t="s">
        <v>1992</v>
      </c>
      <c r="H3" s="1430" t="s">
        <v>1984</v>
      </c>
      <c r="I3" s="1403" t="s">
        <v>3470</v>
      </c>
      <c r="J3" s="1403" t="s">
        <v>2867</v>
      </c>
      <c r="K3" s="1403" t="s">
        <v>2864</v>
      </c>
      <c r="L3" s="1404" t="s">
        <v>3471</v>
      </c>
    </row>
    <row r="4" spans="1:31">
      <c r="A4" s="939"/>
      <c r="B4" s="949" t="s">
        <v>4273</v>
      </c>
      <c r="C4" s="1406" t="s">
        <v>3497</v>
      </c>
      <c r="D4" s="1406" t="s">
        <v>3498</v>
      </c>
      <c r="E4" s="1406" t="s">
        <v>3499</v>
      </c>
      <c r="F4" s="1406">
        <v>71</v>
      </c>
      <c r="G4" s="1406">
        <v>72</v>
      </c>
      <c r="H4" s="2740">
        <v>28</v>
      </c>
      <c r="I4" s="1406">
        <v>19</v>
      </c>
      <c r="J4" s="1406">
        <v>23</v>
      </c>
      <c r="K4" s="1406">
        <v>21</v>
      </c>
      <c r="L4" s="1408" t="s">
        <v>3472</v>
      </c>
    </row>
    <row r="5" spans="1:31">
      <c r="A5" s="936" t="s">
        <v>2048</v>
      </c>
      <c r="B5" s="937" t="s">
        <v>1017</v>
      </c>
      <c r="C5" s="937"/>
      <c r="D5" s="937"/>
      <c r="E5" s="937"/>
      <c r="F5" s="937"/>
      <c r="G5" s="937"/>
      <c r="H5" s="938"/>
      <c r="I5" s="2742"/>
      <c r="J5" s="937"/>
      <c r="K5" s="937"/>
      <c r="L5" s="946"/>
    </row>
    <row r="6" spans="1:31">
      <c r="A6" s="936" t="s">
        <v>2051</v>
      </c>
      <c r="B6" s="937"/>
      <c r="C6" s="937" t="s">
        <v>1872</v>
      </c>
      <c r="D6" s="937" t="s">
        <v>3500</v>
      </c>
      <c r="E6" s="937" t="s">
        <v>373</v>
      </c>
      <c r="F6" s="937" t="s">
        <v>374</v>
      </c>
      <c r="G6" s="937" t="s">
        <v>375</v>
      </c>
      <c r="H6" s="938" t="s">
        <v>376</v>
      </c>
      <c r="I6" s="2742" t="s">
        <v>779</v>
      </c>
      <c r="J6" s="937" t="s">
        <v>780</v>
      </c>
      <c r="K6" s="937" t="s">
        <v>781</v>
      </c>
      <c r="L6" s="946" t="s">
        <v>782</v>
      </c>
    </row>
    <row r="7" spans="1:31">
      <c r="A7" s="1410"/>
      <c r="B7" s="1308"/>
      <c r="C7" s="1308"/>
      <c r="D7" s="1308"/>
      <c r="E7" s="1308"/>
      <c r="F7" s="1308"/>
      <c r="G7" s="1308"/>
      <c r="H7" s="2741"/>
      <c r="I7" s="2743"/>
      <c r="J7" s="1308"/>
      <c r="K7" s="1308"/>
      <c r="L7" s="1411"/>
    </row>
    <row r="8" spans="1:31">
      <c r="A8" s="936">
        <v>1</v>
      </c>
      <c r="B8" s="1624" t="s">
        <v>1020</v>
      </c>
      <c r="C8" s="1622" t="s">
        <v>3491</v>
      </c>
      <c r="D8" s="1622" t="s">
        <v>377</v>
      </c>
      <c r="E8" s="1814" t="s">
        <v>378</v>
      </c>
      <c r="F8" s="1622" t="s">
        <v>2945</v>
      </c>
      <c r="G8" s="1622" t="s">
        <v>379</v>
      </c>
      <c r="H8" s="1654" t="s">
        <v>1984</v>
      </c>
      <c r="I8" s="1827" t="s">
        <v>1748</v>
      </c>
      <c r="J8" s="1622" t="s">
        <v>1748</v>
      </c>
      <c r="K8" s="1622" t="s">
        <v>1748</v>
      </c>
      <c r="L8" s="1828" t="s">
        <v>1748</v>
      </c>
    </row>
    <row r="9" spans="1:31">
      <c r="A9" s="936">
        <v>2</v>
      </c>
      <c r="B9" s="1624" t="s">
        <v>4279</v>
      </c>
      <c r="C9" s="1794" t="s">
        <v>4280</v>
      </c>
      <c r="D9" s="1794" t="s">
        <v>4280</v>
      </c>
      <c r="E9" s="1815" t="s">
        <v>4280</v>
      </c>
      <c r="F9" s="1794" t="s">
        <v>4280</v>
      </c>
      <c r="G9" s="1794" t="s">
        <v>4280</v>
      </c>
      <c r="H9" s="2697" t="s">
        <v>4280</v>
      </c>
      <c r="I9" s="1808" t="s">
        <v>4280</v>
      </c>
      <c r="J9" s="1794" t="s">
        <v>4280</v>
      </c>
      <c r="K9" s="1794" t="s">
        <v>4280</v>
      </c>
      <c r="L9" s="1821" t="s">
        <v>4280</v>
      </c>
    </row>
    <row r="10" spans="1:31">
      <c r="A10" s="936">
        <v>3</v>
      </c>
      <c r="B10" s="1624" t="s">
        <v>479</v>
      </c>
      <c r="C10" s="1794">
        <v>1</v>
      </c>
      <c r="D10" s="1794">
        <v>1</v>
      </c>
      <c r="E10" s="1794">
        <v>2</v>
      </c>
      <c r="F10" s="1794">
        <v>1</v>
      </c>
      <c r="G10" s="1794">
        <v>1</v>
      </c>
      <c r="H10" s="2697">
        <v>1</v>
      </c>
      <c r="I10" s="1808">
        <v>1</v>
      </c>
      <c r="J10" s="1794">
        <v>1</v>
      </c>
      <c r="K10" s="1794">
        <v>1</v>
      </c>
      <c r="L10" s="1821">
        <v>1</v>
      </c>
    </row>
    <row r="11" spans="1:31">
      <c r="A11" s="936">
        <v>4</v>
      </c>
      <c r="B11" s="1624" t="s">
        <v>3820</v>
      </c>
      <c r="C11" s="726" t="s">
        <v>2289</v>
      </c>
      <c r="D11" s="726" t="s">
        <v>2289</v>
      </c>
      <c r="E11" s="726" t="s">
        <v>2289</v>
      </c>
      <c r="F11" s="726" t="s">
        <v>2289</v>
      </c>
      <c r="G11" s="726" t="s">
        <v>2289</v>
      </c>
      <c r="H11" s="600" t="s">
        <v>2289</v>
      </c>
      <c r="I11" s="714" t="s">
        <v>2289</v>
      </c>
      <c r="J11" s="726" t="s">
        <v>2289</v>
      </c>
      <c r="K11" s="726" t="s">
        <v>2289</v>
      </c>
      <c r="L11" s="796" t="s">
        <v>2289</v>
      </c>
    </row>
    <row r="12" spans="1:31">
      <c r="A12" s="936">
        <v>5</v>
      </c>
      <c r="B12" s="1624" t="s">
        <v>3821</v>
      </c>
      <c r="C12" s="1794"/>
      <c r="D12" s="1794"/>
      <c r="E12" s="1794"/>
      <c r="F12" s="1794"/>
      <c r="G12" s="1794"/>
      <c r="H12" s="2697"/>
      <c r="I12" s="1808"/>
      <c r="J12" s="1794"/>
      <c r="K12" s="1794"/>
      <c r="L12" s="1821"/>
    </row>
    <row r="13" spans="1:31">
      <c r="A13" s="936">
        <v>6</v>
      </c>
      <c r="B13" s="1624" t="s">
        <v>4282</v>
      </c>
      <c r="C13" s="1794">
        <v>328964</v>
      </c>
      <c r="D13" s="1794">
        <v>63575</v>
      </c>
      <c r="E13" s="1794">
        <v>61334</v>
      </c>
      <c r="F13" s="1794">
        <v>27895</v>
      </c>
      <c r="G13" s="1794">
        <v>184047</v>
      </c>
      <c r="H13" s="2697">
        <v>229936</v>
      </c>
      <c r="I13" s="1808">
        <v>0</v>
      </c>
      <c r="J13" s="1794">
        <v>0</v>
      </c>
      <c r="K13" s="1794">
        <v>0</v>
      </c>
      <c r="L13" s="1821">
        <v>41276</v>
      </c>
    </row>
    <row r="14" spans="1:31">
      <c r="A14" s="936">
        <v>7</v>
      </c>
      <c r="B14" s="1624" t="s">
        <v>3823</v>
      </c>
      <c r="C14" s="1794" t="s">
        <v>1604</v>
      </c>
      <c r="D14" s="1794" t="s">
        <v>1604</v>
      </c>
      <c r="E14" s="1794" t="s">
        <v>1604</v>
      </c>
      <c r="F14" s="1794" t="s">
        <v>1604</v>
      </c>
      <c r="G14" s="1794" t="s">
        <v>1604</v>
      </c>
      <c r="H14" s="2697" t="s">
        <v>1604</v>
      </c>
      <c r="I14" s="1808" t="s">
        <v>1604</v>
      </c>
      <c r="J14" s="1794" t="s">
        <v>1604</v>
      </c>
      <c r="K14" s="1794" t="s">
        <v>1604</v>
      </c>
      <c r="L14" s="1821" t="s">
        <v>1604</v>
      </c>
    </row>
    <row r="15" spans="1:31">
      <c r="A15" s="936">
        <v>8</v>
      </c>
      <c r="B15" s="1624" t="s">
        <v>4284</v>
      </c>
      <c r="C15" s="1794">
        <v>901.27123287671236</v>
      </c>
      <c r="D15" s="1794">
        <v>174.17808219178082</v>
      </c>
      <c r="E15" s="1794">
        <v>168.03835616438357</v>
      </c>
      <c r="F15" s="1794">
        <v>76.424657534246577</v>
      </c>
      <c r="G15" s="1794">
        <v>504.23835616438356</v>
      </c>
      <c r="H15" s="2697">
        <v>629.96164383561643</v>
      </c>
      <c r="I15" s="1808">
        <v>0</v>
      </c>
      <c r="J15" s="1794">
        <v>0</v>
      </c>
      <c r="K15" s="1794">
        <v>0</v>
      </c>
      <c r="L15" s="1821">
        <v>113.08493150684932</v>
      </c>
    </row>
    <row r="16" spans="1:31">
      <c r="A16" s="936">
        <v>9</v>
      </c>
      <c r="B16" s="1624" t="s">
        <v>3014</v>
      </c>
      <c r="C16" s="1794">
        <v>1022</v>
      </c>
      <c r="D16" s="1794">
        <v>300</v>
      </c>
      <c r="E16" s="1794">
        <v>150</v>
      </c>
      <c r="F16" s="1794">
        <v>180</v>
      </c>
      <c r="G16" s="1794">
        <v>450</v>
      </c>
      <c r="H16" s="2697">
        <v>550</v>
      </c>
      <c r="I16" s="1808">
        <v>0</v>
      </c>
      <c r="J16" s="1794">
        <v>0</v>
      </c>
      <c r="K16" s="1794">
        <v>178</v>
      </c>
      <c r="L16" s="1821">
        <v>177</v>
      </c>
    </row>
    <row r="17" spans="1:12">
      <c r="A17" s="936">
        <v>10</v>
      </c>
      <c r="B17" s="1624" t="s">
        <v>1410</v>
      </c>
      <c r="C17" s="1794">
        <v>2</v>
      </c>
      <c r="D17" s="1794">
        <v>2</v>
      </c>
      <c r="E17" s="1794">
        <v>2</v>
      </c>
      <c r="F17" s="1794">
        <v>1</v>
      </c>
      <c r="G17" s="1794">
        <v>1</v>
      </c>
      <c r="H17" s="2697">
        <v>1</v>
      </c>
      <c r="I17" s="1808">
        <v>1</v>
      </c>
      <c r="J17" s="1794">
        <v>1</v>
      </c>
      <c r="K17" s="1794">
        <v>1</v>
      </c>
      <c r="L17" s="1821">
        <v>1</v>
      </c>
    </row>
    <row r="18" spans="1:12">
      <c r="A18" s="1421" t="s">
        <v>350</v>
      </c>
      <c r="B18" s="1652" t="s">
        <v>1411</v>
      </c>
      <c r="C18" s="1798">
        <v>45118</v>
      </c>
      <c r="D18" s="1798">
        <v>45167</v>
      </c>
      <c r="E18" s="1798">
        <v>45211</v>
      </c>
      <c r="F18" s="1798">
        <v>45289</v>
      </c>
      <c r="G18" s="1798">
        <v>45084</v>
      </c>
      <c r="H18" s="2698">
        <v>45038</v>
      </c>
      <c r="I18" s="1825">
        <v>44927</v>
      </c>
      <c r="J18" s="1798" t="s">
        <v>5425</v>
      </c>
      <c r="K18" s="1798">
        <v>44927</v>
      </c>
      <c r="L18" s="1826">
        <v>44190</v>
      </c>
    </row>
    <row r="19" spans="1:12">
      <c r="A19" s="936">
        <v>12</v>
      </c>
      <c r="B19" s="1624" t="s">
        <v>1412</v>
      </c>
      <c r="C19" s="1794">
        <v>1022</v>
      </c>
      <c r="D19" s="1794">
        <v>300</v>
      </c>
      <c r="E19" s="1794">
        <v>150</v>
      </c>
      <c r="F19" s="1794">
        <v>180</v>
      </c>
      <c r="G19" s="1794">
        <v>450</v>
      </c>
      <c r="H19" s="2697">
        <v>550</v>
      </c>
      <c r="I19" s="1808">
        <v>0</v>
      </c>
      <c r="J19" s="1794">
        <v>0</v>
      </c>
      <c r="K19" s="1794">
        <v>0</v>
      </c>
      <c r="L19" s="1821">
        <v>177</v>
      </c>
    </row>
    <row r="20" spans="1:12">
      <c r="A20" s="936">
        <v>13</v>
      </c>
      <c r="B20" s="1624" t="s">
        <v>1411</v>
      </c>
      <c r="C20" s="1798">
        <v>45118</v>
      </c>
      <c r="D20" s="1798">
        <v>45167</v>
      </c>
      <c r="E20" s="1798">
        <v>45211</v>
      </c>
      <c r="F20" s="1798">
        <v>45289</v>
      </c>
      <c r="G20" s="1798">
        <v>45084</v>
      </c>
      <c r="H20" s="2698">
        <v>45038</v>
      </c>
      <c r="I20" s="1825">
        <v>44927</v>
      </c>
      <c r="J20" s="1798" t="s">
        <v>5425</v>
      </c>
      <c r="K20" s="1798">
        <v>44927</v>
      </c>
      <c r="L20" s="1826">
        <v>44190</v>
      </c>
    </row>
    <row r="21" spans="1:12">
      <c r="A21" s="936">
        <v>14</v>
      </c>
      <c r="B21" s="1624" t="s">
        <v>1413</v>
      </c>
      <c r="C21" s="1794" t="s">
        <v>4281</v>
      </c>
      <c r="D21" s="1794" t="s">
        <v>4281</v>
      </c>
      <c r="E21" s="1794" t="s">
        <v>4281</v>
      </c>
      <c r="F21" s="1794" t="s">
        <v>4281</v>
      </c>
      <c r="G21" s="1794" t="s">
        <v>4281</v>
      </c>
      <c r="H21" s="2697" t="s">
        <v>4281</v>
      </c>
      <c r="I21" s="1808" t="s">
        <v>4281</v>
      </c>
      <c r="J21" s="1794" t="s">
        <v>4281</v>
      </c>
      <c r="K21" s="1794" t="s">
        <v>4281</v>
      </c>
      <c r="L21" s="1821" t="s">
        <v>4281</v>
      </c>
    </row>
    <row r="22" spans="1:12">
      <c r="A22" s="936">
        <v>15</v>
      </c>
      <c r="B22" s="1624" t="s">
        <v>1500</v>
      </c>
      <c r="C22" s="1622" t="s">
        <v>2169</v>
      </c>
      <c r="D22" s="1622" t="s">
        <v>2169</v>
      </c>
      <c r="E22" s="1622" t="s">
        <v>2169</v>
      </c>
      <c r="F22" s="1622" t="s">
        <v>2169</v>
      </c>
      <c r="G22" s="1622" t="s">
        <v>2169</v>
      </c>
      <c r="H22" s="1654" t="s">
        <v>2169</v>
      </c>
      <c r="I22" s="1827" t="s">
        <v>2169</v>
      </c>
      <c r="J22" s="1622" t="s">
        <v>2169</v>
      </c>
      <c r="K22" s="1622" t="s">
        <v>2169</v>
      </c>
      <c r="L22" s="1828" t="s">
        <v>2169</v>
      </c>
    </row>
    <row r="23" spans="1:12">
      <c r="A23" s="936">
        <v>16</v>
      </c>
      <c r="B23" s="1624" t="s">
        <v>1501</v>
      </c>
      <c r="C23" s="1622"/>
      <c r="D23" s="1622"/>
      <c r="E23" s="1622"/>
      <c r="F23" s="1622"/>
      <c r="G23" s="1622"/>
      <c r="H23" s="1654"/>
      <c r="I23" s="1827"/>
      <c r="J23" s="1622"/>
      <c r="K23" s="1622"/>
      <c r="L23" s="1828"/>
    </row>
    <row r="24" spans="1:12">
      <c r="A24" s="936">
        <v>17</v>
      </c>
      <c r="B24" s="1624" t="s">
        <v>1502</v>
      </c>
      <c r="C24" s="1794" t="s">
        <v>2289</v>
      </c>
      <c r="D24" s="1794" t="s">
        <v>2289</v>
      </c>
      <c r="E24" s="1794" t="s">
        <v>2289</v>
      </c>
      <c r="F24" s="1794" t="s">
        <v>2289</v>
      </c>
      <c r="G24" s="1794" t="s">
        <v>2289</v>
      </c>
      <c r="H24" s="2697" t="s">
        <v>2289</v>
      </c>
      <c r="I24" s="1808" t="s">
        <v>2289</v>
      </c>
      <c r="J24" s="1794" t="s">
        <v>2289</v>
      </c>
      <c r="K24" s="1794" t="s">
        <v>2289</v>
      </c>
      <c r="L24" s="1821" t="s">
        <v>2289</v>
      </c>
    </row>
    <row r="25" spans="1:12">
      <c r="A25" s="936">
        <v>18</v>
      </c>
      <c r="B25" s="1624" t="s">
        <v>522</v>
      </c>
      <c r="C25" s="1794" t="s">
        <v>2289</v>
      </c>
      <c r="D25" s="1794" t="s">
        <v>2289</v>
      </c>
      <c r="E25" s="1794" t="s">
        <v>2289</v>
      </c>
      <c r="F25" s="1794" t="s">
        <v>2289</v>
      </c>
      <c r="G25" s="1794" t="s">
        <v>2289</v>
      </c>
      <c r="H25" s="2697" t="s">
        <v>2289</v>
      </c>
      <c r="I25" s="1808" t="s">
        <v>2289</v>
      </c>
      <c r="J25" s="1794" t="s">
        <v>2289</v>
      </c>
      <c r="K25" s="1794" t="s">
        <v>2289</v>
      </c>
      <c r="L25" s="1821" t="s">
        <v>2289</v>
      </c>
    </row>
    <row r="26" spans="1:12">
      <c r="A26" s="936">
        <v>19</v>
      </c>
      <c r="B26" s="1624" t="s">
        <v>523</v>
      </c>
      <c r="C26" s="1794" t="s">
        <v>2289</v>
      </c>
      <c r="D26" s="1794" t="s">
        <v>2289</v>
      </c>
      <c r="E26" s="1794" t="s">
        <v>2289</v>
      </c>
      <c r="F26" s="1794" t="s">
        <v>2289</v>
      </c>
      <c r="G26" s="1794" t="s">
        <v>2289</v>
      </c>
      <c r="H26" s="2697" t="s">
        <v>2289</v>
      </c>
      <c r="I26" s="1808" t="s">
        <v>2289</v>
      </c>
      <c r="J26" s="1794" t="s">
        <v>2289</v>
      </c>
      <c r="K26" s="1794" t="s">
        <v>2289</v>
      </c>
      <c r="L26" s="1821" t="s">
        <v>2289</v>
      </c>
    </row>
    <row r="27" spans="1:12">
      <c r="A27" s="936">
        <v>20</v>
      </c>
      <c r="B27" s="1624" t="s">
        <v>2170</v>
      </c>
      <c r="C27" s="1794">
        <v>893502</v>
      </c>
      <c r="D27" s="1794">
        <v>295728</v>
      </c>
      <c r="E27" s="1794">
        <v>535831</v>
      </c>
      <c r="F27" s="1794">
        <v>129700</v>
      </c>
      <c r="G27" s="1794">
        <v>563500</v>
      </c>
      <c r="H27" s="2697">
        <v>490454</v>
      </c>
      <c r="I27" s="1808">
        <v>8126</v>
      </c>
      <c r="J27" s="1794">
        <v>17632</v>
      </c>
      <c r="K27" s="1794">
        <v>18004</v>
      </c>
      <c r="L27" s="1821">
        <v>218223</v>
      </c>
    </row>
    <row r="28" spans="1:12">
      <c r="A28" s="1412" t="s">
        <v>360</v>
      </c>
      <c r="B28" s="1653" t="s">
        <v>525</v>
      </c>
      <c r="C28" s="1802">
        <v>0</v>
      </c>
      <c r="D28" s="1802">
        <v>0</v>
      </c>
      <c r="E28" s="1802" t="s">
        <v>3379</v>
      </c>
      <c r="F28" s="1802">
        <v>0</v>
      </c>
      <c r="G28" s="1802">
        <v>0</v>
      </c>
      <c r="H28" s="2397">
        <v>0</v>
      </c>
      <c r="I28" s="1829">
        <v>0</v>
      </c>
      <c r="J28" s="1802">
        <v>0</v>
      </c>
      <c r="K28" s="1802">
        <v>0</v>
      </c>
      <c r="L28" s="1810">
        <v>0</v>
      </c>
    </row>
    <row r="29" spans="1:12">
      <c r="A29" s="936">
        <v>22</v>
      </c>
      <c r="B29" s="1624" t="s">
        <v>2587</v>
      </c>
      <c r="C29" s="1794">
        <v>893502</v>
      </c>
      <c r="D29" s="1794">
        <v>295728</v>
      </c>
      <c r="E29" s="1794">
        <v>535831</v>
      </c>
      <c r="F29" s="1794">
        <v>129700</v>
      </c>
      <c r="G29" s="1794">
        <v>563500</v>
      </c>
      <c r="H29" s="2697">
        <v>490454</v>
      </c>
      <c r="I29" s="1808">
        <v>8126</v>
      </c>
      <c r="J29" s="1794">
        <v>17632</v>
      </c>
      <c r="K29" s="1794">
        <v>18004</v>
      </c>
      <c r="L29" s="1821">
        <v>218223</v>
      </c>
    </row>
    <row r="30" spans="1:12">
      <c r="A30" s="936">
        <v>23</v>
      </c>
      <c r="B30" s="1624" t="s">
        <v>2995</v>
      </c>
      <c r="C30" s="1794" t="s">
        <v>2289</v>
      </c>
      <c r="D30" s="1794" t="s">
        <v>2289</v>
      </c>
      <c r="E30" s="1794" t="s">
        <v>2289</v>
      </c>
      <c r="F30" s="1794" t="s">
        <v>2289</v>
      </c>
      <c r="G30" s="1794" t="s">
        <v>2289</v>
      </c>
      <c r="H30" s="2697" t="s">
        <v>2289</v>
      </c>
      <c r="I30" s="1808" t="s">
        <v>2289</v>
      </c>
      <c r="J30" s="1794" t="s">
        <v>2289</v>
      </c>
      <c r="K30" s="1794" t="s">
        <v>2289</v>
      </c>
      <c r="L30" s="1821" t="s">
        <v>2289</v>
      </c>
    </row>
    <row r="31" spans="1:12">
      <c r="A31" s="936">
        <v>24</v>
      </c>
      <c r="B31" s="1624" t="s">
        <v>2996</v>
      </c>
      <c r="C31" s="1794" t="s">
        <v>2289</v>
      </c>
      <c r="D31" s="1794" t="s">
        <v>2289</v>
      </c>
      <c r="E31" s="1794" t="s">
        <v>2289</v>
      </c>
      <c r="F31" s="1794" t="s">
        <v>2289</v>
      </c>
      <c r="G31" s="1794" t="s">
        <v>2289</v>
      </c>
      <c r="H31" s="2697" t="s">
        <v>2289</v>
      </c>
      <c r="I31" s="1808" t="s">
        <v>2289</v>
      </c>
      <c r="J31" s="1794" t="s">
        <v>2289</v>
      </c>
      <c r="K31" s="1794" t="s">
        <v>2289</v>
      </c>
      <c r="L31" s="1821" t="s">
        <v>2289</v>
      </c>
    </row>
    <row r="32" spans="1:12" ht="15.75" thickBot="1">
      <c r="A32" s="1422" t="s">
        <v>364</v>
      </c>
      <c r="B32" s="1648" t="s">
        <v>3466</v>
      </c>
      <c r="C32" s="1804">
        <v>3.0090682291073598</v>
      </c>
      <c r="D32" s="1804">
        <v>1.4559247370204518</v>
      </c>
      <c r="E32" s="1804">
        <v>1.8282705065020262</v>
      </c>
      <c r="F32" s="1804">
        <v>4.2259164779730005</v>
      </c>
      <c r="G32" s="1804">
        <v>3.8635844451397703</v>
      </c>
      <c r="H32" s="2398">
        <v>3.9139704298037299</v>
      </c>
      <c r="I32" s="2706">
        <v>0</v>
      </c>
      <c r="J32" s="1804">
        <v>0</v>
      </c>
      <c r="K32" s="1804">
        <v>0.91572330430334758</v>
      </c>
      <c r="L32" s="1832">
        <v>2.5569803038179404</v>
      </c>
    </row>
    <row r="33" spans="1:10">
      <c r="A33" s="1427"/>
      <c r="B33" s="2776" t="s">
        <v>5427</v>
      </c>
      <c r="C33" s="2777"/>
      <c r="D33" s="2776"/>
      <c r="E33" s="2776" t="s">
        <v>5428</v>
      </c>
      <c r="F33" s="2778"/>
      <c r="G33" s="2776"/>
      <c r="H33" s="2777"/>
      <c r="I33" s="2172"/>
      <c r="J33" s="2172"/>
    </row>
    <row r="34" spans="1:10">
      <c r="A34" s="1427"/>
      <c r="B34" s="2776" t="s">
        <v>5429</v>
      </c>
      <c r="C34" s="2777"/>
      <c r="D34" s="2776"/>
      <c r="E34" s="2776"/>
      <c r="F34" s="2778"/>
      <c r="G34" s="2776"/>
      <c r="H34" s="2777"/>
      <c r="I34" s="2172"/>
      <c r="J34" s="2172"/>
    </row>
    <row r="35" spans="1:10">
      <c r="A35" s="1414" t="s">
        <v>2024</v>
      </c>
      <c r="B35" s="1654"/>
      <c r="C35" s="1649"/>
      <c r="D35" s="1649"/>
      <c r="E35" s="1650"/>
      <c r="G35" s="1649"/>
      <c r="H35" s="1649"/>
      <c r="I35" s="1649"/>
      <c r="J35" s="1649"/>
    </row>
    <row r="36" spans="1:10">
      <c r="A36" s="954" t="s">
        <v>380</v>
      </c>
      <c r="B36" s="955"/>
      <c r="C36" s="955"/>
      <c r="D36" s="955"/>
      <c r="E36" s="955"/>
      <c r="F36" s="955"/>
      <c r="G36" s="955"/>
      <c r="H36" s="955"/>
      <c r="I36" s="955"/>
      <c r="J36" s="955"/>
    </row>
    <row r="37" spans="1:10">
      <c r="A37" s="938"/>
      <c r="B37" s="931"/>
      <c r="C37" s="931"/>
      <c r="D37" s="931"/>
      <c r="E37" s="931"/>
      <c r="F37" s="931"/>
      <c r="G37" s="931"/>
      <c r="H37" s="931"/>
      <c r="I37" s="931"/>
      <c r="J37" s="931"/>
    </row>
  </sheetData>
  <phoneticPr fontId="0" type="noConversion"/>
  <pageMargins left="0.3" right="0.3" top="0.8" bottom="0.5" header="0" footer="0"/>
  <pageSetup scale="75"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98"/>
  <dimension ref="A1:AE34"/>
  <sheetViews>
    <sheetView zoomScaleNormal="100" workbookViewId="0">
      <selection activeCell="A29" sqref="A29"/>
    </sheetView>
  </sheetViews>
  <sheetFormatPr defaultRowHeight="15"/>
  <cols>
    <col min="1" max="1" width="7.88671875" customWidth="1"/>
    <col min="2" max="2" width="37.21875" customWidth="1"/>
    <col min="3" max="3" width="10" customWidth="1"/>
    <col min="4" max="4" width="10.33203125" customWidth="1"/>
    <col min="5" max="5" width="10.44140625" customWidth="1"/>
    <col min="6" max="6" width="10.88671875" customWidth="1"/>
    <col min="7" max="7" width="8" bestFit="1" customWidth="1"/>
    <col min="8" max="9" width="8" customWidth="1"/>
    <col min="10" max="10" width="8" bestFit="1" customWidth="1"/>
    <col min="11" max="11" width="9.44140625" bestFit="1" customWidth="1"/>
  </cols>
  <sheetData>
    <row r="1" spans="1:31" ht="15.75" thickBot="1">
      <c r="A1" s="86" t="str">
        <f>'Data sheet'!A65</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c r="A2" s="1399"/>
      <c r="B2" s="2737"/>
      <c r="C2" s="2738"/>
      <c r="D2" s="2738"/>
      <c r="E2" s="1415"/>
      <c r="F2" s="1401"/>
      <c r="G2" s="1401"/>
      <c r="H2" s="1415" t="s">
        <v>1344</v>
      </c>
      <c r="I2" s="1401"/>
      <c r="J2" s="1416"/>
    </row>
    <row r="3" spans="1:31">
      <c r="A3" s="939"/>
      <c r="B3" s="238"/>
      <c r="C3" s="1346" t="s">
        <v>2167</v>
      </c>
      <c r="D3" s="1346" t="s">
        <v>2163</v>
      </c>
      <c r="E3" s="1403" t="s">
        <v>1989</v>
      </c>
      <c r="F3" s="1403" t="s">
        <v>3491</v>
      </c>
      <c r="G3" s="1403" t="s">
        <v>3491</v>
      </c>
      <c r="H3" s="1403" t="s">
        <v>3472</v>
      </c>
      <c r="I3" s="1346" t="s">
        <v>2873</v>
      </c>
      <c r="J3" s="1418" t="s">
        <v>2873</v>
      </c>
    </row>
    <row r="4" spans="1:31">
      <c r="A4" s="939"/>
      <c r="B4" s="949" t="s">
        <v>4273</v>
      </c>
      <c r="C4" s="1406">
        <v>56</v>
      </c>
      <c r="D4" s="1406">
        <v>55</v>
      </c>
      <c r="E4" s="1406">
        <v>68</v>
      </c>
      <c r="F4" s="1406">
        <v>27</v>
      </c>
      <c r="G4" s="1406">
        <v>29</v>
      </c>
      <c r="H4" s="1406">
        <v>33</v>
      </c>
      <c r="I4" s="1405">
        <v>30</v>
      </c>
      <c r="J4" s="1423" t="s">
        <v>2875</v>
      </c>
    </row>
    <row r="5" spans="1:31">
      <c r="A5" s="936" t="s">
        <v>2048</v>
      </c>
      <c r="B5" s="937" t="s">
        <v>1017</v>
      </c>
      <c r="C5" s="937"/>
      <c r="D5" s="937"/>
      <c r="E5" s="937"/>
      <c r="F5" s="937"/>
      <c r="G5" s="937"/>
      <c r="H5" s="937"/>
      <c r="I5" s="1409"/>
      <c r="J5" s="1428"/>
    </row>
    <row r="6" spans="1:31">
      <c r="A6" s="936" t="s">
        <v>2051</v>
      </c>
      <c r="B6" s="937"/>
      <c r="C6" s="937" t="s">
        <v>381</v>
      </c>
      <c r="D6" s="937" t="s">
        <v>382</v>
      </c>
      <c r="E6" s="937" t="s">
        <v>383</v>
      </c>
      <c r="F6" s="937" t="s">
        <v>384</v>
      </c>
      <c r="G6" s="937" t="s">
        <v>385</v>
      </c>
      <c r="H6" s="937" t="s">
        <v>386</v>
      </c>
      <c r="I6" s="937" t="s">
        <v>387</v>
      </c>
      <c r="J6" s="940" t="s">
        <v>1584</v>
      </c>
    </row>
    <row r="7" spans="1:31">
      <c r="A7" s="1410"/>
      <c r="B7" s="1308"/>
      <c r="C7" s="1308"/>
      <c r="D7" s="1308"/>
      <c r="E7" s="1308"/>
      <c r="F7" s="1308"/>
      <c r="G7" s="1308"/>
      <c r="H7" s="1308"/>
      <c r="I7" s="1308"/>
      <c r="J7" s="1309"/>
    </row>
    <row r="8" spans="1:31">
      <c r="A8" s="936">
        <v>1</v>
      </c>
      <c r="B8" s="941" t="s">
        <v>1020</v>
      </c>
      <c r="C8" s="937" t="s">
        <v>3491</v>
      </c>
      <c r="D8" s="937" t="s">
        <v>3491</v>
      </c>
      <c r="E8" s="937" t="s">
        <v>379</v>
      </c>
      <c r="F8" s="937" t="s">
        <v>3491</v>
      </c>
      <c r="G8" s="937" t="s">
        <v>3491</v>
      </c>
      <c r="H8" s="937" t="s">
        <v>1344</v>
      </c>
      <c r="I8" s="937" t="s">
        <v>3491</v>
      </c>
      <c r="J8" s="940" t="s">
        <v>3491</v>
      </c>
    </row>
    <row r="9" spans="1:31">
      <c r="A9" s="936">
        <v>2</v>
      </c>
      <c r="B9" s="941" t="s">
        <v>4279</v>
      </c>
      <c r="C9" s="1795" t="s">
        <v>4280</v>
      </c>
      <c r="D9" s="1795" t="s">
        <v>4280</v>
      </c>
      <c r="E9" s="1795" t="s">
        <v>4280</v>
      </c>
      <c r="F9" s="1795" t="s">
        <v>4280</v>
      </c>
      <c r="G9" s="1795" t="s">
        <v>4280</v>
      </c>
      <c r="H9" s="1795" t="s">
        <v>4280</v>
      </c>
      <c r="I9" s="1795" t="s">
        <v>4280</v>
      </c>
      <c r="J9" s="1806" t="s">
        <v>4280</v>
      </c>
    </row>
    <row r="10" spans="1:31">
      <c r="A10" s="936">
        <v>3</v>
      </c>
      <c r="B10" s="1624" t="s">
        <v>479</v>
      </c>
      <c r="C10" s="1794">
        <v>1</v>
      </c>
      <c r="D10" s="1794">
        <v>1</v>
      </c>
      <c r="E10" s="1794">
        <v>1</v>
      </c>
      <c r="F10" s="1794">
        <v>1</v>
      </c>
      <c r="G10" s="1794">
        <v>1</v>
      </c>
      <c r="H10" s="1794">
        <v>1</v>
      </c>
      <c r="I10" s="1794">
        <v>1</v>
      </c>
      <c r="J10" s="1797">
        <v>1</v>
      </c>
    </row>
    <row r="11" spans="1:31">
      <c r="A11" s="936">
        <v>4</v>
      </c>
      <c r="B11" s="1624" t="s">
        <v>3820</v>
      </c>
      <c r="C11" s="726" t="s">
        <v>2289</v>
      </c>
      <c r="D11" s="726" t="s">
        <v>2289</v>
      </c>
      <c r="E11" s="726" t="s">
        <v>2289</v>
      </c>
      <c r="F11" s="726" t="s">
        <v>2289</v>
      </c>
      <c r="G11" s="726" t="s">
        <v>2289</v>
      </c>
      <c r="H11" s="726" t="s">
        <v>2289</v>
      </c>
      <c r="I11" s="726" t="s">
        <v>2289</v>
      </c>
      <c r="J11" s="727" t="s">
        <v>2289</v>
      </c>
    </row>
    <row r="12" spans="1:31">
      <c r="A12" s="936">
        <v>5</v>
      </c>
      <c r="B12" s="1624" t="s">
        <v>3821</v>
      </c>
      <c r="C12" s="1794"/>
      <c r="D12" s="1794"/>
      <c r="E12" s="1794"/>
      <c r="F12" s="1794"/>
      <c r="G12" s="1794"/>
      <c r="H12" s="1794"/>
      <c r="I12" s="1794"/>
      <c r="J12" s="1797"/>
    </row>
    <row r="13" spans="1:31">
      <c r="A13" s="936">
        <v>6</v>
      </c>
      <c r="B13" s="1624" t="s">
        <v>4282</v>
      </c>
      <c r="C13" s="1811">
        <v>312270</v>
      </c>
      <c r="D13" s="1794">
        <v>79942</v>
      </c>
      <c r="E13" s="1794">
        <v>156091</v>
      </c>
      <c r="F13" s="1794">
        <v>375231</v>
      </c>
      <c r="G13" s="1794">
        <v>83270</v>
      </c>
      <c r="H13" s="1794">
        <v>42075</v>
      </c>
      <c r="I13" s="1794">
        <v>103618</v>
      </c>
      <c r="J13" s="1797">
        <v>34562</v>
      </c>
    </row>
    <row r="14" spans="1:31">
      <c r="A14" s="936">
        <v>7</v>
      </c>
      <c r="B14" s="1624" t="s">
        <v>3823</v>
      </c>
      <c r="C14" s="1794" t="s">
        <v>1604</v>
      </c>
      <c r="D14" s="1794" t="s">
        <v>1604</v>
      </c>
      <c r="E14" s="1794" t="s">
        <v>1604</v>
      </c>
      <c r="F14" s="1794" t="s">
        <v>1604</v>
      </c>
      <c r="G14" s="1794" t="s">
        <v>1604</v>
      </c>
      <c r="H14" s="1794" t="s">
        <v>1604</v>
      </c>
      <c r="I14" s="1794" t="s">
        <v>1604</v>
      </c>
      <c r="J14" s="1797" t="s">
        <v>1604</v>
      </c>
    </row>
    <row r="15" spans="1:31">
      <c r="A15" s="936">
        <v>8</v>
      </c>
      <c r="B15" s="1624" t="s">
        <v>4284</v>
      </c>
      <c r="C15" s="1794">
        <v>855.53424657534242</v>
      </c>
      <c r="D15" s="1794">
        <v>219.01917808219179</v>
      </c>
      <c r="E15" s="1794">
        <v>427.64657534246578</v>
      </c>
      <c r="F15" s="1794">
        <v>1028.0301369863014</v>
      </c>
      <c r="G15" s="1794">
        <v>228.13698630136986</v>
      </c>
      <c r="H15" s="1794">
        <v>115.27397260273973</v>
      </c>
      <c r="I15" s="1794">
        <v>283.88493150684934</v>
      </c>
      <c r="J15" s="1797">
        <v>94.69041095890411</v>
      </c>
    </row>
    <row r="16" spans="1:31">
      <c r="A16" s="936">
        <v>9</v>
      </c>
      <c r="B16" s="1624" t="s">
        <v>3014</v>
      </c>
      <c r="C16" s="1794">
        <v>850</v>
      </c>
      <c r="D16" s="1794">
        <v>336</v>
      </c>
      <c r="E16" s="1794">
        <v>342</v>
      </c>
      <c r="F16" s="1794">
        <v>823</v>
      </c>
      <c r="G16" s="1794">
        <v>810</v>
      </c>
      <c r="H16" s="1794">
        <v>137</v>
      </c>
      <c r="I16" s="1794">
        <v>253</v>
      </c>
      <c r="J16" s="1797">
        <v>127</v>
      </c>
    </row>
    <row r="17" spans="1:10">
      <c r="A17" s="936">
        <v>10</v>
      </c>
      <c r="B17" s="1624" t="s">
        <v>1410</v>
      </c>
      <c r="C17" s="1794">
        <v>1</v>
      </c>
      <c r="D17" s="1794">
        <v>1</v>
      </c>
      <c r="E17" s="1794">
        <v>1</v>
      </c>
      <c r="F17" s="1794">
        <v>1</v>
      </c>
      <c r="G17" s="1794">
        <v>1</v>
      </c>
      <c r="H17" s="1794">
        <v>1</v>
      </c>
      <c r="I17" s="1794">
        <v>1</v>
      </c>
      <c r="J17" s="1797">
        <v>1</v>
      </c>
    </row>
    <row r="18" spans="1:10">
      <c r="A18" s="1421" t="s">
        <v>350</v>
      </c>
      <c r="B18" s="1652" t="s">
        <v>1411</v>
      </c>
      <c r="C18" s="1798">
        <v>45032</v>
      </c>
      <c r="D18" s="1798">
        <v>45117</v>
      </c>
      <c r="E18" s="1798">
        <v>45006</v>
      </c>
      <c r="F18" s="1798">
        <v>45252</v>
      </c>
      <c r="G18" s="1798">
        <v>45106</v>
      </c>
      <c r="H18" s="1798">
        <v>45098</v>
      </c>
      <c r="I18" s="1798">
        <v>45079</v>
      </c>
      <c r="J18" s="1809">
        <v>45100</v>
      </c>
    </row>
    <row r="19" spans="1:10">
      <c r="A19" s="936">
        <v>12</v>
      </c>
      <c r="B19" s="1624" t="s">
        <v>1412</v>
      </c>
      <c r="C19" s="1794">
        <v>850</v>
      </c>
      <c r="D19" s="1794">
        <v>336</v>
      </c>
      <c r="E19" s="1794">
        <v>342</v>
      </c>
      <c r="F19" s="1794">
        <v>823</v>
      </c>
      <c r="G19" s="1794">
        <v>810</v>
      </c>
      <c r="H19" s="1794">
        <v>137</v>
      </c>
      <c r="I19" s="1794">
        <v>253</v>
      </c>
      <c r="J19" s="1797">
        <v>183</v>
      </c>
    </row>
    <row r="20" spans="1:10">
      <c r="A20" s="936">
        <v>13</v>
      </c>
      <c r="B20" s="1624" t="s">
        <v>1411</v>
      </c>
      <c r="C20" s="1798">
        <v>45032</v>
      </c>
      <c r="D20" s="1798">
        <v>45117</v>
      </c>
      <c r="E20" s="1798">
        <v>45006</v>
      </c>
      <c r="F20" s="1798">
        <v>45252</v>
      </c>
      <c r="G20" s="1798">
        <v>45106</v>
      </c>
      <c r="H20" s="1798">
        <v>45098</v>
      </c>
      <c r="I20" s="1798">
        <v>45079</v>
      </c>
      <c r="J20" s="1809">
        <v>45100</v>
      </c>
    </row>
    <row r="21" spans="1:10">
      <c r="A21" s="936">
        <v>14</v>
      </c>
      <c r="B21" s="1624" t="s">
        <v>1413</v>
      </c>
      <c r="C21" s="1794" t="s">
        <v>4281</v>
      </c>
      <c r="D21" s="1794" t="s">
        <v>4281</v>
      </c>
      <c r="E21" s="1794" t="s">
        <v>4281</v>
      </c>
      <c r="F21" s="1794" t="s">
        <v>4281</v>
      </c>
      <c r="G21" s="1794" t="s">
        <v>4281</v>
      </c>
      <c r="H21" s="1794" t="s">
        <v>4281</v>
      </c>
      <c r="I21" s="1794" t="s">
        <v>4281</v>
      </c>
      <c r="J21" s="1797" t="s">
        <v>4281</v>
      </c>
    </row>
    <row r="22" spans="1:10">
      <c r="A22" s="936">
        <v>15</v>
      </c>
      <c r="B22" s="1624" t="s">
        <v>1500</v>
      </c>
      <c r="C22" s="1622" t="s">
        <v>2169</v>
      </c>
      <c r="D22" s="1622" t="s">
        <v>2169</v>
      </c>
      <c r="E22" s="1622" t="s">
        <v>2169</v>
      </c>
      <c r="F22" s="1622" t="s">
        <v>2169</v>
      </c>
      <c r="G22" s="1622" t="s">
        <v>2169</v>
      </c>
      <c r="H22" s="1622" t="s">
        <v>2169</v>
      </c>
      <c r="I22" s="1622" t="s">
        <v>2169</v>
      </c>
      <c r="J22" s="1801" t="s">
        <v>2169</v>
      </c>
    </row>
    <row r="23" spans="1:10">
      <c r="A23" s="936">
        <v>16</v>
      </c>
      <c r="B23" s="1624" t="s">
        <v>1501</v>
      </c>
      <c r="C23" s="1622"/>
      <c r="D23" s="1622"/>
      <c r="E23" s="1622"/>
      <c r="F23" s="1622"/>
      <c r="G23" s="1622"/>
      <c r="H23" s="1622"/>
      <c r="I23" s="1622"/>
      <c r="J23" s="1801"/>
    </row>
    <row r="24" spans="1:10">
      <c r="A24" s="936">
        <v>17</v>
      </c>
      <c r="B24" s="1624" t="s">
        <v>1502</v>
      </c>
      <c r="C24" s="1794" t="s">
        <v>2289</v>
      </c>
      <c r="D24" s="1794" t="s">
        <v>2289</v>
      </c>
      <c r="E24" s="1794" t="s">
        <v>2289</v>
      </c>
      <c r="F24" s="1794" t="s">
        <v>2289</v>
      </c>
      <c r="G24" s="1794" t="s">
        <v>2289</v>
      </c>
      <c r="H24" s="1794" t="s">
        <v>2289</v>
      </c>
      <c r="I24" s="1794" t="s">
        <v>2289</v>
      </c>
      <c r="J24" s="1797" t="s">
        <v>2289</v>
      </c>
    </row>
    <row r="25" spans="1:10">
      <c r="A25" s="936">
        <v>18</v>
      </c>
      <c r="B25" s="1624" t="s">
        <v>522</v>
      </c>
      <c r="C25" s="1794" t="s">
        <v>2289</v>
      </c>
      <c r="D25" s="1794" t="s">
        <v>2289</v>
      </c>
      <c r="E25" s="1794" t="s">
        <v>2289</v>
      </c>
      <c r="F25" s="1794" t="s">
        <v>2289</v>
      </c>
      <c r="G25" s="1794" t="s">
        <v>2289</v>
      </c>
      <c r="H25" s="1794" t="s">
        <v>2289</v>
      </c>
      <c r="I25" s="1794" t="s">
        <v>2289</v>
      </c>
      <c r="J25" s="1797" t="s">
        <v>2289</v>
      </c>
    </row>
    <row r="26" spans="1:10">
      <c r="A26" s="936">
        <v>19</v>
      </c>
      <c r="B26" s="1624" t="s">
        <v>523</v>
      </c>
      <c r="C26" s="1794" t="s">
        <v>2289</v>
      </c>
      <c r="D26" s="1794" t="s">
        <v>2289</v>
      </c>
      <c r="E26" s="1794" t="s">
        <v>2289</v>
      </c>
      <c r="F26" s="1794" t="s">
        <v>2289</v>
      </c>
      <c r="G26" s="1794" t="s">
        <v>2289</v>
      </c>
      <c r="H26" s="1794" t="s">
        <v>2289</v>
      </c>
      <c r="I26" s="1794" t="s">
        <v>2289</v>
      </c>
      <c r="J26" s="1797" t="s">
        <v>2289</v>
      </c>
    </row>
    <row r="27" spans="1:10">
      <c r="A27" s="936">
        <v>20</v>
      </c>
      <c r="B27" s="1624" t="s">
        <v>2170</v>
      </c>
      <c r="C27" s="1794">
        <v>94143</v>
      </c>
      <c r="D27" s="1794">
        <v>213245</v>
      </c>
      <c r="E27" s="1794">
        <v>415550</v>
      </c>
      <c r="F27" s="1794">
        <v>869980</v>
      </c>
      <c r="G27" s="1794">
        <v>15800</v>
      </c>
      <c r="H27" s="1794">
        <v>45259</v>
      </c>
      <c r="I27" s="1794">
        <v>246378</v>
      </c>
      <c r="J27" s="1797">
        <v>86638</v>
      </c>
    </row>
    <row r="28" spans="1:10">
      <c r="A28" s="1412" t="s">
        <v>360</v>
      </c>
      <c r="B28" s="1653" t="s">
        <v>1585</v>
      </c>
      <c r="C28" s="1812">
        <v>0.50181819147467144</v>
      </c>
      <c r="D28" s="1813">
        <v>0.16926558653192339</v>
      </c>
      <c r="E28" s="1802">
        <v>0.11091454698592228</v>
      </c>
      <c r="F28" s="1802">
        <v>3.2638589392859602E-2</v>
      </c>
      <c r="G28" s="1802">
        <v>2.927017721518987</v>
      </c>
      <c r="H28" s="1802">
        <v>0.12246602885613909</v>
      </c>
      <c r="I28" s="1802">
        <v>0.10022546655951424</v>
      </c>
      <c r="J28" s="1803">
        <v>0.12042856483298323</v>
      </c>
    </row>
    <row r="29" spans="1:10">
      <c r="A29" s="936">
        <v>22</v>
      </c>
      <c r="B29" s="1624" t="s">
        <v>2587</v>
      </c>
      <c r="C29" s="1794">
        <v>94143</v>
      </c>
      <c r="D29" s="1794">
        <v>213245</v>
      </c>
      <c r="E29" s="1794">
        <v>415550</v>
      </c>
      <c r="F29" s="1794">
        <v>869980</v>
      </c>
      <c r="G29" s="1794">
        <v>15800</v>
      </c>
      <c r="H29" s="1794">
        <v>45259</v>
      </c>
      <c r="I29" s="1794">
        <v>246378</v>
      </c>
      <c r="J29" s="1797">
        <v>86638</v>
      </c>
    </row>
    <row r="30" spans="1:10">
      <c r="A30" s="936">
        <v>23</v>
      </c>
      <c r="B30" s="1624" t="s">
        <v>2995</v>
      </c>
      <c r="C30" s="1794" t="s">
        <v>2289</v>
      </c>
      <c r="D30" s="1794" t="s">
        <v>2289</v>
      </c>
      <c r="E30" s="1794" t="s">
        <v>2289</v>
      </c>
      <c r="F30" s="1794" t="s">
        <v>2289</v>
      </c>
      <c r="G30" s="1794" t="s">
        <v>2289</v>
      </c>
      <c r="H30" s="1794" t="s">
        <v>2289</v>
      </c>
      <c r="I30" s="1794" t="s">
        <v>2289</v>
      </c>
      <c r="J30" s="1797" t="s">
        <v>2289</v>
      </c>
    </row>
    <row r="31" spans="1:10">
      <c r="A31" s="936">
        <v>24</v>
      </c>
      <c r="B31" s="1624" t="s">
        <v>2996</v>
      </c>
      <c r="C31" s="1794" t="s">
        <v>2289</v>
      </c>
      <c r="D31" s="1794" t="s">
        <v>2289</v>
      </c>
      <c r="E31" s="1794" t="s">
        <v>2289</v>
      </c>
      <c r="F31" s="1794" t="s">
        <v>2289</v>
      </c>
      <c r="G31" s="1794" t="s">
        <v>2289</v>
      </c>
      <c r="H31" s="1794" t="s">
        <v>2289</v>
      </c>
      <c r="I31" s="1794" t="s">
        <v>2289</v>
      </c>
      <c r="J31" s="1797" t="s">
        <v>2289</v>
      </c>
    </row>
    <row r="32" spans="1:10" ht="15.75" thickBot="1">
      <c r="A32" s="1422" t="s">
        <v>364</v>
      </c>
      <c r="B32" s="1648" t="s">
        <v>3466</v>
      </c>
      <c r="C32" s="1804">
        <v>5.6660585926596934</v>
      </c>
      <c r="D32" s="1804">
        <v>3.4276505318099684</v>
      </c>
      <c r="E32" s="1804">
        <v>2.9304761992736608</v>
      </c>
      <c r="F32" s="1804">
        <v>4.5727554344949297</v>
      </c>
      <c r="G32" s="1804">
        <v>1.5598894231125544</v>
      </c>
      <c r="H32" s="1804">
        <v>4.1200208279093991</v>
      </c>
      <c r="I32" s="1804">
        <v>4.6763239321098293</v>
      </c>
      <c r="J32" s="1832">
        <v>2.1643574118921589</v>
      </c>
    </row>
    <row r="33" spans="1:10">
      <c r="A33" s="938"/>
      <c r="B33" s="1656" t="s">
        <v>2024</v>
      </c>
      <c r="C33" s="1649"/>
      <c r="D33" s="1649"/>
      <c r="E33" s="1650"/>
      <c r="F33" s="1656"/>
      <c r="G33" s="1649"/>
      <c r="H33" s="1649"/>
      <c r="J33" s="1649"/>
    </row>
    <row r="34" spans="1:10">
      <c r="A34" s="954" t="s">
        <v>1586</v>
      </c>
      <c r="B34" s="1651"/>
      <c r="C34" s="1651"/>
      <c r="D34" s="1651"/>
      <c r="E34" s="1651"/>
      <c r="F34" s="1651"/>
      <c r="G34" s="1651"/>
      <c r="H34" s="1651"/>
      <c r="I34" s="1649"/>
      <c r="J34" s="1649"/>
    </row>
  </sheetData>
  <phoneticPr fontId="0" type="noConversion"/>
  <pageMargins left="0.3" right="0.3" top="0.8" bottom="0.3" header="0" footer="0"/>
  <pageSetup scale="85"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99"/>
  <dimension ref="A1:AE36"/>
  <sheetViews>
    <sheetView zoomScaleNormal="100" workbookViewId="0">
      <selection activeCell="E37" sqref="E37"/>
    </sheetView>
  </sheetViews>
  <sheetFormatPr defaultRowHeight="15"/>
  <cols>
    <col min="1" max="1" width="7.21875" customWidth="1"/>
    <col min="2" max="2" width="37" customWidth="1"/>
    <col min="3" max="4" width="10.109375" customWidth="1"/>
    <col min="5" max="5" width="12.109375" customWidth="1"/>
    <col min="6" max="6" width="10.109375" bestFit="1" customWidth="1"/>
    <col min="7" max="8" width="10.109375" customWidth="1"/>
    <col min="9" max="9" width="9.77734375" customWidth="1"/>
  </cols>
  <sheetData>
    <row r="1" spans="1:31" ht="15.75" thickBot="1">
      <c r="A1" s="86" t="str">
        <f>'Data sheet'!A63</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c r="A2" s="1399"/>
      <c r="B2" s="1400"/>
      <c r="C2" s="1401"/>
      <c r="D2" s="1401"/>
      <c r="E2" s="1401"/>
      <c r="F2" s="1401"/>
      <c r="G2" s="1401"/>
      <c r="H2" s="1401"/>
      <c r="I2" s="1416" t="s">
        <v>1587</v>
      </c>
    </row>
    <row r="3" spans="1:31">
      <c r="A3" s="2447"/>
      <c r="B3" s="238"/>
      <c r="C3" s="1619" t="s">
        <v>1348</v>
      </c>
      <c r="D3" s="1619" t="s">
        <v>1348</v>
      </c>
      <c r="E3" s="1619" t="s">
        <v>1360</v>
      </c>
      <c r="F3" s="1619" t="s">
        <v>1363</v>
      </c>
      <c r="G3" s="1619" t="s">
        <v>1348</v>
      </c>
      <c r="H3" s="1619" t="s">
        <v>1348</v>
      </c>
      <c r="I3" s="2395" t="s">
        <v>1588</v>
      </c>
    </row>
    <row r="4" spans="1:31">
      <c r="A4" s="2447"/>
      <c r="B4" s="2448" t="s">
        <v>4273</v>
      </c>
      <c r="C4" s="1621">
        <v>49</v>
      </c>
      <c r="D4" s="1621" t="s">
        <v>1589</v>
      </c>
      <c r="E4" s="1621">
        <v>46</v>
      </c>
      <c r="F4" s="1621">
        <v>44</v>
      </c>
      <c r="G4" s="1621">
        <v>48</v>
      </c>
      <c r="H4" s="1407">
        <v>77</v>
      </c>
      <c r="I4" s="2396" t="s">
        <v>3472</v>
      </c>
    </row>
    <row r="5" spans="1:31">
      <c r="A5" s="1647" t="s">
        <v>2048</v>
      </c>
      <c r="B5" s="1622" t="s">
        <v>1017</v>
      </c>
      <c r="C5" s="1622"/>
      <c r="D5" s="1622"/>
      <c r="E5" s="1622"/>
      <c r="F5" s="1622"/>
      <c r="G5" s="1622"/>
      <c r="H5" s="1622"/>
      <c r="I5" s="1801"/>
    </row>
    <row r="6" spans="1:31">
      <c r="A6" s="1647" t="s">
        <v>2051</v>
      </c>
      <c r="B6" s="1622"/>
      <c r="C6" s="1622" t="s">
        <v>1590</v>
      </c>
      <c r="D6" s="1622" t="s">
        <v>1591</v>
      </c>
      <c r="E6" s="1622" t="s">
        <v>1592</v>
      </c>
      <c r="F6" s="1622" t="s">
        <v>1593</v>
      </c>
      <c r="G6" s="1622" t="s">
        <v>1594</v>
      </c>
      <c r="H6" s="1622" t="s">
        <v>1595</v>
      </c>
      <c r="I6" s="1801" t="s">
        <v>1596</v>
      </c>
    </row>
    <row r="7" spans="1:31">
      <c r="A7" s="2449"/>
      <c r="B7" s="1623"/>
      <c r="C7" s="1623"/>
      <c r="D7" s="1623"/>
      <c r="E7" s="1623"/>
      <c r="F7" s="1623"/>
      <c r="G7" s="1623"/>
      <c r="H7" s="1623"/>
      <c r="I7" s="1655"/>
    </row>
    <row r="8" spans="1:31">
      <c r="A8" s="1647">
        <v>1</v>
      </c>
      <c r="B8" s="1624" t="s">
        <v>1020</v>
      </c>
      <c r="C8" s="1814" t="s">
        <v>3698</v>
      </c>
      <c r="D8" s="1814" t="s">
        <v>3698</v>
      </c>
      <c r="E8" s="1814" t="s">
        <v>1597</v>
      </c>
      <c r="F8" s="1814" t="s">
        <v>3698</v>
      </c>
      <c r="G8" s="1814" t="s">
        <v>3698</v>
      </c>
      <c r="H8" s="1814" t="s">
        <v>3698</v>
      </c>
      <c r="I8" s="2399" t="s">
        <v>3698</v>
      </c>
    </row>
    <row r="9" spans="1:31">
      <c r="A9" s="83"/>
      <c r="B9" s="238"/>
      <c r="C9" s="1814" t="s">
        <v>1598</v>
      </c>
      <c r="D9" s="1814" t="s">
        <v>1598</v>
      </c>
      <c r="E9" s="1814" t="s">
        <v>1598</v>
      </c>
      <c r="F9" s="1814" t="s">
        <v>1598</v>
      </c>
      <c r="G9" s="1814" t="s">
        <v>1598</v>
      </c>
      <c r="H9" s="1814" t="s">
        <v>1598</v>
      </c>
      <c r="I9" s="2399" t="s">
        <v>929</v>
      </c>
    </row>
    <row r="10" spans="1:31">
      <c r="A10" s="1647">
        <v>2</v>
      </c>
      <c r="B10" s="1624" t="s">
        <v>4279</v>
      </c>
      <c r="C10" s="1815" t="s">
        <v>4280</v>
      </c>
      <c r="D10" s="1815" t="s">
        <v>4280</v>
      </c>
      <c r="E10" s="1815" t="s">
        <v>4280</v>
      </c>
      <c r="F10" s="1815" t="s">
        <v>4280</v>
      </c>
      <c r="G10" s="1815" t="s">
        <v>4280</v>
      </c>
      <c r="H10" s="1815" t="s">
        <v>4280</v>
      </c>
      <c r="I10" s="2402" t="s">
        <v>4280</v>
      </c>
    </row>
    <row r="11" spans="1:31">
      <c r="A11" s="1647">
        <v>3</v>
      </c>
      <c r="B11" s="1624" t="s">
        <v>479</v>
      </c>
      <c r="C11" s="1794">
        <v>1</v>
      </c>
      <c r="D11" s="1794">
        <v>2</v>
      </c>
      <c r="E11" s="1794">
        <v>1</v>
      </c>
      <c r="F11" s="1794">
        <v>1</v>
      </c>
      <c r="G11" s="1794">
        <v>1</v>
      </c>
      <c r="H11" s="1794">
        <v>1</v>
      </c>
      <c r="I11" s="1797">
        <v>1</v>
      </c>
    </row>
    <row r="12" spans="1:31">
      <c r="A12" s="1647">
        <v>4</v>
      </c>
      <c r="B12" s="1624" t="s">
        <v>3820</v>
      </c>
      <c r="C12" s="726" t="s">
        <v>2289</v>
      </c>
      <c r="D12" s="726" t="s">
        <v>2289</v>
      </c>
      <c r="E12" s="726" t="s">
        <v>2289</v>
      </c>
      <c r="F12" s="726" t="s">
        <v>2289</v>
      </c>
      <c r="G12" s="726" t="s">
        <v>2289</v>
      </c>
      <c r="H12" s="726" t="s">
        <v>2289</v>
      </c>
      <c r="I12" s="727" t="s">
        <v>2289</v>
      </c>
    </row>
    <row r="13" spans="1:31">
      <c r="A13" s="1647">
        <v>5</v>
      </c>
      <c r="B13" s="1624" t="s">
        <v>3821</v>
      </c>
      <c r="C13" s="1794"/>
      <c r="D13" s="1794"/>
      <c r="E13" s="1794"/>
      <c r="F13" s="1794"/>
      <c r="G13" s="1794"/>
      <c r="H13" s="1794"/>
      <c r="I13" s="1797"/>
    </row>
    <row r="14" spans="1:31">
      <c r="A14" s="1647">
        <v>6</v>
      </c>
      <c r="B14" s="1624" t="s">
        <v>4282</v>
      </c>
      <c r="C14" s="1794">
        <v>0</v>
      </c>
      <c r="D14" s="1794">
        <v>74536</v>
      </c>
      <c r="E14" s="1794">
        <v>0</v>
      </c>
      <c r="F14" s="1794">
        <v>0</v>
      </c>
      <c r="G14" s="1794" t="s">
        <v>4283</v>
      </c>
      <c r="H14" s="1794" t="s">
        <v>4283</v>
      </c>
      <c r="I14" s="1797" t="s">
        <v>4283</v>
      </c>
    </row>
    <row r="15" spans="1:31">
      <c r="A15" s="1647">
        <v>7</v>
      </c>
      <c r="B15" s="1624" t="s">
        <v>3823</v>
      </c>
      <c r="C15" s="1794" t="s">
        <v>1604</v>
      </c>
      <c r="D15" s="1794" t="s">
        <v>1604</v>
      </c>
      <c r="E15" s="1794" t="s">
        <v>1604</v>
      </c>
      <c r="F15" s="1794" t="s">
        <v>1604</v>
      </c>
      <c r="G15" s="1794" t="s">
        <v>1604</v>
      </c>
      <c r="H15" s="1794" t="s">
        <v>1604</v>
      </c>
      <c r="I15" s="1797" t="s">
        <v>1604</v>
      </c>
    </row>
    <row r="16" spans="1:31">
      <c r="A16" s="1647">
        <v>8</v>
      </c>
      <c r="B16" s="1624" t="s">
        <v>4284</v>
      </c>
      <c r="C16" s="1794">
        <v>0</v>
      </c>
      <c r="D16" s="1794">
        <v>204.2082191780822</v>
      </c>
      <c r="E16" s="1794">
        <v>0</v>
      </c>
      <c r="F16" s="1794">
        <v>0</v>
      </c>
      <c r="G16" s="1794" t="s">
        <v>3379</v>
      </c>
      <c r="H16" s="1794" t="s">
        <v>3379</v>
      </c>
      <c r="I16" s="1797" t="s">
        <v>3379</v>
      </c>
    </row>
    <row r="17" spans="1:9">
      <c r="A17" s="1647">
        <v>9</v>
      </c>
      <c r="B17" s="1624" t="s">
        <v>3014</v>
      </c>
      <c r="C17" s="1794">
        <v>0</v>
      </c>
      <c r="D17" s="1794">
        <v>183</v>
      </c>
      <c r="E17" s="1794">
        <v>0</v>
      </c>
      <c r="F17" s="1794">
        <v>566</v>
      </c>
      <c r="G17" s="1794" t="s">
        <v>3379</v>
      </c>
      <c r="H17" s="1794" t="s">
        <v>3379</v>
      </c>
      <c r="I17" s="1797" t="s">
        <v>3379</v>
      </c>
    </row>
    <row r="18" spans="1:9">
      <c r="A18" s="1647">
        <v>10</v>
      </c>
      <c r="B18" s="1624" t="s">
        <v>1410</v>
      </c>
      <c r="C18" s="1794">
        <v>1</v>
      </c>
      <c r="D18" s="1794">
        <v>2</v>
      </c>
      <c r="E18" s="1794">
        <v>1</v>
      </c>
      <c r="F18" s="1794">
        <v>1</v>
      </c>
      <c r="G18" s="1794">
        <v>1</v>
      </c>
      <c r="H18" s="1794">
        <v>1</v>
      </c>
      <c r="I18" s="1797">
        <v>1</v>
      </c>
    </row>
    <row r="19" spans="1:9">
      <c r="A19" s="2450" t="s">
        <v>350</v>
      </c>
      <c r="B19" s="1652" t="s">
        <v>1411</v>
      </c>
      <c r="C19" s="1799">
        <v>44927</v>
      </c>
      <c r="D19" s="1799">
        <v>45290</v>
      </c>
      <c r="E19" s="1799">
        <v>44927</v>
      </c>
      <c r="F19" s="1799">
        <v>44927</v>
      </c>
      <c r="G19" s="1799" t="s">
        <v>3379</v>
      </c>
      <c r="H19" s="1799" t="s">
        <v>3379</v>
      </c>
      <c r="I19" s="1809" t="s">
        <v>3379</v>
      </c>
    </row>
    <row r="20" spans="1:9">
      <c r="A20" s="1647">
        <v>12</v>
      </c>
      <c r="B20" s="1624" t="s">
        <v>1412</v>
      </c>
      <c r="C20" s="1794">
        <v>0</v>
      </c>
      <c r="D20" s="1794">
        <v>183</v>
      </c>
      <c r="E20" s="1794">
        <v>0</v>
      </c>
      <c r="F20" s="1794">
        <v>566</v>
      </c>
      <c r="G20" s="1794" t="s">
        <v>3379</v>
      </c>
      <c r="H20" s="1794" t="s">
        <v>3379</v>
      </c>
      <c r="I20" s="1797" t="s">
        <v>3379</v>
      </c>
    </row>
    <row r="21" spans="1:9">
      <c r="A21" s="1647">
        <v>13</v>
      </c>
      <c r="B21" s="1624" t="s">
        <v>1411</v>
      </c>
      <c r="C21" s="1799">
        <v>44927</v>
      </c>
      <c r="D21" s="1799">
        <v>45290</v>
      </c>
      <c r="E21" s="1799">
        <v>44927</v>
      </c>
      <c r="F21" s="1799">
        <v>44927</v>
      </c>
      <c r="G21" s="1799" t="s">
        <v>3379</v>
      </c>
      <c r="H21" s="1799" t="s">
        <v>3379</v>
      </c>
      <c r="I21" s="1809" t="s">
        <v>3379</v>
      </c>
    </row>
    <row r="22" spans="1:9">
      <c r="A22" s="1647">
        <v>14</v>
      </c>
      <c r="B22" s="1624" t="s">
        <v>1413</v>
      </c>
      <c r="C22" s="1794" t="s">
        <v>4281</v>
      </c>
      <c r="D22" s="1794" t="s">
        <v>4281</v>
      </c>
      <c r="E22" s="1794" t="s">
        <v>4281</v>
      </c>
      <c r="F22" s="1794" t="s">
        <v>4281</v>
      </c>
      <c r="G22" s="1794" t="s">
        <v>4281</v>
      </c>
      <c r="H22" s="1794" t="s">
        <v>4281</v>
      </c>
      <c r="I22" s="1797" t="s">
        <v>4281</v>
      </c>
    </row>
    <row r="23" spans="1:9">
      <c r="A23" s="1647">
        <v>15</v>
      </c>
      <c r="B23" s="1624" t="s">
        <v>1500</v>
      </c>
      <c r="C23" s="1622" t="s">
        <v>2169</v>
      </c>
      <c r="D23" s="1622" t="s">
        <v>2169</v>
      </c>
      <c r="E23" s="1622" t="s">
        <v>2169</v>
      </c>
      <c r="F23" s="1622" t="s">
        <v>2169</v>
      </c>
      <c r="G23" s="1622" t="s">
        <v>2169</v>
      </c>
      <c r="H23" s="1622" t="s">
        <v>2169</v>
      </c>
      <c r="I23" s="1801" t="s">
        <v>2169</v>
      </c>
    </row>
    <row r="24" spans="1:9">
      <c r="A24" s="1647">
        <v>16</v>
      </c>
      <c r="B24" s="1624" t="s">
        <v>1501</v>
      </c>
      <c r="C24" s="1622"/>
      <c r="D24" s="1622"/>
      <c r="E24" s="1622"/>
      <c r="F24" s="1622"/>
      <c r="G24" s="1622"/>
      <c r="H24" s="1622"/>
      <c r="I24" s="1801"/>
    </row>
    <row r="25" spans="1:9">
      <c r="A25" s="1647">
        <v>17</v>
      </c>
      <c r="B25" s="1624" t="s">
        <v>1502</v>
      </c>
      <c r="C25" s="1794" t="s">
        <v>2289</v>
      </c>
      <c r="D25" s="1794" t="s">
        <v>2289</v>
      </c>
      <c r="E25" s="1794" t="s">
        <v>2289</v>
      </c>
      <c r="F25" s="1794" t="s">
        <v>2289</v>
      </c>
      <c r="G25" s="1794" t="s">
        <v>2289</v>
      </c>
      <c r="H25" s="1794" t="s">
        <v>2289</v>
      </c>
      <c r="I25" s="1797" t="s">
        <v>2289</v>
      </c>
    </row>
    <row r="26" spans="1:9">
      <c r="A26" s="1647">
        <v>18</v>
      </c>
      <c r="B26" s="1624" t="s">
        <v>522</v>
      </c>
      <c r="C26" s="1794" t="s">
        <v>2289</v>
      </c>
      <c r="D26" s="1794" t="s">
        <v>2289</v>
      </c>
      <c r="E26" s="1794" t="s">
        <v>2289</v>
      </c>
      <c r="F26" s="1794" t="s">
        <v>2289</v>
      </c>
      <c r="G26" s="1794" t="s">
        <v>2289</v>
      </c>
      <c r="H26" s="1794" t="s">
        <v>2289</v>
      </c>
      <c r="I26" s="1797" t="s">
        <v>2289</v>
      </c>
    </row>
    <row r="27" spans="1:9">
      <c r="A27" s="1647">
        <v>19</v>
      </c>
      <c r="B27" s="1624" t="s">
        <v>523</v>
      </c>
      <c r="C27" s="1794" t="s">
        <v>2289</v>
      </c>
      <c r="D27" s="1794" t="s">
        <v>2289</v>
      </c>
      <c r="E27" s="1794" t="s">
        <v>2289</v>
      </c>
      <c r="F27" s="1794" t="s">
        <v>2289</v>
      </c>
      <c r="G27" s="1794" t="s">
        <v>2289</v>
      </c>
      <c r="H27" s="1794" t="s">
        <v>2289</v>
      </c>
      <c r="I27" s="1797" t="s">
        <v>2289</v>
      </c>
    </row>
    <row r="28" spans="1:9">
      <c r="A28" s="1647">
        <v>20</v>
      </c>
      <c r="B28" s="1624" t="s">
        <v>2170</v>
      </c>
      <c r="C28" s="1794" t="s">
        <v>3379</v>
      </c>
      <c r="D28" s="1794">
        <v>192012</v>
      </c>
      <c r="E28" s="1794">
        <v>3214</v>
      </c>
      <c r="F28" s="1794" t="s">
        <v>3379</v>
      </c>
      <c r="G28" s="1794" t="s">
        <v>3379</v>
      </c>
      <c r="H28" s="1794" t="s">
        <v>3379</v>
      </c>
      <c r="I28" s="1797" t="s">
        <v>3379</v>
      </c>
    </row>
    <row r="29" spans="1:9">
      <c r="A29" s="2451" t="s">
        <v>360</v>
      </c>
      <c r="B29" s="1653" t="s">
        <v>525</v>
      </c>
      <c r="C29" s="1802" t="s">
        <v>3379</v>
      </c>
      <c r="D29" s="1802">
        <v>0</v>
      </c>
      <c r="E29" s="1802" t="s">
        <v>3379</v>
      </c>
      <c r="F29" s="1802" t="s">
        <v>3379</v>
      </c>
      <c r="G29" s="1802" t="s">
        <v>3379</v>
      </c>
      <c r="H29" s="1802" t="s">
        <v>3379</v>
      </c>
      <c r="I29" s="1803" t="s">
        <v>3379</v>
      </c>
    </row>
    <row r="30" spans="1:9">
      <c r="A30" s="1647">
        <v>22</v>
      </c>
      <c r="B30" s="1624" t="s">
        <v>2587</v>
      </c>
      <c r="C30" s="1794" t="s">
        <v>3379</v>
      </c>
      <c r="D30" s="1794">
        <v>192012</v>
      </c>
      <c r="E30" s="1794">
        <v>3214</v>
      </c>
      <c r="F30" s="1794" t="s">
        <v>3379</v>
      </c>
      <c r="G30" s="1794" t="s">
        <v>3379</v>
      </c>
      <c r="H30" s="1794" t="s">
        <v>3379</v>
      </c>
      <c r="I30" s="1797" t="s">
        <v>3379</v>
      </c>
    </row>
    <row r="31" spans="1:9">
      <c r="A31" s="1647">
        <v>23</v>
      </c>
      <c r="B31" s="1624" t="s">
        <v>2995</v>
      </c>
      <c r="C31" s="1794" t="s">
        <v>2289</v>
      </c>
      <c r="D31" s="1794" t="s">
        <v>2289</v>
      </c>
      <c r="E31" s="1794" t="s">
        <v>2289</v>
      </c>
      <c r="F31" s="1794" t="s">
        <v>2289</v>
      </c>
      <c r="G31" s="1794" t="s">
        <v>2289</v>
      </c>
      <c r="H31" s="1794" t="s">
        <v>2289</v>
      </c>
      <c r="I31" s="1797" t="s">
        <v>2289</v>
      </c>
    </row>
    <row r="32" spans="1:9">
      <c r="A32" s="1647">
        <v>24</v>
      </c>
      <c r="B32" s="1624" t="s">
        <v>2996</v>
      </c>
      <c r="C32" s="1794" t="s">
        <v>2289</v>
      </c>
      <c r="D32" s="1794" t="s">
        <v>2289</v>
      </c>
      <c r="E32" s="1794" t="s">
        <v>2289</v>
      </c>
      <c r="F32" s="1794" t="s">
        <v>2289</v>
      </c>
      <c r="G32" s="1794" t="s">
        <v>2289</v>
      </c>
      <c r="H32" s="1794" t="s">
        <v>2289</v>
      </c>
      <c r="I32" s="1797" t="s">
        <v>2289</v>
      </c>
    </row>
    <row r="33" spans="1:9" ht="15.75" thickBot="1">
      <c r="A33" s="2452" t="s">
        <v>364</v>
      </c>
      <c r="B33" s="1648" t="s">
        <v>3466</v>
      </c>
      <c r="C33" s="1804" t="s">
        <v>3379</v>
      </c>
      <c r="D33" s="1804">
        <v>3.7886954492749862</v>
      </c>
      <c r="E33" s="1804">
        <v>3.7879325937394947E-5</v>
      </c>
      <c r="F33" s="1804" t="s">
        <v>3379</v>
      </c>
      <c r="G33" s="1804" t="s">
        <v>3379</v>
      </c>
      <c r="H33" s="1804" t="s">
        <v>3379</v>
      </c>
      <c r="I33" s="1805" t="s">
        <v>3379</v>
      </c>
    </row>
    <row r="34" spans="1:9">
      <c r="A34" s="1656" t="s">
        <v>2024</v>
      </c>
      <c r="B34" s="2585"/>
      <c r="C34" s="14"/>
      <c r="D34" s="14"/>
      <c r="E34" s="2776"/>
      <c r="F34" s="2779"/>
      <c r="G34" s="1649"/>
      <c r="I34" s="1649"/>
    </row>
    <row r="35" spans="1:9">
      <c r="A35" s="954" t="s">
        <v>1599</v>
      </c>
      <c r="B35" s="1651"/>
      <c r="C35" s="1651"/>
      <c r="D35" s="1651"/>
      <c r="E35" s="1651"/>
      <c r="F35" s="1651"/>
      <c r="G35" s="1651"/>
      <c r="H35" s="1651"/>
      <c r="I35" s="1649"/>
    </row>
    <row r="36" spans="1:9">
      <c r="A36" s="1654"/>
      <c r="B36" s="1649"/>
      <c r="C36" s="1649"/>
      <c r="D36" s="1649"/>
      <c r="E36" s="1649"/>
      <c r="F36" s="1649"/>
      <c r="G36" s="1649"/>
      <c r="H36" s="1649"/>
      <c r="I36" s="1649"/>
    </row>
  </sheetData>
  <phoneticPr fontId="0" type="noConversion"/>
  <pageMargins left="0.55000000000000004" right="0.3" top="0.8" bottom="0.25" header="0" footer="0"/>
  <pageSetup scale="85"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00"/>
  <dimension ref="A1:AE36"/>
  <sheetViews>
    <sheetView zoomScaleNormal="100" workbookViewId="0">
      <selection activeCell="F33" sqref="F33"/>
    </sheetView>
  </sheetViews>
  <sheetFormatPr defaultRowHeight="15"/>
  <cols>
    <col min="1" max="1" width="6.77734375" customWidth="1"/>
    <col min="2" max="2" width="36.77734375" customWidth="1"/>
    <col min="3" max="3" width="14.5546875" customWidth="1"/>
    <col min="4" max="4" width="12.44140625" customWidth="1"/>
    <col min="5" max="5" width="11.6640625" customWidth="1"/>
    <col min="6" max="6" width="10.5546875" customWidth="1"/>
    <col min="7" max="7" width="12" customWidth="1"/>
    <col min="8" max="8" width="13.21875" customWidth="1"/>
    <col min="9" max="9" width="11.88671875" customWidth="1"/>
  </cols>
  <sheetData>
    <row r="1" spans="1:31" ht="15.75" thickBot="1">
      <c r="A1" s="86" t="str">
        <f>'Data sheet'!A65</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c r="A2" s="1399"/>
      <c r="B2" s="2737"/>
      <c r="C2" s="1401" t="s">
        <v>929</v>
      </c>
      <c r="D2" s="1401"/>
      <c r="E2" s="1401"/>
      <c r="F2" s="1415"/>
      <c r="G2" s="1401"/>
      <c r="H2" s="1401" t="s">
        <v>1600</v>
      </c>
      <c r="I2" s="1416"/>
    </row>
    <row r="3" spans="1:31">
      <c r="A3" s="939"/>
      <c r="B3" s="238"/>
      <c r="C3" s="1403" t="s">
        <v>4423</v>
      </c>
      <c r="D3" s="1403" t="s">
        <v>2869</v>
      </c>
      <c r="E3" s="1403" t="s">
        <v>1601</v>
      </c>
      <c r="F3" s="1403" t="s">
        <v>2871</v>
      </c>
      <c r="G3" s="1403" t="s">
        <v>4910</v>
      </c>
      <c r="H3" s="1403" t="s">
        <v>1602</v>
      </c>
      <c r="I3" s="1404" t="s">
        <v>1603</v>
      </c>
    </row>
    <row r="4" spans="1:31">
      <c r="A4" s="939"/>
      <c r="B4" s="949" t="s">
        <v>4273</v>
      </c>
      <c r="C4" s="1407" t="s">
        <v>4424</v>
      </c>
      <c r="D4" s="1406">
        <v>65</v>
      </c>
      <c r="E4" s="1406">
        <v>53</v>
      </c>
      <c r="F4" s="1406">
        <v>70</v>
      </c>
      <c r="G4" s="1406">
        <v>82</v>
      </c>
      <c r="H4" s="1406" t="s">
        <v>2829</v>
      </c>
      <c r="I4" s="1408" t="s">
        <v>2830</v>
      </c>
    </row>
    <row r="5" spans="1:31">
      <c r="A5" s="936" t="s">
        <v>2048</v>
      </c>
      <c r="B5" s="937" t="s">
        <v>1017</v>
      </c>
      <c r="C5" s="937"/>
      <c r="D5" s="937"/>
      <c r="E5" s="937"/>
      <c r="F5" s="937"/>
      <c r="G5" s="937"/>
      <c r="H5" s="937"/>
      <c r="I5" s="940"/>
    </row>
    <row r="6" spans="1:31">
      <c r="A6" s="936" t="s">
        <v>2051</v>
      </c>
      <c r="B6" s="937"/>
      <c r="C6" s="937" t="s">
        <v>2831</v>
      </c>
      <c r="D6" s="937" t="s">
        <v>2832</v>
      </c>
      <c r="E6" s="937" t="s">
        <v>2833</v>
      </c>
      <c r="F6" s="937" t="s">
        <v>2834</v>
      </c>
      <c r="G6" s="937" t="s">
        <v>2835</v>
      </c>
      <c r="H6" s="937" t="s">
        <v>2836</v>
      </c>
      <c r="I6" s="940" t="s">
        <v>2837</v>
      </c>
    </row>
    <row r="7" spans="1:31">
      <c r="A7" s="1410"/>
      <c r="B7" s="1308"/>
      <c r="C7" s="1308"/>
      <c r="D7" s="1308"/>
      <c r="E7" s="1308"/>
      <c r="F7" s="1308"/>
      <c r="G7" s="1308"/>
      <c r="H7" s="1308"/>
      <c r="I7" s="1309"/>
    </row>
    <row r="8" spans="1:31">
      <c r="A8" s="936">
        <v>1</v>
      </c>
      <c r="B8" s="941" t="s">
        <v>1020</v>
      </c>
      <c r="C8" s="1409" t="s">
        <v>929</v>
      </c>
      <c r="D8" s="1409" t="s">
        <v>1748</v>
      </c>
      <c r="E8" s="937" t="s">
        <v>3491</v>
      </c>
      <c r="F8" s="937" t="s">
        <v>1748</v>
      </c>
      <c r="G8" s="1409" t="s">
        <v>2945</v>
      </c>
      <c r="H8" s="1409" t="s">
        <v>2838</v>
      </c>
      <c r="I8" s="940" t="s">
        <v>3491</v>
      </c>
    </row>
    <row r="9" spans="1:31">
      <c r="A9" s="936">
        <v>2</v>
      </c>
      <c r="B9" s="941" t="s">
        <v>4279</v>
      </c>
      <c r="C9" s="1793" t="s">
        <v>4280</v>
      </c>
      <c r="D9" s="1793" t="s">
        <v>4280</v>
      </c>
      <c r="E9" s="1795" t="s">
        <v>4280</v>
      </c>
      <c r="F9" s="1795" t="s">
        <v>4280</v>
      </c>
      <c r="G9" s="1793" t="s">
        <v>4280</v>
      </c>
      <c r="H9" s="1793" t="s">
        <v>4280</v>
      </c>
      <c r="I9" s="1806" t="s">
        <v>4280</v>
      </c>
    </row>
    <row r="10" spans="1:31">
      <c r="A10" s="936">
        <v>3</v>
      </c>
      <c r="B10" s="941" t="s">
        <v>479</v>
      </c>
      <c r="C10" s="1795">
        <v>1</v>
      </c>
      <c r="D10" s="1795">
        <v>1</v>
      </c>
      <c r="E10" s="1795">
        <v>1</v>
      </c>
      <c r="F10" s="1795">
        <v>1</v>
      </c>
      <c r="G10" s="1795">
        <v>1</v>
      </c>
      <c r="H10" s="1795">
        <v>1</v>
      </c>
      <c r="I10" s="1806">
        <v>1</v>
      </c>
    </row>
    <row r="11" spans="1:31">
      <c r="A11" s="936">
        <v>4</v>
      </c>
      <c r="B11" s="941" t="s">
        <v>3820</v>
      </c>
      <c r="C11" s="726" t="s">
        <v>2289</v>
      </c>
      <c r="D11" s="726" t="s">
        <v>2289</v>
      </c>
      <c r="E11" s="726" t="s">
        <v>2289</v>
      </c>
      <c r="F11" s="1807" t="s">
        <v>2289</v>
      </c>
      <c r="G11" s="726" t="s">
        <v>2289</v>
      </c>
      <c r="H11" s="726" t="s">
        <v>2289</v>
      </c>
      <c r="I11" s="727" t="s">
        <v>2289</v>
      </c>
    </row>
    <row r="12" spans="1:31">
      <c r="A12" s="936">
        <v>5</v>
      </c>
      <c r="B12" s="1624" t="s">
        <v>3821</v>
      </c>
      <c r="C12" s="1794"/>
      <c r="D12" s="1794"/>
      <c r="E12" s="1794"/>
      <c r="F12" s="1794"/>
      <c r="G12" s="1794"/>
      <c r="H12" s="1794"/>
      <c r="I12" s="1797"/>
    </row>
    <row r="13" spans="1:31">
      <c r="A13" s="1647">
        <v>6</v>
      </c>
      <c r="B13" s="1624" t="s">
        <v>4282</v>
      </c>
      <c r="C13" s="1794">
        <v>29863</v>
      </c>
      <c r="D13" s="1794">
        <v>153008</v>
      </c>
      <c r="E13" s="1794">
        <v>172518</v>
      </c>
      <c r="F13" s="1794">
        <v>10798</v>
      </c>
      <c r="G13" s="1794">
        <v>114023</v>
      </c>
      <c r="H13" s="1794">
        <v>2640002</v>
      </c>
      <c r="I13" s="1797">
        <v>235785</v>
      </c>
    </row>
    <row r="14" spans="1:31">
      <c r="A14" s="936">
        <v>7</v>
      </c>
      <c r="B14" s="1624" t="s">
        <v>3823</v>
      </c>
      <c r="C14" s="1794" t="s">
        <v>1604</v>
      </c>
      <c r="D14" s="1794" t="s">
        <v>1604</v>
      </c>
      <c r="E14" s="1794" t="s">
        <v>1604</v>
      </c>
      <c r="F14" s="1794" t="s">
        <v>1604</v>
      </c>
      <c r="G14" s="1794" t="s">
        <v>1604</v>
      </c>
      <c r="H14" s="1794" t="s">
        <v>1604</v>
      </c>
      <c r="I14" s="1797" t="s">
        <v>1604</v>
      </c>
    </row>
    <row r="15" spans="1:31">
      <c r="A15" s="936">
        <v>8</v>
      </c>
      <c r="B15" s="1649" t="s">
        <v>4284</v>
      </c>
      <c r="C15" s="1808">
        <v>81.816438356164383</v>
      </c>
      <c r="D15" s="1794">
        <v>419.2</v>
      </c>
      <c r="E15" s="1794">
        <v>472.65205479452055</v>
      </c>
      <c r="F15" s="1794">
        <v>29.583561643835615</v>
      </c>
      <c r="G15" s="1794">
        <v>312.39178082191779</v>
      </c>
      <c r="H15" s="1794">
        <v>7232.8821917808218</v>
      </c>
      <c r="I15" s="1797">
        <v>645.98630136986299</v>
      </c>
    </row>
    <row r="16" spans="1:31">
      <c r="A16" s="936">
        <v>9</v>
      </c>
      <c r="B16" s="1624" t="s">
        <v>3014</v>
      </c>
      <c r="C16" s="1794">
        <v>133</v>
      </c>
      <c r="D16" s="1794">
        <v>381</v>
      </c>
      <c r="E16" s="1794">
        <v>356</v>
      </c>
      <c r="F16" s="1794">
        <v>102</v>
      </c>
      <c r="G16" s="1794">
        <v>250</v>
      </c>
      <c r="H16" s="1794">
        <v>1060</v>
      </c>
      <c r="I16" s="1797">
        <v>721</v>
      </c>
    </row>
    <row r="17" spans="1:9">
      <c r="A17" s="936">
        <v>10</v>
      </c>
      <c r="B17" s="1624" t="s">
        <v>1410</v>
      </c>
      <c r="C17" s="1794">
        <v>3</v>
      </c>
      <c r="D17" s="1794">
        <v>1</v>
      </c>
      <c r="E17" s="1794">
        <v>1</v>
      </c>
      <c r="F17" s="1794">
        <v>1</v>
      </c>
      <c r="G17" s="1794">
        <v>1</v>
      </c>
      <c r="H17" s="1794">
        <v>10</v>
      </c>
      <c r="I17" s="1797">
        <v>1</v>
      </c>
    </row>
    <row r="18" spans="1:9">
      <c r="A18" s="1421" t="s">
        <v>350</v>
      </c>
      <c r="B18" s="1652" t="s">
        <v>1411</v>
      </c>
      <c r="C18" s="1798">
        <v>44027</v>
      </c>
      <c r="D18" s="1798">
        <v>45205</v>
      </c>
      <c r="E18" s="1798">
        <v>45195</v>
      </c>
      <c r="F18" s="1798">
        <v>45249</v>
      </c>
      <c r="G18" s="1798">
        <v>44933</v>
      </c>
      <c r="H18" s="1798">
        <v>44953</v>
      </c>
      <c r="I18" s="1809">
        <v>45012</v>
      </c>
    </row>
    <row r="19" spans="1:9">
      <c r="A19" s="936">
        <v>12</v>
      </c>
      <c r="B19" s="1624" t="s">
        <v>1412</v>
      </c>
      <c r="C19" s="1794">
        <v>133</v>
      </c>
      <c r="D19" s="1794">
        <v>381</v>
      </c>
      <c r="E19" s="1794">
        <v>356</v>
      </c>
      <c r="F19" s="1794">
        <v>102</v>
      </c>
      <c r="G19" s="1794">
        <v>250</v>
      </c>
      <c r="H19" s="1794">
        <v>1060</v>
      </c>
      <c r="I19" s="1797">
        <v>721</v>
      </c>
    </row>
    <row r="20" spans="1:9">
      <c r="A20" s="936">
        <v>13</v>
      </c>
      <c r="B20" s="1624" t="s">
        <v>1411</v>
      </c>
      <c r="C20" s="1798">
        <v>44027</v>
      </c>
      <c r="D20" s="1798">
        <v>45205</v>
      </c>
      <c r="E20" s="1798">
        <v>45195</v>
      </c>
      <c r="F20" s="1798">
        <v>45249</v>
      </c>
      <c r="G20" s="1798">
        <v>44933</v>
      </c>
      <c r="H20" s="1798">
        <v>44953</v>
      </c>
      <c r="I20" s="1809">
        <v>45012</v>
      </c>
    </row>
    <row r="21" spans="1:9">
      <c r="A21" s="936">
        <v>14</v>
      </c>
      <c r="B21" s="1624" t="s">
        <v>1413</v>
      </c>
      <c r="C21" s="1794" t="s">
        <v>4281</v>
      </c>
      <c r="D21" s="1794" t="s">
        <v>4281</v>
      </c>
      <c r="E21" s="1794" t="s">
        <v>4281</v>
      </c>
      <c r="F21" s="1794" t="s">
        <v>4281</v>
      </c>
      <c r="G21" s="1794" t="s">
        <v>4281</v>
      </c>
      <c r="H21" s="1794" t="s">
        <v>4281</v>
      </c>
      <c r="I21" s="1797" t="s">
        <v>4281</v>
      </c>
    </row>
    <row r="22" spans="1:9">
      <c r="A22" s="936">
        <v>15</v>
      </c>
      <c r="B22" s="1624" t="s">
        <v>1500</v>
      </c>
      <c r="C22" s="1622" t="s">
        <v>2169</v>
      </c>
      <c r="D22" s="1622" t="s">
        <v>2169</v>
      </c>
      <c r="E22" s="1622" t="s">
        <v>2169</v>
      </c>
      <c r="F22" s="1622" t="s">
        <v>2169</v>
      </c>
      <c r="G22" s="1622" t="s">
        <v>2169</v>
      </c>
      <c r="H22" s="1622" t="s">
        <v>2169</v>
      </c>
      <c r="I22" s="1801" t="s">
        <v>2169</v>
      </c>
    </row>
    <row r="23" spans="1:9">
      <c r="A23" s="936">
        <v>16</v>
      </c>
      <c r="B23" s="1624" t="s">
        <v>1501</v>
      </c>
      <c r="C23" s="1622"/>
      <c r="D23" s="1622"/>
      <c r="E23" s="1622"/>
      <c r="F23" s="1622"/>
      <c r="G23" s="1622"/>
      <c r="H23" s="1622"/>
      <c r="I23" s="1801"/>
    </row>
    <row r="24" spans="1:9">
      <c r="A24" s="936">
        <v>17</v>
      </c>
      <c r="B24" s="1624" t="s">
        <v>1502</v>
      </c>
      <c r="C24" s="1794" t="s">
        <v>2289</v>
      </c>
      <c r="D24" s="1794" t="s">
        <v>2289</v>
      </c>
      <c r="E24" s="1794" t="s">
        <v>2289</v>
      </c>
      <c r="F24" s="1794" t="s">
        <v>2289</v>
      </c>
      <c r="G24" s="1794" t="s">
        <v>2289</v>
      </c>
      <c r="H24" s="1794" t="s">
        <v>2289</v>
      </c>
      <c r="I24" s="1797" t="s">
        <v>2289</v>
      </c>
    </row>
    <row r="25" spans="1:9">
      <c r="A25" s="936">
        <v>18</v>
      </c>
      <c r="B25" s="1624" t="s">
        <v>522</v>
      </c>
      <c r="C25" s="1794" t="s">
        <v>2289</v>
      </c>
      <c r="D25" s="1794" t="s">
        <v>2289</v>
      </c>
      <c r="E25" s="1794" t="s">
        <v>2289</v>
      </c>
      <c r="F25" s="1794" t="s">
        <v>2289</v>
      </c>
      <c r="G25" s="1794" t="s">
        <v>2289</v>
      </c>
      <c r="H25" s="1794" t="s">
        <v>2289</v>
      </c>
      <c r="I25" s="1797" t="s">
        <v>2289</v>
      </c>
    </row>
    <row r="26" spans="1:9">
      <c r="A26" s="936">
        <v>19</v>
      </c>
      <c r="B26" s="1624" t="s">
        <v>523</v>
      </c>
      <c r="C26" s="1794" t="s">
        <v>2289</v>
      </c>
      <c r="D26" s="1794" t="s">
        <v>2289</v>
      </c>
      <c r="E26" s="1794" t="s">
        <v>2289</v>
      </c>
      <c r="F26" s="1794" t="s">
        <v>2289</v>
      </c>
      <c r="G26" s="1794" t="s">
        <v>2289</v>
      </c>
      <c r="H26" s="1794" t="s">
        <v>2289</v>
      </c>
      <c r="I26" s="1797" t="s">
        <v>2289</v>
      </c>
    </row>
    <row r="27" spans="1:9">
      <c r="A27" s="936">
        <v>20</v>
      </c>
      <c r="B27" s="1624" t="s">
        <v>2170</v>
      </c>
      <c r="C27" s="1794">
        <v>95786</v>
      </c>
      <c r="D27" s="1794">
        <v>309363</v>
      </c>
      <c r="E27" s="1794">
        <v>369434</v>
      </c>
      <c r="F27" s="1794">
        <v>23170</v>
      </c>
      <c r="G27" s="1794">
        <v>275889</v>
      </c>
      <c r="H27" s="1794">
        <v>7669007</v>
      </c>
      <c r="I27" s="1797">
        <v>122259</v>
      </c>
    </row>
    <row r="28" spans="1:9">
      <c r="A28" s="1412" t="s">
        <v>360</v>
      </c>
      <c r="B28" s="1653" t="s">
        <v>525</v>
      </c>
      <c r="C28" s="1802">
        <v>0</v>
      </c>
      <c r="D28" s="1802">
        <v>0</v>
      </c>
      <c r="E28" s="1802">
        <v>0</v>
      </c>
      <c r="F28" s="1802">
        <v>0</v>
      </c>
      <c r="G28" s="1802">
        <v>0</v>
      </c>
      <c r="H28" s="2562">
        <v>0</v>
      </c>
      <c r="I28" s="1810">
        <v>0</v>
      </c>
    </row>
    <row r="29" spans="1:9">
      <c r="A29" s="936">
        <v>22</v>
      </c>
      <c r="B29" s="1624" t="s">
        <v>2587</v>
      </c>
      <c r="C29" s="1794">
        <v>95786</v>
      </c>
      <c r="D29" s="1794">
        <v>309363</v>
      </c>
      <c r="E29" s="1794">
        <v>369434</v>
      </c>
      <c r="F29" s="1794">
        <v>23170</v>
      </c>
      <c r="G29" s="1794">
        <v>275889</v>
      </c>
      <c r="H29" s="1794">
        <v>7669007</v>
      </c>
      <c r="I29" s="1797">
        <v>122259</v>
      </c>
    </row>
    <row r="30" spans="1:9">
      <c r="A30" s="936">
        <v>23</v>
      </c>
      <c r="B30" s="1624" t="s">
        <v>2995</v>
      </c>
      <c r="C30" s="1794" t="s">
        <v>2289</v>
      </c>
      <c r="D30" s="1794" t="s">
        <v>2289</v>
      </c>
      <c r="E30" s="1794" t="s">
        <v>2289</v>
      </c>
      <c r="F30" s="1794" t="s">
        <v>2289</v>
      </c>
      <c r="G30" s="1794" t="s">
        <v>2289</v>
      </c>
      <c r="H30" s="1794" t="s">
        <v>2289</v>
      </c>
      <c r="I30" s="1821" t="s">
        <v>2289</v>
      </c>
    </row>
    <row r="31" spans="1:9">
      <c r="A31" s="936">
        <v>24</v>
      </c>
      <c r="B31" s="1624" t="s">
        <v>2996</v>
      </c>
      <c r="C31" s="1794" t="s">
        <v>2289</v>
      </c>
      <c r="D31" s="1794" t="s">
        <v>2289</v>
      </c>
      <c r="E31" s="1794" t="s">
        <v>2289</v>
      </c>
      <c r="F31" s="1794" t="s">
        <v>2289</v>
      </c>
      <c r="G31" s="1794" t="s">
        <v>2289</v>
      </c>
      <c r="H31" s="1794" t="s">
        <v>2289</v>
      </c>
      <c r="I31" s="1797" t="s">
        <v>2289</v>
      </c>
    </row>
    <row r="32" spans="1:9" ht="15.75" thickBot="1">
      <c r="A32" s="1422" t="s">
        <v>364</v>
      </c>
      <c r="B32" s="1648" t="s">
        <v>3466</v>
      </c>
      <c r="C32" s="1804">
        <v>1.4473783757777685</v>
      </c>
      <c r="D32" s="1804">
        <v>5.1025422711870219</v>
      </c>
      <c r="E32" s="1804">
        <v>4.9807047181242847</v>
      </c>
      <c r="F32" s="1804">
        <v>1.053895835321816</v>
      </c>
      <c r="G32" s="1804">
        <v>3.7644763522643467</v>
      </c>
      <c r="H32" s="1804">
        <v>380.60496854180872</v>
      </c>
      <c r="I32" s="1805">
        <v>180.34619073035049</v>
      </c>
    </row>
    <row r="33" spans="1:9">
      <c r="A33" s="1414" t="s">
        <v>2024</v>
      </c>
      <c r="B33" s="1654"/>
      <c r="C33" s="2782" t="s">
        <v>5430</v>
      </c>
      <c r="D33" s="2783"/>
      <c r="E33" s="2784"/>
      <c r="F33" s="2785"/>
      <c r="G33" s="2783"/>
      <c r="H33" s="2786"/>
      <c r="I33" s="2787"/>
    </row>
    <row r="34" spans="1:9" ht="15.75" thickBot="1">
      <c r="A34" s="1414"/>
      <c r="B34" s="1654"/>
      <c r="C34" s="2788" t="s">
        <v>5431</v>
      </c>
      <c r="D34" s="2789"/>
      <c r="E34" s="2790"/>
      <c r="F34" s="2791"/>
      <c r="G34" s="2789"/>
      <c r="H34" s="2792"/>
      <c r="I34" s="2793"/>
    </row>
    <row r="35" spans="1:9">
      <c r="A35" s="954" t="s">
        <v>2839</v>
      </c>
      <c r="B35" s="955"/>
      <c r="C35" s="955"/>
      <c r="D35" s="955"/>
      <c r="E35" s="955"/>
      <c r="F35" s="955"/>
      <c r="G35" s="955"/>
      <c r="H35" s="955"/>
    </row>
    <row r="36" spans="1:9">
      <c r="A36" s="938"/>
      <c r="B36" s="931"/>
      <c r="C36" s="931"/>
      <c r="D36" s="931"/>
      <c r="E36" s="931"/>
      <c r="F36" s="931"/>
      <c r="G36" s="931"/>
      <c r="H36" s="931"/>
    </row>
  </sheetData>
  <phoneticPr fontId="0" type="noConversion"/>
  <pageMargins left="0.3" right="0.3" top="0.8" bottom="0.3" header="0" footer="0"/>
  <pageSetup scale="80" orientation="landscape"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01"/>
  <dimension ref="A1:AE35"/>
  <sheetViews>
    <sheetView zoomScaleNormal="100" workbookViewId="0">
      <selection activeCell="E24" sqref="E24"/>
    </sheetView>
  </sheetViews>
  <sheetFormatPr defaultRowHeight="15"/>
  <cols>
    <col min="1" max="1" width="7.33203125" customWidth="1"/>
    <col min="2" max="2" width="37.109375" customWidth="1"/>
    <col min="3" max="4" width="11.77734375" customWidth="1"/>
    <col min="5" max="5" width="8" bestFit="1" customWidth="1"/>
    <col min="6" max="6" width="7.6640625" bestFit="1" customWidth="1"/>
    <col min="7" max="7" width="10.44140625" bestFit="1" customWidth="1"/>
    <col min="8" max="8" width="9.6640625" bestFit="1" customWidth="1"/>
    <col min="9" max="9" width="10.88671875" bestFit="1" customWidth="1"/>
    <col min="10" max="10" width="9.44140625" bestFit="1" customWidth="1"/>
  </cols>
  <sheetData>
    <row r="1" spans="1:31" ht="15.75" thickBot="1">
      <c r="A1" s="86" t="str">
        <f>'Data sheet'!A65</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c r="A2" s="1399"/>
      <c r="B2" s="1400"/>
      <c r="C2" s="1791" t="s">
        <v>379</v>
      </c>
      <c r="D2" s="1401" t="s">
        <v>2840</v>
      </c>
      <c r="E2" s="1429"/>
      <c r="F2" s="1401" t="s">
        <v>1887</v>
      </c>
      <c r="G2" s="1401" t="s">
        <v>2841</v>
      </c>
      <c r="H2" s="1429" t="s">
        <v>2842</v>
      </c>
      <c r="I2" s="1416" t="s">
        <v>2843</v>
      </c>
    </row>
    <row r="3" spans="1:31">
      <c r="A3" s="939"/>
      <c r="B3" s="238"/>
      <c r="C3" s="1403" t="s">
        <v>1292</v>
      </c>
      <c r="D3" s="1403" t="s">
        <v>1292</v>
      </c>
      <c r="E3" s="1618" t="s">
        <v>1984</v>
      </c>
      <c r="F3" s="1619" t="s">
        <v>3472</v>
      </c>
      <c r="G3" s="1403" t="s">
        <v>1293</v>
      </c>
      <c r="H3" s="1430" t="s">
        <v>3472</v>
      </c>
      <c r="I3" s="1404" t="s">
        <v>3472</v>
      </c>
    </row>
    <row r="4" spans="1:31">
      <c r="A4" s="939"/>
      <c r="B4" s="949" t="s">
        <v>4273</v>
      </c>
      <c r="C4" s="1406">
        <v>92</v>
      </c>
      <c r="D4" s="1406">
        <v>91</v>
      </c>
      <c r="E4" s="1620">
        <v>106</v>
      </c>
      <c r="F4" s="1621">
        <v>48</v>
      </c>
      <c r="G4" s="1406" t="s">
        <v>233</v>
      </c>
      <c r="H4" s="1431"/>
      <c r="I4" s="1423">
        <v>46</v>
      </c>
    </row>
    <row r="5" spans="1:31">
      <c r="A5" s="936" t="s">
        <v>2048</v>
      </c>
      <c r="B5" s="937" t="s">
        <v>1017</v>
      </c>
      <c r="C5" s="937"/>
      <c r="D5" s="937"/>
      <c r="E5" s="937"/>
      <c r="F5" s="937"/>
      <c r="G5" s="937"/>
      <c r="H5" s="1432"/>
      <c r="I5" s="940"/>
    </row>
    <row r="6" spans="1:31">
      <c r="A6" s="1410"/>
      <c r="B6" s="1308"/>
      <c r="C6" s="937" t="s">
        <v>1294</v>
      </c>
      <c r="D6" s="1308" t="s">
        <v>1295</v>
      </c>
      <c r="E6" s="1308" t="s">
        <v>1296</v>
      </c>
      <c r="F6" s="1308" t="s">
        <v>1297</v>
      </c>
      <c r="G6" s="1308" t="s">
        <v>1298</v>
      </c>
      <c r="H6" s="1433" t="s">
        <v>1299</v>
      </c>
      <c r="I6" s="1434" t="s">
        <v>4375</v>
      </c>
    </row>
    <row r="7" spans="1:31">
      <c r="A7" s="936">
        <v>1</v>
      </c>
      <c r="B7" s="941" t="s">
        <v>1020</v>
      </c>
      <c r="C7" s="1302" t="s">
        <v>378</v>
      </c>
      <c r="D7" s="1409" t="s">
        <v>3491</v>
      </c>
      <c r="E7" s="1622" t="s">
        <v>1984</v>
      </c>
      <c r="F7" s="1622" t="s">
        <v>3491</v>
      </c>
      <c r="G7" s="1409" t="s">
        <v>377</v>
      </c>
      <c r="H7" s="1792" t="s">
        <v>1360</v>
      </c>
      <c r="I7" s="1428" t="s">
        <v>1300</v>
      </c>
    </row>
    <row r="8" spans="1:31">
      <c r="A8" s="83"/>
      <c r="B8" s="238"/>
      <c r="C8" s="714"/>
      <c r="D8" s="714"/>
      <c r="E8" s="714"/>
      <c r="F8" s="726"/>
      <c r="G8" s="1409" t="s">
        <v>1301</v>
      </c>
      <c r="H8" s="1792" t="s">
        <v>1301</v>
      </c>
      <c r="I8" s="1428"/>
    </row>
    <row r="9" spans="1:31">
      <c r="A9" s="936">
        <v>2</v>
      </c>
      <c r="B9" s="941" t="s">
        <v>4279</v>
      </c>
      <c r="C9" s="1793" t="s">
        <v>4280</v>
      </c>
      <c r="D9" s="1793" t="s">
        <v>4280</v>
      </c>
      <c r="E9" s="1794" t="s">
        <v>4280</v>
      </c>
      <c r="F9" s="1794"/>
      <c r="G9" s="1793" t="s">
        <v>4280</v>
      </c>
      <c r="H9" s="1795" t="s">
        <v>4280</v>
      </c>
      <c r="I9" s="1796" t="s">
        <v>4280</v>
      </c>
    </row>
    <row r="10" spans="1:31">
      <c r="A10" s="936">
        <v>3</v>
      </c>
      <c r="B10" s="1624" t="s">
        <v>479</v>
      </c>
      <c r="C10" s="1794">
        <v>1</v>
      </c>
      <c r="D10" s="1794">
        <v>1</v>
      </c>
      <c r="E10" s="1794">
        <v>1</v>
      </c>
      <c r="F10" s="1794">
        <v>1</v>
      </c>
      <c r="G10" s="1794">
        <v>1</v>
      </c>
      <c r="H10" s="1794">
        <v>1</v>
      </c>
      <c r="I10" s="1797">
        <v>2</v>
      </c>
      <c r="J10" s="140"/>
    </row>
    <row r="11" spans="1:31">
      <c r="A11" s="936">
        <v>4</v>
      </c>
      <c r="B11" s="1624" t="s">
        <v>3820</v>
      </c>
      <c r="C11" s="726" t="s">
        <v>2289</v>
      </c>
      <c r="D11" s="726" t="s">
        <v>2289</v>
      </c>
      <c r="E11" s="726" t="s">
        <v>2289</v>
      </c>
      <c r="F11" s="726" t="s">
        <v>2289</v>
      </c>
      <c r="G11" s="726" t="s">
        <v>2289</v>
      </c>
      <c r="H11" s="726" t="s">
        <v>2289</v>
      </c>
      <c r="I11" s="727" t="s">
        <v>2289</v>
      </c>
    </row>
    <row r="12" spans="1:31">
      <c r="A12" s="936">
        <v>5</v>
      </c>
      <c r="B12" s="1624" t="s">
        <v>3821</v>
      </c>
      <c r="C12" s="1794"/>
      <c r="D12" s="1794"/>
      <c r="E12" s="1794"/>
      <c r="F12" s="1794"/>
      <c r="G12" s="1794"/>
      <c r="H12" s="1794"/>
      <c r="I12" s="1797"/>
    </row>
    <row r="13" spans="1:31">
      <c r="A13" s="1647">
        <v>6</v>
      </c>
      <c r="B13" s="1624" t="s">
        <v>4282</v>
      </c>
      <c r="C13" s="1794">
        <v>306805</v>
      </c>
      <c r="D13" s="1794">
        <v>579181</v>
      </c>
      <c r="E13" s="1794">
        <v>172388</v>
      </c>
      <c r="F13" s="1794">
        <v>842</v>
      </c>
      <c r="G13" s="1794">
        <v>19345</v>
      </c>
      <c r="H13" s="1794" t="s">
        <v>4283</v>
      </c>
      <c r="I13" s="1797">
        <v>13641</v>
      </c>
      <c r="J13" s="140"/>
    </row>
    <row r="14" spans="1:31">
      <c r="A14" s="936">
        <v>7</v>
      </c>
      <c r="B14" s="1624" t="s">
        <v>3823</v>
      </c>
      <c r="C14" s="1794" t="s">
        <v>1604</v>
      </c>
      <c r="D14" s="1794" t="s">
        <v>1604</v>
      </c>
      <c r="E14" s="1794" t="s">
        <v>1604</v>
      </c>
      <c r="F14" s="1794" t="s">
        <v>1604</v>
      </c>
      <c r="G14" s="1794" t="s">
        <v>1604</v>
      </c>
      <c r="H14" s="1794" t="s">
        <v>1604</v>
      </c>
      <c r="I14" s="1797" t="s">
        <v>1604</v>
      </c>
      <c r="J14" s="140"/>
    </row>
    <row r="15" spans="1:31">
      <c r="A15" s="936">
        <v>8</v>
      </c>
      <c r="B15" s="1624" t="s">
        <v>4284</v>
      </c>
      <c r="C15" s="1794">
        <v>840.56164383561645</v>
      </c>
      <c r="D15" s="1794">
        <v>1586.7972602739726</v>
      </c>
      <c r="E15" s="1794">
        <v>472.29589041095892</v>
      </c>
      <c r="F15" s="1794">
        <v>2.3068493150684932</v>
      </c>
      <c r="G15" s="1794">
        <v>53</v>
      </c>
      <c r="H15" s="1794" t="s">
        <v>3379</v>
      </c>
      <c r="I15" s="1797">
        <v>37.372602739726027</v>
      </c>
      <c r="J15" s="140"/>
    </row>
    <row r="16" spans="1:31">
      <c r="A16" s="936">
        <v>9</v>
      </c>
      <c r="B16" s="1624" t="s">
        <v>3014</v>
      </c>
      <c r="C16" s="1794">
        <v>1274</v>
      </c>
      <c r="D16" s="1794">
        <v>1580</v>
      </c>
      <c r="E16" s="1794">
        <v>524</v>
      </c>
      <c r="F16" s="1794">
        <v>8</v>
      </c>
      <c r="G16" s="1794">
        <v>242</v>
      </c>
      <c r="H16" s="1794" t="s">
        <v>3379</v>
      </c>
      <c r="I16" s="1797">
        <v>137</v>
      </c>
      <c r="J16" s="140"/>
    </row>
    <row r="17" spans="1:10">
      <c r="A17" s="936">
        <v>10</v>
      </c>
      <c r="B17" s="1624" t="s">
        <v>1410</v>
      </c>
      <c r="C17" s="1794">
        <v>1</v>
      </c>
      <c r="D17" s="1794">
        <v>1</v>
      </c>
      <c r="E17" s="1794">
        <v>1</v>
      </c>
      <c r="F17" s="1794">
        <v>1</v>
      </c>
      <c r="G17" s="1794">
        <v>1</v>
      </c>
      <c r="H17" s="1794">
        <v>1</v>
      </c>
      <c r="I17" s="1797">
        <v>1</v>
      </c>
      <c r="J17" s="140"/>
    </row>
    <row r="18" spans="1:10">
      <c r="A18" s="1421" t="s">
        <v>350</v>
      </c>
      <c r="B18" s="1652" t="s">
        <v>1411</v>
      </c>
      <c r="C18" s="1798">
        <v>44949</v>
      </c>
      <c r="D18" s="1798">
        <v>45050</v>
      </c>
      <c r="E18" s="1799">
        <v>45056</v>
      </c>
      <c r="F18" s="1799">
        <v>45199</v>
      </c>
      <c r="G18" s="1798">
        <v>45199</v>
      </c>
      <c r="H18" s="1799" t="s">
        <v>3379</v>
      </c>
      <c r="I18" s="1800">
        <v>45199</v>
      </c>
      <c r="J18" s="140"/>
    </row>
    <row r="19" spans="1:10">
      <c r="A19" s="936">
        <v>12</v>
      </c>
      <c r="B19" s="1624" t="s">
        <v>1412</v>
      </c>
      <c r="C19" s="1794">
        <v>1274</v>
      </c>
      <c r="D19" s="1794">
        <v>1580</v>
      </c>
      <c r="E19" s="1794">
        <v>524</v>
      </c>
      <c r="F19" s="1794">
        <v>8</v>
      </c>
      <c r="G19" s="1794">
        <v>242</v>
      </c>
      <c r="H19" s="1794" t="s">
        <v>3379</v>
      </c>
      <c r="I19" s="1797">
        <v>137</v>
      </c>
      <c r="J19" s="140"/>
    </row>
    <row r="20" spans="1:10">
      <c r="A20" s="936">
        <v>13</v>
      </c>
      <c r="B20" s="1624" t="s">
        <v>1411</v>
      </c>
      <c r="C20" s="1798">
        <v>44949</v>
      </c>
      <c r="D20" s="1798">
        <v>45050</v>
      </c>
      <c r="E20" s="1798">
        <v>45056</v>
      </c>
      <c r="F20" s="1798">
        <v>45199</v>
      </c>
      <c r="G20" s="1798">
        <v>45199</v>
      </c>
      <c r="H20" s="1798" t="s">
        <v>3379</v>
      </c>
      <c r="I20" s="1800">
        <v>45199</v>
      </c>
      <c r="J20" s="140"/>
    </row>
    <row r="21" spans="1:10">
      <c r="A21" s="936">
        <v>14</v>
      </c>
      <c r="B21" s="1624" t="s">
        <v>1413</v>
      </c>
      <c r="C21" s="1794" t="s">
        <v>4281</v>
      </c>
      <c r="D21" s="1794" t="s">
        <v>4281</v>
      </c>
      <c r="E21" s="1794" t="s">
        <v>4281</v>
      </c>
      <c r="F21" s="1794" t="s">
        <v>4281</v>
      </c>
      <c r="G21" s="1794" t="s">
        <v>4281</v>
      </c>
      <c r="H21" s="1794" t="s">
        <v>4281</v>
      </c>
      <c r="I21" s="1797" t="s">
        <v>4281</v>
      </c>
      <c r="J21" s="140"/>
    </row>
    <row r="22" spans="1:10">
      <c r="A22" s="936">
        <v>15</v>
      </c>
      <c r="B22" s="1624" t="s">
        <v>1500</v>
      </c>
      <c r="C22" s="1622" t="s">
        <v>2169</v>
      </c>
      <c r="D22" s="1622" t="s">
        <v>2169</v>
      </c>
      <c r="E22" s="1622" t="s">
        <v>2169</v>
      </c>
      <c r="F22" s="1622" t="s">
        <v>2169</v>
      </c>
      <c r="G22" s="1622" t="s">
        <v>2169</v>
      </c>
      <c r="H22" s="1622" t="s">
        <v>2169</v>
      </c>
      <c r="I22" s="1801" t="s">
        <v>2169</v>
      </c>
      <c r="J22" s="140"/>
    </row>
    <row r="23" spans="1:10">
      <c r="A23" s="936">
        <v>16</v>
      </c>
      <c r="B23" s="1624" t="s">
        <v>1501</v>
      </c>
      <c r="C23" s="1622"/>
      <c r="D23" s="1622"/>
      <c r="E23" s="1622"/>
      <c r="F23" s="1622"/>
      <c r="G23" s="1622"/>
      <c r="H23" s="1622"/>
      <c r="I23" s="1801"/>
      <c r="J23" s="140"/>
    </row>
    <row r="24" spans="1:10">
      <c r="A24" s="936">
        <v>17</v>
      </c>
      <c r="B24" s="1624" t="s">
        <v>1502</v>
      </c>
      <c r="C24" s="1794" t="s">
        <v>2289</v>
      </c>
      <c r="D24" s="1794" t="s">
        <v>2289</v>
      </c>
      <c r="E24" s="1794" t="s">
        <v>2289</v>
      </c>
      <c r="F24" s="1794" t="s">
        <v>2289</v>
      </c>
      <c r="G24" s="1794" t="s">
        <v>2289</v>
      </c>
      <c r="H24" s="1794" t="s">
        <v>2289</v>
      </c>
      <c r="I24" s="1797" t="s">
        <v>2289</v>
      </c>
      <c r="J24" s="140"/>
    </row>
    <row r="25" spans="1:10">
      <c r="A25" s="936">
        <v>18</v>
      </c>
      <c r="B25" s="1624" t="s">
        <v>522</v>
      </c>
      <c r="C25" s="1794" t="s">
        <v>2289</v>
      </c>
      <c r="D25" s="1794" t="s">
        <v>2289</v>
      </c>
      <c r="E25" s="1794" t="s">
        <v>2289</v>
      </c>
      <c r="F25" s="1794" t="s">
        <v>2289</v>
      </c>
      <c r="G25" s="1794" t="s">
        <v>2289</v>
      </c>
      <c r="H25" s="1794" t="s">
        <v>2289</v>
      </c>
      <c r="I25" s="1797" t="s">
        <v>2289</v>
      </c>
      <c r="J25" s="140"/>
    </row>
    <row r="26" spans="1:10">
      <c r="A26" s="936">
        <v>19</v>
      </c>
      <c r="B26" s="1624" t="s">
        <v>523</v>
      </c>
      <c r="C26" s="1794" t="s">
        <v>2289</v>
      </c>
      <c r="D26" s="1794" t="s">
        <v>2289</v>
      </c>
      <c r="E26" s="1794" t="s">
        <v>2289</v>
      </c>
      <c r="F26" s="1794" t="s">
        <v>2289</v>
      </c>
      <c r="G26" s="1794" t="s">
        <v>2289</v>
      </c>
      <c r="H26" s="1794" t="s">
        <v>2289</v>
      </c>
      <c r="I26" s="1797" t="s">
        <v>2289</v>
      </c>
      <c r="J26" s="140"/>
    </row>
    <row r="27" spans="1:10">
      <c r="A27" s="936">
        <v>20</v>
      </c>
      <c r="B27" s="1624" t="s">
        <v>2170</v>
      </c>
      <c r="C27" s="1794">
        <v>177169</v>
      </c>
      <c r="D27" s="1794">
        <v>391709</v>
      </c>
      <c r="E27" s="1794">
        <v>113297</v>
      </c>
      <c r="F27" s="1794">
        <v>94143</v>
      </c>
      <c r="G27" s="1794">
        <v>88285</v>
      </c>
      <c r="H27" s="1799" t="s">
        <v>3379</v>
      </c>
      <c r="I27" s="1797">
        <v>48318</v>
      </c>
      <c r="J27" s="140"/>
    </row>
    <row r="28" spans="1:10">
      <c r="A28" s="1412" t="s">
        <v>360</v>
      </c>
      <c r="B28" s="1653" t="s">
        <v>525</v>
      </c>
      <c r="C28" s="1802">
        <v>0</v>
      </c>
      <c r="D28" s="1802">
        <v>0</v>
      </c>
      <c r="E28" s="1802">
        <v>0</v>
      </c>
      <c r="F28" s="1802">
        <v>0</v>
      </c>
      <c r="G28" s="1802">
        <v>0</v>
      </c>
      <c r="H28" s="1794" t="s">
        <v>3379</v>
      </c>
      <c r="I28" s="1803">
        <v>0</v>
      </c>
      <c r="J28" s="140"/>
    </row>
    <row r="29" spans="1:10">
      <c r="A29" s="936">
        <v>22</v>
      </c>
      <c r="B29" s="1624" t="s">
        <v>2587</v>
      </c>
      <c r="C29" s="1794">
        <v>177169</v>
      </c>
      <c r="D29" s="1794">
        <v>391709</v>
      </c>
      <c r="E29" s="1794">
        <v>113297</v>
      </c>
      <c r="F29" s="1794">
        <v>94143</v>
      </c>
      <c r="G29" s="1794">
        <v>88285</v>
      </c>
      <c r="H29" s="1799" t="s">
        <v>3379</v>
      </c>
      <c r="I29" s="1797">
        <v>48318</v>
      </c>
      <c r="J29" s="140"/>
    </row>
    <row r="30" spans="1:10">
      <c r="A30" s="936">
        <v>23</v>
      </c>
      <c r="B30" s="1624" t="s">
        <v>2995</v>
      </c>
      <c r="C30" s="1794" t="s">
        <v>2289</v>
      </c>
      <c r="D30" s="1794" t="s">
        <v>2289</v>
      </c>
      <c r="E30" s="1794" t="s">
        <v>2289</v>
      </c>
      <c r="F30" s="1794" t="s">
        <v>2289</v>
      </c>
      <c r="G30" s="1794" t="s">
        <v>2289</v>
      </c>
      <c r="H30" s="1794" t="s">
        <v>2289</v>
      </c>
      <c r="I30" s="1797" t="s">
        <v>2289</v>
      </c>
      <c r="J30" s="140"/>
    </row>
    <row r="31" spans="1:10">
      <c r="A31" s="936">
        <v>24</v>
      </c>
      <c r="B31" s="1624" t="s">
        <v>2996</v>
      </c>
      <c r="C31" s="1794" t="s">
        <v>2289</v>
      </c>
      <c r="D31" s="1794" t="s">
        <v>2289</v>
      </c>
      <c r="E31" s="1794" t="s">
        <v>2289</v>
      </c>
      <c r="F31" s="1794" t="s">
        <v>2289</v>
      </c>
      <c r="G31" s="1794" t="s">
        <v>2289</v>
      </c>
      <c r="H31" s="1794" t="s">
        <v>2289</v>
      </c>
      <c r="I31" s="1797" t="s">
        <v>2289</v>
      </c>
      <c r="J31" s="140"/>
    </row>
    <row r="32" spans="1:10" ht="15.75" thickBot="1">
      <c r="A32" s="1422" t="s">
        <v>364</v>
      </c>
      <c r="B32" s="1648" t="s">
        <v>3466</v>
      </c>
      <c r="C32" s="1804">
        <v>19.881600706255533</v>
      </c>
      <c r="D32" s="1804">
        <v>19.41900847830804</v>
      </c>
      <c r="E32" s="1804">
        <v>12.041355634393922</v>
      </c>
      <c r="F32" s="1804">
        <v>0.1319841628959276</v>
      </c>
      <c r="G32" s="1804">
        <v>1.0994875500039789</v>
      </c>
      <c r="H32" s="1804">
        <v>0</v>
      </c>
      <c r="I32" s="1805">
        <v>1.0216151193870022</v>
      </c>
      <c r="J32" s="140"/>
    </row>
    <row r="33" spans="1:8">
      <c r="A33" s="1414" t="s">
        <v>2024</v>
      </c>
      <c r="B33" s="1654"/>
      <c r="C33" s="1649"/>
      <c r="D33" s="1649"/>
      <c r="E33" s="1649"/>
      <c r="F33" s="1650"/>
    </row>
    <row r="34" spans="1:8">
      <c r="A34" s="954" t="s">
        <v>1303</v>
      </c>
      <c r="B34" s="955"/>
      <c r="C34" s="931"/>
      <c r="D34" s="955"/>
      <c r="E34" s="931"/>
      <c r="F34" s="955"/>
      <c r="G34" s="955"/>
      <c r="H34" s="955"/>
    </row>
    <row r="35" spans="1:8">
      <c r="A35" s="938"/>
      <c r="B35" s="931"/>
      <c r="C35" s="931"/>
      <c r="D35" s="931"/>
      <c r="E35" s="931"/>
      <c r="F35" s="931"/>
      <c r="G35" s="931"/>
      <c r="H35" s="931"/>
    </row>
  </sheetData>
  <phoneticPr fontId="0" type="noConversion"/>
  <pageMargins left="0.3" right="0.3" top="0.8" bottom="0.3" header="0" footer="0"/>
  <pageSetup scale="85" orientation="landscape"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26"/>
  <dimension ref="A1:AF35"/>
  <sheetViews>
    <sheetView zoomScaleNormal="100" workbookViewId="0">
      <selection activeCell="K20" sqref="K20"/>
    </sheetView>
  </sheetViews>
  <sheetFormatPr defaultRowHeight="15"/>
  <cols>
    <col min="1" max="1" width="7.33203125" customWidth="1"/>
    <col min="2" max="2" width="37.109375" customWidth="1"/>
    <col min="3" max="3" width="11.44140625" bestFit="1" customWidth="1"/>
    <col min="4" max="4" width="7.44140625" bestFit="1" customWidth="1"/>
    <col min="5" max="6" width="8.21875" bestFit="1" customWidth="1"/>
    <col min="7" max="7" width="11.6640625" bestFit="1" customWidth="1"/>
    <col min="8" max="8" width="8.21875" bestFit="1" customWidth="1"/>
    <col min="9" max="9" width="10.109375" bestFit="1" customWidth="1"/>
    <col min="10" max="11" width="8.21875" bestFit="1" customWidth="1"/>
  </cols>
  <sheetData>
    <row r="1" spans="1:32" ht="15.75" thickBot="1">
      <c r="A1" s="86" t="str">
        <f>'Data sheet'!A63</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row>
    <row r="2" spans="1:32">
      <c r="A2" s="1399"/>
      <c r="B2" s="1400"/>
      <c r="C2" s="1791" t="s">
        <v>4373</v>
      </c>
      <c r="D2" s="1401" t="s">
        <v>86</v>
      </c>
      <c r="E2" s="1429" t="s">
        <v>4812</v>
      </c>
      <c r="F2" s="1401" t="s">
        <v>4813</v>
      </c>
      <c r="G2" s="1401" t="s">
        <v>4814</v>
      </c>
      <c r="H2" s="1401" t="s">
        <v>4815</v>
      </c>
      <c r="I2" s="1401" t="s">
        <v>4816</v>
      </c>
      <c r="J2" s="1483" t="s">
        <v>4845</v>
      </c>
      <c r="K2" s="2659" t="s">
        <v>4817</v>
      </c>
      <c r="M2" s="86"/>
    </row>
    <row r="3" spans="1:32">
      <c r="A3" s="939"/>
      <c r="B3" s="238"/>
      <c r="C3" s="1403" t="s">
        <v>4374</v>
      </c>
      <c r="D3" s="1403" t="s">
        <v>2939</v>
      </c>
      <c r="E3" s="1618"/>
      <c r="F3" s="1619"/>
      <c r="G3" s="1619" t="s">
        <v>3472</v>
      </c>
      <c r="H3" s="1619" t="s">
        <v>4819</v>
      </c>
      <c r="I3" s="1619"/>
      <c r="J3" s="1684"/>
      <c r="K3" s="2395"/>
      <c r="M3" s="86"/>
    </row>
    <row r="4" spans="1:32">
      <c r="A4" s="939"/>
      <c r="B4" s="949" t="s">
        <v>4273</v>
      </c>
      <c r="C4" s="1406">
        <v>92</v>
      </c>
      <c r="D4" s="1406">
        <v>91</v>
      </c>
      <c r="E4" s="1620"/>
      <c r="F4" s="1621"/>
      <c r="G4" s="1621"/>
      <c r="H4" s="1621"/>
      <c r="I4" s="1621"/>
      <c r="J4" s="2660"/>
      <c r="K4" s="2396"/>
      <c r="M4" s="86"/>
    </row>
    <row r="5" spans="1:32">
      <c r="A5" s="936" t="s">
        <v>2048</v>
      </c>
      <c r="B5" s="937" t="s">
        <v>1017</v>
      </c>
      <c r="C5" s="937"/>
      <c r="D5" s="937"/>
      <c r="E5" s="1622"/>
      <c r="F5" s="1622"/>
      <c r="G5" s="1622"/>
      <c r="H5" s="1622"/>
      <c r="I5" s="1827"/>
      <c r="J5" s="1654"/>
      <c r="K5" s="1828"/>
      <c r="M5" s="86"/>
    </row>
    <row r="6" spans="1:32">
      <c r="A6" s="1410"/>
      <c r="B6" s="1308"/>
      <c r="C6" s="937" t="s">
        <v>4376</v>
      </c>
      <c r="D6" s="1308" t="s">
        <v>4479</v>
      </c>
      <c r="E6" s="1623"/>
      <c r="F6" s="1623"/>
      <c r="G6" s="1623"/>
      <c r="H6" s="1623"/>
      <c r="I6" s="2661"/>
      <c r="J6" s="2662"/>
      <c r="K6" s="1828"/>
      <c r="M6" s="86"/>
    </row>
    <row r="7" spans="1:32">
      <c r="A7" s="936">
        <v>1</v>
      </c>
      <c r="B7" s="941" t="s">
        <v>1020</v>
      </c>
      <c r="C7" s="1302" t="s">
        <v>4371</v>
      </c>
      <c r="D7" s="1409" t="s">
        <v>4371</v>
      </c>
      <c r="E7" s="1622" t="s">
        <v>4748</v>
      </c>
      <c r="F7" s="1622" t="s">
        <v>4748</v>
      </c>
      <c r="G7" s="1814" t="s">
        <v>4748</v>
      </c>
      <c r="H7" s="1814" t="s">
        <v>4748</v>
      </c>
      <c r="I7" s="1619" t="s">
        <v>4748</v>
      </c>
      <c r="J7" s="1684" t="s">
        <v>4748</v>
      </c>
      <c r="K7" s="2699" t="s">
        <v>4748</v>
      </c>
    </row>
    <row r="8" spans="1:32">
      <c r="A8" s="83"/>
      <c r="B8" s="238"/>
      <c r="C8" s="714"/>
      <c r="D8" s="714"/>
      <c r="E8" s="714"/>
      <c r="F8" s="726"/>
      <c r="G8" s="1814"/>
      <c r="H8" s="1814"/>
      <c r="I8" s="1619"/>
      <c r="J8" s="1684"/>
      <c r="K8" s="796"/>
    </row>
    <row r="9" spans="1:32">
      <c r="A9" s="936">
        <v>2</v>
      </c>
      <c r="B9" s="941" t="s">
        <v>4279</v>
      </c>
      <c r="C9" s="1793" t="s">
        <v>4280</v>
      </c>
      <c r="D9" s="1793" t="s">
        <v>4280</v>
      </c>
      <c r="E9" s="1794" t="s">
        <v>4280</v>
      </c>
      <c r="F9" s="1794" t="s">
        <v>4280</v>
      </c>
      <c r="G9" s="1815" t="s">
        <v>4280</v>
      </c>
      <c r="H9" s="1815" t="s">
        <v>4280</v>
      </c>
      <c r="I9" s="2700" t="s">
        <v>4280</v>
      </c>
      <c r="J9" s="2701" t="s">
        <v>4280</v>
      </c>
      <c r="K9" s="2702" t="s">
        <v>4280</v>
      </c>
    </row>
    <row r="10" spans="1:32">
      <c r="A10" s="936">
        <v>3</v>
      </c>
      <c r="B10" s="1624" t="s">
        <v>479</v>
      </c>
      <c r="C10" s="1794">
        <v>3</v>
      </c>
      <c r="D10" s="1794">
        <v>1</v>
      </c>
      <c r="E10" s="1794">
        <v>2</v>
      </c>
      <c r="F10" s="1794">
        <v>2</v>
      </c>
      <c r="G10" s="1794">
        <v>0</v>
      </c>
      <c r="H10" s="1794">
        <v>5</v>
      </c>
      <c r="I10" s="1808">
        <v>3</v>
      </c>
      <c r="J10" s="2697">
        <v>2</v>
      </c>
      <c r="K10" s="1821">
        <v>4</v>
      </c>
    </row>
    <row r="11" spans="1:32">
      <c r="A11" s="936">
        <v>4</v>
      </c>
      <c r="B11" s="1624" t="s">
        <v>3820</v>
      </c>
      <c r="C11" s="726" t="s">
        <v>2289</v>
      </c>
      <c r="D11" s="726" t="s">
        <v>2289</v>
      </c>
      <c r="E11" s="1794" t="s">
        <v>2289</v>
      </c>
      <c r="F11" s="1794" t="s">
        <v>2289</v>
      </c>
      <c r="G11" s="1794" t="s">
        <v>3379</v>
      </c>
      <c r="H11" s="1794" t="s">
        <v>2289</v>
      </c>
      <c r="I11" s="1808" t="s">
        <v>2289</v>
      </c>
      <c r="J11" s="2697" t="s">
        <v>2289</v>
      </c>
      <c r="K11" s="1821" t="s">
        <v>2289</v>
      </c>
    </row>
    <row r="12" spans="1:32">
      <c r="A12" s="936">
        <v>5</v>
      </c>
      <c r="B12" s="1624" t="s">
        <v>3821</v>
      </c>
      <c r="C12" s="1794"/>
      <c r="D12" s="1794"/>
      <c r="E12" s="1794"/>
      <c r="F12" s="1794"/>
      <c r="G12" s="1794"/>
      <c r="H12" s="1794"/>
      <c r="I12" s="1808"/>
      <c r="J12" s="2697"/>
      <c r="K12" s="1821"/>
    </row>
    <row r="13" spans="1:32">
      <c r="A13" s="1647">
        <v>6</v>
      </c>
      <c r="B13" s="1624" t="s">
        <v>4282</v>
      </c>
      <c r="C13" s="1794">
        <v>7248</v>
      </c>
      <c r="D13" s="1794">
        <v>878</v>
      </c>
      <c r="E13" s="1794">
        <v>2207</v>
      </c>
      <c r="F13" s="1794">
        <v>6948</v>
      </c>
      <c r="G13" s="1794" t="s">
        <v>3379</v>
      </c>
      <c r="H13" s="1794">
        <v>11661</v>
      </c>
      <c r="I13" s="1808">
        <v>3852</v>
      </c>
      <c r="J13" s="2697">
        <v>2586</v>
      </c>
      <c r="K13" s="1821">
        <v>4507</v>
      </c>
    </row>
    <row r="14" spans="1:32">
      <c r="A14" s="936">
        <v>7</v>
      </c>
      <c r="B14" s="1624" t="s">
        <v>3823</v>
      </c>
      <c r="C14" s="1794" t="s">
        <v>1604</v>
      </c>
      <c r="D14" s="1794" t="s">
        <v>1604</v>
      </c>
      <c r="E14" s="1794" t="s">
        <v>1604</v>
      </c>
      <c r="F14" s="1794" t="s">
        <v>1604</v>
      </c>
      <c r="G14" s="1794" t="s">
        <v>3379</v>
      </c>
      <c r="H14" s="1794" t="s">
        <v>1604</v>
      </c>
      <c r="I14" s="1808" t="s">
        <v>1604</v>
      </c>
      <c r="J14" s="2697" t="s">
        <v>1604</v>
      </c>
      <c r="K14" s="1821" t="s">
        <v>1604</v>
      </c>
    </row>
    <row r="15" spans="1:32">
      <c r="A15" s="936">
        <v>8</v>
      </c>
      <c r="B15" s="1624" t="s">
        <v>4284</v>
      </c>
      <c r="C15" s="1794">
        <v>19.857534246575341</v>
      </c>
      <c r="D15" s="1794">
        <v>2.4054794520547946</v>
      </c>
      <c r="E15" s="1794">
        <v>6.0465753424657533</v>
      </c>
      <c r="F15" s="1794">
        <v>19.035616438356165</v>
      </c>
      <c r="G15" s="1794" t="s">
        <v>3379</v>
      </c>
      <c r="H15" s="1794">
        <v>31.947945205479453</v>
      </c>
      <c r="I15" s="1808">
        <v>10.553424657534247</v>
      </c>
      <c r="J15" s="2697">
        <v>7.0849315068493155</v>
      </c>
      <c r="K15" s="1821">
        <v>12.347945205479451</v>
      </c>
    </row>
    <row r="16" spans="1:32">
      <c r="A16" s="936">
        <v>9</v>
      </c>
      <c r="B16" s="1624" t="s">
        <v>3014</v>
      </c>
      <c r="C16" s="1794">
        <v>27</v>
      </c>
      <c r="D16" s="1794">
        <v>10.4</v>
      </c>
      <c r="E16" s="1794">
        <v>17</v>
      </c>
      <c r="F16" s="1794">
        <v>21</v>
      </c>
      <c r="G16" s="1794" t="s">
        <v>3379</v>
      </c>
      <c r="H16" s="1794">
        <v>69</v>
      </c>
      <c r="I16" s="1808">
        <v>29</v>
      </c>
      <c r="J16" s="2697">
        <v>34</v>
      </c>
      <c r="K16" s="1821">
        <v>39</v>
      </c>
    </row>
    <row r="17" spans="1:11">
      <c r="A17" s="936">
        <v>10</v>
      </c>
      <c r="B17" s="1624" t="s">
        <v>1410</v>
      </c>
      <c r="C17" s="1794">
        <v>2</v>
      </c>
      <c r="D17" s="1794">
        <v>1</v>
      </c>
      <c r="E17" s="1794">
        <v>2</v>
      </c>
      <c r="F17" s="1794">
        <v>2</v>
      </c>
      <c r="G17" s="1794" t="s">
        <v>3379</v>
      </c>
      <c r="H17" s="1794">
        <v>5</v>
      </c>
      <c r="I17" s="1808">
        <v>2</v>
      </c>
      <c r="J17" s="2697">
        <v>2</v>
      </c>
      <c r="K17" s="1821">
        <v>4</v>
      </c>
    </row>
    <row r="18" spans="1:11">
      <c r="A18" s="1421" t="s">
        <v>350</v>
      </c>
      <c r="B18" s="1652" t="s">
        <v>1411</v>
      </c>
      <c r="C18" s="2663">
        <v>45130</v>
      </c>
      <c r="D18" s="2663">
        <v>45142</v>
      </c>
      <c r="E18" s="2663">
        <v>45131</v>
      </c>
      <c r="F18" s="2663">
        <v>45130</v>
      </c>
      <c r="G18" s="2664" t="s">
        <v>3379</v>
      </c>
      <c r="H18" s="2664">
        <v>45136</v>
      </c>
      <c r="I18" s="2703">
        <v>45137</v>
      </c>
      <c r="J18" s="2704">
        <v>45107</v>
      </c>
      <c r="K18" s="2705">
        <v>45075</v>
      </c>
    </row>
    <row r="19" spans="1:11">
      <c r="A19" s="936">
        <v>12</v>
      </c>
      <c r="B19" s="1624" t="s">
        <v>1412</v>
      </c>
      <c r="C19" s="1794">
        <v>27</v>
      </c>
      <c r="D19" s="1794">
        <v>10.4</v>
      </c>
      <c r="E19" s="1794">
        <v>17</v>
      </c>
      <c r="F19" s="1794">
        <v>21</v>
      </c>
      <c r="G19" s="1794" t="s">
        <v>3379</v>
      </c>
      <c r="H19" s="1794">
        <v>69</v>
      </c>
      <c r="I19" s="1808">
        <v>29</v>
      </c>
      <c r="J19" s="2697">
        <v>34</v>
      </c>
      <c r="K19" s="1821">
        <v>39</v>
      </c>
    </row>
    <row r="20" spans="1:11">
      <c r="A20" s="936">
        <v>13</v>
      </c>
      <c r="B20" s="1624" t="s">
        <v>1411</v>
      </c>
      <c r="C20" s="1799">
        <v>45130</v>
      </c>
      <c r="D20" s="1799">
        <v>45142</v>
      </c>
      <c r="E20" s="1799">
        <v>45131</v>
      </c>
      <c r="F20" s="1799">
        <v>45130</v>
      </c>
      <c r="G20" s="1798" t="s">
        <v>3379</v>
      </c>
      <c r="H20" s="1798">
        <v>45136</v>
      </c>
      <c r="I20" s="1825">
        <v>45137</v>
      </c>
      <c r="J20" s="2698">
        <v>45107</v>
      </c>
      <c r="K20" s="2705">
        <v>45075</v>
      </c>
    </row>
    <row r="21" spans="1:11">
      <c r="A21" s="936">
        <v>14</v>
      </c>
      <c r="B21" s="1624" t="s">
        <v>1413</v>
      </c>
      <c r="C21" s="1794" t="s">
        <v>4281</v>
      </c>
      <c r="D21" s="1794" t="s">
        <v>4281</v>
      </c>
      <c r="E21" s="1794" t="s">
        <v>4281</v>
      </c>
      <c r="F21" s="1794" t="s">
        <v>4281</v>
      </c>
      <c r="G21" s="1794" t="s">
        <v>3379</v>
      </c>
      <c r="H21" s="1794" t="s">
        <v>4281</v>
      </c>
      <c r="I21" s="1808" t="s">
        <v>3379</v>
      </c>
      <c r="J21" s="2697" t="s">
        <v>3379</v>
      </c>
      <c r="K21" s="1821" t="s">
        <v>3379</v>
      </c>
    </row>
    <row r="22" spans="1:11">
      <c r="A22" s="936">
        <v>15</v>
      </c>
      <c r="B22" s="1624" t="s">
        <v>1500</v>
      </c>
      <c r="C22" s="1622" t="s">
        <v>2169</v>
      </c>
      <c r="D22" s="1622" t="s">
        <v>2169</v>
      </c>
      <c r="E22" s="1622" t="s">
        <v>2169</v>
      </c>
      <c r="F22" s="1622" t="s">
        <v>2169</v>
      </c>
      <c r="G22" s="1622" t="s">
        <v>3379</v>
      </c>
      <c r="H22" s="1622" t="s">
        <v>2169</v>
      </c>
      <c r="I22" s="1827" t="s">
        <v>2169</v>
      </c>
      <c r="J22" s="1654" t="s">
        <v>2169</v>
      </c>
      <c r="K22" s="1828" t="s">
        <v>2169</v>
      </c>
    </row>
    <row r="23" spans="1:11">
      <c r="A23" s="936">
        <v>16</v>
      </c>
      <c r="B23" s="1624" t="s">
        <v>1501</v>
      </c>
      <c r="C23" s="1622" t="s">
        <v>2289</v>
      </c>
      <c r="D23" s="1622" t="s">
        <v>2289</v>
      </c>
      <c r="E23" s="1622" t="s">
        <v>3379</v>
      </c>
      <c r="F23" s="1622" t="s">
        <v>2289</v>
      </c>
      <c r="G23" s="1622" t="s">
        <v>3379</v>
      </c>
      <c r="H23" s="1622" t="s">
        <v>2289</v>
      </c>
      <c r="I23" s="1827" t="s">
        <v>2289</v>
      </c>
      <c r="J23" s="1654" t="s">
        <v>2289</v>
      </c>
      <c r="K23" s="1828" t="s">
        <v>2289</v>
      </c>
    </row>
    <row r="24" spans="1:11">
      <c r="A24" s="936">
        <v>17</v>
      </c>
      <c r="B24" s="1624" t="s">
        <v>1502</v>
      </c>
      <c r="C24" s="1794" t="s">
        <v>2289</v>
      </c>
      <c r="D24" s="1794" t="s">
        <v>2289</v>
      </c>
      <c r="E24" s="1794" t="s">
        <v>3379</v>
      </c>
      <c r="F24" s="1794" t="s">
        <v>2289</v>
      </c>
      <c r="G24" s="1794" t="s">
        <v>3379</v>
      </c>
      <c r="H24" s="1794" t="s">
        <v>2289</v>
      </c>
      <c r="I24" s="1808" t="s">
        <v>2289</v>
      </c>
      <c r="J24" s="2697" t="s">
        <v>2289</v>
      </c>
      <c r="K24" s="1821" t="s">
        <v>2289</v>
      </c>
    </row>
    <row r="25" spans="1:11">
      <c r="A25" s="936">
        <v>18</v>
      </c>
      <c r="B25" s="1624" t="s">
        <v>522</v>
      </c>
      <c r="C25" s="1794" t="s">
        <v>2289</v>
      </c>
      <c r="D25" s="1794" t="s">
        <v>2289</v>
      </c>
      <c r="E25" s="1794" t="s">
        <v>3379</v>
      </c>
      <c r="F25" s="1794" t="s">
        <v>2289</v>
      </c>
      <c r="G25" s="1794" t="s">
        <v>3379</v>
      </c>
      <c r="H25" s="1794" t="s">
        <v>2289</v>
      </c>
      <c r="I25" s="1808" t="s">
        <v>2289</v>
      </c>
      <c r="J25" s="2697" t="s">
        <v>2289</v>
      </c>
      <c r="K25" s="1821" t="s">
        <v>2289</v>
      </c>
    </row>
    <row r="26" spans="1:11">
      <c r="A26" s="936">
        <v>19</v>
      </c>
      <c r="B26" s="1624" t="s">
        <v>523</v>
      </c>
      <c r="C26" s="1794" t="s">
        <v>2289</v>
      </c>
      <c r="D26" s="1794" t="s">
        <v>2289</v>
      </c>
      <c r="E26" s="1794" t="s">
        <v>3379</v>
      </c>
      <c r="F26" s="1794" t="s">
        <v>2289</v>
      </c>
      <c r="G26" s="1794" t="s">
        <v>3379</v>
      </c>
      <c r="H26" s="1794" t="s">
        <v>2289</v>
      </c>
      <c r="I26" s="1808" t="s">
        <v>2289</v>
      </c>
      <c r="J26" s="2697" t="s">
        <v>2289</v>
      </c>
      <c r="K26" s="1821" t="s">
        <v>2289</v>
      </c>
    </row>
    <row r="27" spans="1:11">
      <c r="A27" s="936">
        <v>20</v>
      </c>
      <c r="B27" s="1624" t="s">
        <v>2170</v>
      </c>
      <c r="C27" s="1794">
        <v>13193</v>
      </c>
      <c r="D27" s="1794">
        <v>14998</v>
      </c>
      <c r="E27" s="1794">
        <v>18459</v>
      </c>
      <c r="F27" s="1794">
        <v>29285</v>
      </c>
      <c r="G27" s="1794" t="s">
        <v>3379</v>
      </c>
      <c r="H27" s="1794">
        <v>74279</v>
      </c>
      <c r="I27" s="1808">
        <v>23832</v>
      </c>
      <c r="J27" s="2697">
        <v>28271</v>
      </c>
      <c r="K27" s="1821">
        <v>42902</v>
      </c>
    </row>
    <row r="28" spans="1:11">
      <c r="A28" s="1412" t="s">
        <v>360</v>
      </c>
      <c r="B28" s="1653" t="s">
        <v>525</v>
      </c>
      <c r="C28" s="1794">
        <v>0.27</v>
      </c>
      <c r="D28" s="1794">
        <v>0.19</v>
      </c>
      <c r="E28" s="1802">
        <v>0.2</v>
      </c>
      <c r="F28" s="1802">
        <v>0.2</v>
      </c>
      <c r="G28" s="1802" t="s">
        <v>3379</v>
      </c>
      <c r="H28" s="1802">
        <v>0.17</v>
      </c>
      <c r="I28" s="1829">
        <v>0.19</v>
      </c>
      <c r="J28" s="2397">
        <v>0.2</v>
      </c>
      <c r="K28" s="1821">
        <v>0.2</v>
      </c>
    </row>
    <row r="29" spans="1:11">
      <c r="A29" s="936">
        <v>22</v>
      </c>
      <c r="B29" s="1624" t="s">
        <v>2587</v>
      </c>
      <c r="C29" s="1794">
        <v>13193</v>
      </c>
      <c r="D29" s="1794">
        <v>14998</v>
      </c>
      <c r="E29" s="1794">
        <v>18459</v>
      </c>
      <c r="F29" s="1794">
        <v>29285</v>
      </c>
      <c r="G29" s="1794" t="s">
        <v>3379</v>
      </c>
      <c r="H29" s="1794">
        <v>74279</v>
      </c>
      <c r="I29" s="1808">
        <v>23832</v>
      </c>
      <c r="J29" s="2697">
        <v>28271</v>
      </c>
      <c r="K29" s="1821">
        <v>42902</v>
      </c>
    </row>
    <row r="30" spans="1:11">
      <c r="A30" s="936">
        <v>23</v>
      </c>
      <c r="B30" s="1624" t="s">
        <v>2995</v>
      </c>
      <c r="C30" s="1794" t="s">
        <v>3379</v>
      </c>
      <c r="D30" s="1794" t="s">
        <v>3379</v>
      </c>
      <c r="E30" s="1794" t="s">
        <v>3379</v>
      </c>
      <c r="F30" s="1794" t="s">
        <v>3379</v>
      </c>
      <c r="G30" s="1794" t="s">
        <v>3379</v>
      </c>
      <c r="H30" s="1794" t="s">
        <v>3379</v>
      </c>
      <c r="I30" s="1808" t="s">
        <v>3379</v>
      </c>
      <c r="J30" s="2697" t="s">
        <v>3379</v>
      </c>
      <c r="K30" s="1821" t="s">
        <v>3379</v>
      </c>
    </row>
    <row r="31" spans="1:11">
      <c r="A31" s="936">
        <v>24</v>
      </c>
      <c r="B31" s="1624" t="s">
        <v>2996</v>
      </c>
      <c r="C31" s="1794" t="s">
        <v>3379</v>
      </c>
      <c r="D31" s="1794" t="s">
        <v>3379</v>
      </c>
      <c r="E31" s="1794" t="s">
        <v>3379</v>
      </c>
      <c r="F31" s="1794" t="s">
        <v>3379</v>
      </c>
      <c r="G31" s="1794" t="s">
        <v>3379</v>
      </c>
      <c r="H31" s="1794" t="s">
        <v>3379</v>
      </c>
      <c r="I31" s="1808" t="s">
        <v>3379</v>
      </c>
      <c r="J31" s="2697" t="s">
        <v>3379</v>
      </c>
      <c r="K31" s="1821" t="s">
        <v>3379</v>
      </c>
    </row>
    <row r="32" spans="1:11" ht="15.75" thickBot="1">
      <c r="A32" s="1422" t="s">
        <v>364</v>
      </c>
      <c r="B32" s="1648" t="s">
        <v>3466</v>
      </c>
      <c r="C32" s="1958">
        <v>0</v>
      </c>
      <c r="D32" s="1959">
        <v>0</v>
      </c>
      <c r="E32" s="1804">
        <v>0</v>
      </c>
      <c r="F32" s="1804">
        <v>0</v>
      </c>
      <c r="G32" s="1804" t="s">
        <v>3379</v>
      </c>
      <c r="H32" s="1804">
        <v>0</v>
      </c>
      <c r="I32" s="2706">
        <v>0</v>
      </c>
      <c r="J32" s="2398">
        <v>0</v>
      </c>
      <c r="K32" s="1832">
        <v>0</v>
      </c>
    </row>
    <row r="33" spans="1:11">
      <c r="A33" s="1414" t="s">
        <v>2024</v>
      </c>
      <c r="B33" s="1654"/>
      <c r="C33" s="1649"/>
      <c r="D33" s="1649"/>
      <c r="E33" s="1649"/>
      <c r="F33" s="1650"/>
      <c r="K33" s="1649"/>
    </row>
    <row r="34" spans="1:11">
      <c r="A34" s="900" t="s">
        <v>4389</v>
      </c>
      <c r="B34" s="955"/>
      <c r="C34" s="931"/>
      <c r="D34" s="955"/>
      <c r="E34" s="931"/>
      <c r="F34" s="955"/>
      <c r="G34" s="955"/>
      <c r="H34" s="955"/>
      <c r="I34" s="955"/>
    </row>
    <row r="35" spans="1:11">
      <c r="A35" s="938"/>
      <c r="B35" s="931"/>
      <c r="C35" s="931"/>
      <c r="D35" s="931"/>
      <c r="E35" s="931"/>
      <c r="F35" s="931"/>
      <c r="G35" s="931"/>
      <c r="H35" s="931"/>
      <c r="I35" s="931"/>
    </row>
  </sheetData>
  <pageMargins left="0.3" right="0.3" top="0.8" bottom="0.3" header="0" footer="0"/>
  <pageSetup scale="85" orientation="landscape"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27"/>
  <dimension ref="A1:AG35"/>
  <sheetViews>
    <sheetView workbookViewId="0">
      <selection activeCell="G18" sqref="G18"/>
    </sheetView>
  </sheetViews>
  <sheetFormatPr defaultRowHeight="15"/>
  <cols>
    <col min="1" max="1" width="4.44140625" customWidth="1"/>
    <col min="2" max="2" width="38.33203125" customWidth="1"/>
    <col min="3" max="3" width="8.77734375" bestFit="1" customWidth="1"/>
    <col min="4" max="4" width="7" bestFit="1" customWidth="1"/>
    <col min="5" max="5" width="8.6640625" bestFit="1" customWidth="1"/>
    <col min="6" max="6" width="8.77734375" bestFit="1" customWidth="1"/>
    <col min="7" max="7" width="9.44140625" bestFit="1" customWidth="1"/>
    <col min="8" max="8" width="8.77734375" bestFit="1" customWidth="1"/>
    <col min="9" max="9" width="8.21875" bestFit="1" customWidth="1"/>
    <col min="10" max="10" width="11" customWidth="1"/>
    <col min="11" max="12" width="8.21875" bestFit="1" customWidth="1"/>
  </cols>
  <sheetData>
    <row r="1" spans="1:33" ht="15.75" thickBot="1">
      <c r="A1" s="86" t="str">
        <f>'Data sheet'!A63</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row>
    <row r="2" spans="1:33">
      <c r="A2" s="1399"/>
      <c r="B2" s="1400"/>
      <c r="C2" s="1401" t="s">
        <v>4818</v>
      </c>
      <c r="D2" s="1401" t="s">
        <v>4823</v>
      </c>
      <c r="E2" s="1429" t="s">
        <v>4824</v>
      </c>
      <c r="F2" s="1401" t="s">
        <v>4827</v>
      </c>
      <c r="G2" s="1401" t="s">
        <v>4828</v>
      </c>
      <c r="H2" s="1401" t="s">
        <v>4833</v>
      </c>
      <c r="I2" s="2403" t="s">
        <v>4892</v>
      </c>
      <c r="J2" s="1401" t="s">
        <v>4825</v>
      </c>
      <c r="K2" s="1401" t="s">
        <v>4829</v>
      </c>
      <c r="L2" s="2404" t="s">
        <v>4863</v>
      </c>
    </row>
    <row r="3" spans="1:33">
      <c r="A3" s="939"/>
      <c r="B3" s="238"/>
      <c r="C3" s="1619" t="s">
        <v>4820</v>
      </c>
      <c r="D3" s="1619" t="s">
        <v>4826</v>
      </c>
      <c r="E3" s="1618"/>
      <c r="F3" s="1619"/>
      <c r="G3" s="1619"/>
      <c r="H3" s="1619" t="s">
        <v>4832</v>
      </c>
      <c r="I3" s="1619" t="s">
        <v>4893</v>
      </c>
      <c r="J3" s="1619" t="s">
        <v>3472</v>
      </c>
      <c r="K3" s="1619"/>
      <c r="L3" s="2399" t="s">
        <v>4864</v>
      </c>
    </row>
    <row r="4" spans="1:33">
      <c r="A4" s="939"/>
      <c r="B4" s="949" t="s">
        <v>4273</v>
      </c>
      <c r="C4" s="1621"/>
      <c r="D4" s="1621"/>
      <c r="E4" s="1620"/>
      <c r="F4" s="1621"/>
      <c r="G4" s="1621"/>
      <c r="H4" s="1621"/>
      <c r="I4" s="1621"/>
      <c r="J4" s="1621"/>
      <c r="K4" s="1621"/>
      <c r="L4" s="2400"/>
    </row>
    <row r="5" spans="1:33">
      <c r="A5" s="936" t="s">
        <v>2048</v>
      </c>
      <c r="B5" s="937" t="s">
        <v>1017</v>
      </c>
      <c r="C5" s="1622"/>
      <c r="D5" s="1622"/>
      <c r="E5" s="1622"/>
      <c r="F5" s="1622"/>
      <c r="G5" s="1622"/>
      <c r="H5" s="1622"/>
      <c r="I5" s="1622"/>
      <c r="J5" s="1622"/>
      <c r="K5" s="1622"/>
      <c r="L5" s="1801"/>
    </row>
    <row r="6" spans="1:33">
      <c r="A6" s="1410"/>
      <c r="B6" s="1308"/>
      <c r="C6" s="1623"/>
      <c r="D6" s="1623"/>
      <c r="E6" s="1623"/>
      <c r="F6" s="1623"/>
      <c r="G6" s="1623"/>
      <c r="H6" s="1623"/>
      <c r="I6" s="1623"/>
      <c r="J6" s="1623"/>
      <c r="K6" s="1623"/>
      <c r="L6" s="2401"/>
    </row>
    <row r="7" spans="1:33">
      <c r="A7" s="936">
        <v>1</v>
      </c>
      <c r="B7" s="941" t="s">
        <v>1020</v>
      </c>
      <c r="C7" s="1814" t="s">
        <v>4822</v>
      </c>
      <c r="D7" s="1814" t="s">
        <v>4830</v>
      </c>
      <c r="E7" s="1622" t="s">
        <v>4748</v>
      </c>
      <c r="F7" s="1622" t="s">
        <v>4822</v>
      </c>
      <c r="G7" s="1814" t="s">
        <v>4831</v>
      </c>
      <c r="H7" s="1814" t="s">
        <v>4822</v>
      </c>
      <c r="I7" s="1814" t="s">
        <v>4748</v>
      </c>
      <c r="J7" s="1814" t="s">
        <v>4748</v>
      </c>
      <c r="K7" s="1814" t="s">
        <v>4748</v>
      </c>
      <c r="L7" s="2399" t="s">
        <v>4862</v>
      </c>
    </row>
    <row r="8" spans="1:33">
      <c r="A8" s="83"/>
      <c r="B8" s="238"/>
      <c r="C8" s="714"/>
      <c r="D8" s="714"/>
      <c r="E8" s="714"/>
      <c r="F8" s="726"/>
      <c r="G8" s="1814"/>
      <c r="H8" s="1814"/>
      <c r="I8" s="1814"/>
      <c r="J8" s="1814"/>
      <c r="K8" s="1814"/>
      <c r="L8" s="2399"/>
    </row>
    <row r="9" spans="1:33">
      <c r="A9" s="936">
        <v>2</v>
      </c>
      <c r="B9" s="941" t="s">
        <v>4279</v>
      </c>
      <c r="C9" s="1815" t="s">
        <v>4280</v>
      </c>
      <c r="D9" s="1815" t="s">
        <v>4280</v>
      </c>
      <c r="E9" s="1794" t="s">
        <v>4280</v>
      </c>
      <c r="F9" s="1794" t="s">
        <v>4280</v>
      </c>
      <c r="G9" s="1815" t="s">
        <v>4280</v>
      </c>
      <c r="H9" s="1815" t="s">
        <v>4280</v>
      </c>
      <c r="I9" s="1815" t="s">
        <v>4280</v>
      </c>
      <c r="J9" s="1815" t="s">
        <v>4280</v>
      </c>
      <c r="K9" s="1815" t="s">
        <v>4280</v>
      </c>
      <c r="L9" s="2402" t="s">
        <v>3379</v>
      </c>
    </row>
    <row r="10" spans="1:33">
      <c r="A10" s="936">
        <v>3</v>
      </c>
      <c r="B10" s="1624" t="s">
        <v>479</v>
      </c>
      <c r="C10" s="1794">
        <v>4</v>
      </c>
      <c r="D10" s="1794">
        <v>4</v>
      </c>
      <c r="E10" s="1794">
        <v>3</v>
      </c>
      <c r="F10" s="1794">
        <v>3</v>
      </c>
      <c r="G10" s="1794">
        <v>4</v>
      </c>
      <c r="H10" s="1794">
        <v>4</v>
      </c>
      <c r="I10" s="1794">
        <v>2</v>
      </c>
      <c r="J10" s="1794">
        <v>2</v>
      </c>
      <c r="K10" s="1794">
        <v>2</v>
      </c>
      <c r="L10" s="1797">
        <v>3</v>
      </c>
    </row>
    <row r="11" spans="1:33">
      <c r="A11" s="936">
        <v>4</v>
      </c>
      <c r="B11" s="1624" t="s">
        <v>3820</v>
      </c>
      <c r="C11" s="1794" t="s">
        <v>2289</v>
      </c>
      <c r="D11" s="1794" t="s">
        <v>2289</v>
      </c>
      <c r="E11" s="1794" t="s">
        <v>2289</v>
      </c>
      <c r="F11" s="1794" t="s">
        <v>2289</v>
      </c>
      <c r="G11" s="1794" t="s">
        <v>2289</v>
      </c>
      <c r="H11" s="1794" t="s">
        <v>2289</v>
      </c>
      <c r="I11" s="1794" t="s">
        <v>2289</v>
      </c>
      <c r="J11" s="1794" t="s">
        <v>2289</v>
      </c>
      <c r="K11" s="1794" t="s">
        <v>2289</v>
      </c>
      <c r="L11" s="1797" t="s">
        <v>2289</v>
      </c>
    </row>
    <row r="12" spans="1:33">
      <c r="A12" s="936">
        <v>5</v>
      </c>
      <c r="B12" s="1624" t="s">
        <v>3821</v>
      </c>
      <c r="C12" s="1794"/>
      <c r="D12" s="1794"/>
      <c r="E12" s="1794"/>
      <c r="F12" s="1794"/>
      <c r="G12" s="1794"/>
      <c r="H12" s="1794"/>
      <c r="I12" s="1794"/>
      <c r="J12" s="1794"/>
      <c r="K12" s="1794"/>
      <c r="L12" s="1797"/>
    </row>
    <row r="13" spans="1:33">
      <c r="A13" s="1647">
        <v>6</v>
      </c>
      <c r="B13" s="1624" t="s">
        <v>4282</v>
      </c>
      <c r="C13" s="1794">
        <v>2694</v>
      </c>
      <c r="D13" s="1794">
        <v>3676</v>
      </c>
      <c r="E13" s="1794">
        <v>25717</v>
      </c>
      <c r="F13" s="1794">
        <v>1892</v>
      </c>
      <c r="G13" s="1794">
        <v>1240</v>
      </c>
      <c r="H13" s="1794">
        <v>926</v>
      </c>
      <c r="I13" s="1794">
        <v>5741</v>
      </c>
      <c r="J13" s="1794">
        <v>1321</v>
      </c>
      <c r="K13" s="1794">
        <v>2071</v>
      </c>
      <c r="L13" s="1797">
        <v>131662</v>
      </c>
    </row>
    <row r="14" spans="1:33">
      <c r="A14" s="936">
        <v>7</v>
      </c>
      <c r="B14" s="1624" t="s">
        <v>3823</v>
      </c>
      <c r="C14" s="1794" t="s">
        <v>1604</v>
      </c>
      <c r="D14" s="1794" t="s">
        <v>1604</v>
      </c>
      <c r="E14" s="1794" t="s">
        <v>1604</v>
      </c>
      <c r="F14" s="1794" t="s">
        <v>1604</v>
      </c>
      <c r="G14" s="1794" t="s">
        <v>1604</v>
      </c>
      <c r="H14" s="1794" t="s">
        <v>1604</v>
      </c>
      <c r="I14" s="1794" t="s">
        <v>1604</v>
      </c>
      <c r="J14" s="1794" t="s">
        <v>1604</v>
      </c>
      <c r="K14" s="1794" t="s">
        <v>1604</v>
      </c>
      <c r="L14" s="1797" t="s">
        <v>1604</v>
      </c>
    </row>
    <row r="15" spans="1:33">
      <c r="A15" s="936">
        <v>8</v>
      </c>
      <c r="B15" s="1624" t="s">
        <v>4284</v>
      </c>
      <c r="C15" s="1794">
        <v>8.9730000000000008</v>
      </c>
      <c r="D15" s="1794">
        <v>10.38</v>
      </c>
      <c r="E15" s="1794">
        <v>53.014000000000003</v>
      </c>
      <c r="F15" s="1794">
        <v>5.1159999999999997</v>
      </c>
      <c r="G15" s="1794">
        <v>4.375</v>
      </c>
      <c r="H15" s="1794">
        <v>2.8079999999999998</v>
      </c>
      <c r="I15" s="1794">
        <v>16.122</v>
      </c>
      <c r="J15" s="1794">
        <v>3.5920000000000001</v>
      </c>
      <c r="K15" s="1794">
        <v>5.9240000000000004</v>
      </c>
      <c r="L15" s="1797">
        <v>415.55399999999997</v>
      </c>
    </row>
    <row r="16" spans="1:33">
      <c r="A16" s="936">
        <v>9</v>
      </c>
      <c r="B16" s="1624" t="s">
        <v>3014</v>
      </c>
      <c r="C16" s="1794">
        <v>41</v>
      </c>
      <c r="D16" s="1794">
        <v>40</v>
      </c>
      <c r="E16" s="1794">
        <v>110</v>
      </c>
      <c r="F16" s="1794">
        <v>11</v>
      </c>
      <c r="G16" s="1794">
        <v>12</v>
      </c>
      <c r="H16" s="1794">
        <v>14</v>
      </c>
      <c r="I16" s="1794">
        <v>139</v>
      </c>
      <c r="J16" s="1794">
        <v>14</v>
      </c>
      <c r="K16" s="1794">
        <v>14</v>
      </c>
      <c r="L16" s="1797">
        <v>694</v>
      </c>
    </row>
    <row r="17" spans="1:12">
      <c r="A17" s="936">
        <v>10</v>
      </c>
      <c r="B17" s="1624" t="s">
        <v>1410</v>
      </c>
      <c r="C17" s="1794">
        <v>4</v>
      </c>
      <c r="D17" s="1794">
        <v>4</v>
      </c>
      <c r="E17" s="1794">
        <v>3</v>
      </c>
      <c r="F17" s="1794">
        <v>2</v>
      </c>
      <c r="G17" s="1794">
        <v>4</v>
      </c>
      <c r="H17" s="1794">
        <v>4</v>
      </c>
      <c r="I17" s="1794">
        <v>2</v>
      </c>
      <c r="J17" s="1794">
        <v>2</v>
      </c>
      <c r="K17" s="1794">
        <v>2</v>
      </c>
      <c r="L17" s="1797">
        <v>2</v>
      </c>
    </row>
    <row r="18" spans="1:12">
      <c r="A18" s="1421" t="s">
        <v>350</v>
      </c>
      <c r="B18" s="1652" t="s">
        <v>1411</v>
      </c>
      <c r="C18" s="2663">
        <v>45047</v>
      </c>
      <c r="D18" s="2663">
        <v>45149</v>
      </c>
      <c r="E18" s="2663">
        <v>45463</v>
      </c>
      <c r="F18" s="2663">
        <v>45176</v>
      </c>
      <c r="G18" s="2664">
        <v>44989</v>
      </c>
      <c r="H18" s="2664">
        <v>45118</v>
      </c>
      <c r="I18" s="2664">
        <v>45616</v>
      </c>
      <c r="J18" s="2664">
        <v>45133</v>
      </c>
      <c r="K18" s="2664">
        <v>45236</v>
      </c>
      <c r="L18" s="2755">
        <v>45269</v>
      </c>
    </row>
    <row r="19" spans="1:12">
      <c r="A19" s="936">
        <v>12</v>
      </c>
      <c r="B19" s="1624" t="s">
        <v>1412</v>
      </c>
      <c r="C19" s="1794">
        <v>41</v>
      </c>
      <c r="D19" s="1794">
        <v>40</v>
      </c>
      <c r="E19" s="1794">
        <v>110</v>
      </c>
      <c r="F19" s="1794">
        <v>11</v>
      </c>
      <c r="G19" s="1794">
        <v>12</v>
      </c>
      <c r="H19" s="1794">
        <v>14</v>
      </c>
      <c r="I19" s="1794">
        <v>139</v>
      </c>
      <c r="J19" s="1794">
        <v>14</v>
      </c>
      <c r="K19" s="1794">
        <v>14</v>
      </c>
      <c r="L19" s="1797">
        <v>694</v>
      </c>
    </row>
    <row r="20" spans="1:12">
      <c r="A20" s="936">
        <v>13</v>
      </c>
      <c r="B20" s="1624" t="s">
        <v>1411</v>
      </c>
      <c r="C20" s="1794">
        <v>45047</v>
      </c>
      <c r="D20" s="1794">
        <v>45149</v>
      </c>
      <c r="E20" s="1799">
        <v>45463</v>
      </c>
      <c r="F20" s="1799">
        <v>45176</v>
      </c>
      <c r="G20" s="1798">
        <v>44989</v>
      </c>
      <c r="H20" s="1798">
        <v>45118</v>
      </c>
      <c r="I20" s="1798">
        <v>45616</v>
      </c>
      <c r="J20" s="1798">
        <v>45133</v>
      </c>
      <c r="K20" s="1798">
        <v>45236</v>
      </c>
      <c r="L20" s="1800">
        <v>45269</v>
      </c>
    </row>
    <row r="21" spans="1:12">
      <c r="A21" s="936">
        <v>14</v>
      </c>
      <c r="B21" s="1624" t="s">
        <v>1413</v>
      </c>
      <c r="C21" s="1794" t="s">
        <v>4281</v>
      </c>
      <c r="D21" s="1794" t="s">
        <v>4281</v>
      </c>
      <c r="E21" s="1794" t="s">
        <v>4281</v>
      </c>
      <c r="F21" s="1794" t="s">
        <v>4281</v>
      </c>
      <c r="G21" s="1794" t="s">
        <v>4281</v>
      </c>
      <c r="H21" s="1794" t="s">
        <v>4281</v>
      </c>
      <c r="I21" s="1794" t="s">
        <v>4281</v>
      </c>
      <c r="J21" s="1794" t="s">
        <v>4281</v>
      </c>
      <c r="K21" s="1794" t="s">
        <v>4281</v>
      </c>
      <c r="L21" s="1797" t="s">
        <v>4281</v>
      </c>
    </row>
    <row r="22" spans="1:12">
      <c r="A22" s="936">
        <v>15</v>
      </c>
      <c r="B22" s="1624" t="s">
        <v>1500</v>
      </c>
      <c r="C22" s="1622" t="s">
        <v>2169</v>
      </c>
      <c r="D22" s="1622" t="s">
        <v>2169</v>
      </c>
      <c r="E22" s="1622" t="s">
        <v>2169</v>
      </c>
      <c r="F22" s="1622" t="s">
        <v>2169</v>
      </c>
      <c r="G22" s="1622" t="s">
        <v>2169</v>
      </c>
      <c r="H22" s="1622" t="s">
        <v>2169</v>
      </c>
      <c r="I22" s="1622" t="s">
        <v>2169</v>
      </c>
      <c r="J22" s="1622" t="s">
        <v>2169</v>
      </c>
      <c r="K22" s="1622" t="s">
        <v>2169</v>
      </c>
      <c r="L22" s="1801" t="s">
        <v>2169</v>
      </c>
    </row>
    <row r="23" spans="1:12">
      <c r="A23" s="936">
        <v>16</v>
      </c>
      <c r="B23" s="1624" t="s">
        <v>1501</v>
      </c>
      <c r="C23" s="1622" t="s">
        <v>3379</v>
      </c>
      <c r="D23" s="1622" t="s">
        <v>3379</v>
      </c>
      <c r="E23" s="1622" t="s">
        <v>2289</v>
      </c>
      <c r="F23" s="1622" t="s">
        <v>3379</v>
      </c>
      <c r="G23" s="1622" t="s">
        <v>3379</v>
      </c>
      <c r="H23" s="1622" t="s">
        <v>3379</v>
      </c>
      <c r="I23" s="1622" t="s">
        <v>3379</v>
      </c>
      <c r="J23" s="1622" t="s">
        <v>3379</v>
      </c>
      <c r="K23" s="1622" t="s">
        <v>3379</v>
      </c>
      <c r="L23" s="1797" t="s">
        <v>3379</v>
      </c>
    </row>
    <row r="24" spans="1:12">
      <c r="A24" s="936">
        <v>17</v>
      </c>
      <c r="B24" s="1624" t="s">
        <v>1502</v>
      </c>
      <c r="C24" s="1794" t="s">
        <v>2289</v>
      </c>
      <c r="D24" s="1794" t="s">
        <v>2289</v>
      </c>
      <c r="E24" s="1794" t="s">
        <v>2289</v>
      </c>
      <c r="F24" s="1794" t="s">
        <v>2289</v>
      </c>
      <c r="G24" s="1794" t="s">
        <v>2289</v>
      </c>
      <c r="H24" s="1794" t="s">
        <v>2289</v>
      </c>
      <c r="I24" s="1794" t="s">
        <v>2289</v>
      </c>
      <c r="J24" s="1794" t="s">
        <v>2289</v>
      </c>
      <c r="K24" s="1794" t="s">
        <v>2289</v>
      </c>
      <c r="L24" s="1797" t="s">
        <v>2289</v>
      </c>
    </row>
    <row r="25" spans="1:12">
      <c r="A25" s="936">
        <v>18</v>
      </c>
      <c r="B25" s="1624" t="s">
        <v>522</v>
      </c>
      <c r="C25" s="1794" t="s">
        <v>2289</v>
      </c>
      <c r="D25" s="1794" t="s">
        <v>2289</v>
      </c>
      <c r="E25" s="1794" t="s">
        <v>2289</v>
      </c>
      <c r="F25" s="1794" t="s">
        <v>2289</v>
      </c>
      <c r="G25" s="1794" t="s">
        <v>2289</v>
      </c>
      <c r="H25" s="1794" t="s">
        <v>2289</v>
      </c>
      <c r="I25" s="1794" t="s">
        <v>2289</v>
      </c>
      <c r="J25" s="1794" t="s">
        <v>2289</v>
      </c>
      <c r="K25" s="1794" t="s">
        <v>2289</v>
      </c>
      <c r="L25" s="1797" t="s">
        <v>2289</v>
      </c>
    </row>
    <row r="26" spans="1:12">
      <c r="A26" s="936">
        <v>19</v>
      </c>
      <c r="B26" s="1624" t="s">
        <v>523</v>
      </c>
      <c r="C26" s="1794" t="s">
        <v>2289</v>
      </c>
      <c r="D26" s="1794" t="s">
        <v>2289</v>
      </c>
      <c r="E26" s="1794" t="s">
        <v>2289</v>
      </c>
      <c r="F26" s="1794" t="s">
        <v>2289</v>
      </c>
      <c r="G26" s="1794" t="s">
        <v>2289</v>
      </c>
      <c r="H26" s="1794" t="s">
        <v>2289</v>
      </c>
      <c r="I26" s="1794" t="s">
        <v>2289</v>
      </c>
      <c r="J26" s="1794" t="s">
        <v>2289</v>
      </c>
      <c r="K26" s="1794" t="s">
        <v>2289</v>
      </c>
      <c r="L26" s="1797" t="s">
        <v>2289</v>
      </c>
    </row>
    <row r="27" spans="1:12">
      <c r="A27" s="936">
        <v>20</v>
      </c>
      <c r="B27" s="1624" t="s">
        <v>2170</v>
      </c>
      <c r="C27" s="1794">
        <v>20134</v>
      </c>
      <c r="D27" s="1794">
        <v>41627</v>
      </c>
      <c r="E27" s="1794">
        <v>205143</v>
      </c>
      <c r="F27" s="1794">
        <v>17032</v>
      </c>
      <c r="G27" s="1794">
        <v>13945</v>
      </c>
      <c r="H27" s="1794">
        <v>12046</v>
      </c>
      <c r="I27" s="1794">
        <v>20921</v>
      </c>
      <c r="J27" s="1794">
        <v>9614</v>
      </c>
      <c r="K27" s="1794">
        <v>33467</v>
      </c>
      <c r="L27" s="1797">
        <v>782365</v>
      </c>
    </row>
    <row r="28" spans="1:12">
      <c r="A28" s="1412" t="s">
        <v>360</v>
      </c>
      <c r="B28" s="1653" t="s">
        <v>525</v>
      </c>
      <c r="C28" s="1794">
        <v>0.2</v>
      </c>
      <c r="D28" s="1794">
        <v>0.2</v>
      </c>
      <c r="E28" s="1802">
        <v>0.15</v>
      </c>
      <c r="F28" s="1802">
        <v>0.31</v>
      </c>
      <c r="G28" s="1802">
        <v>0.24</v>
      </c>
      <c r="H28" s="1802">
        <v>0.27</v>
      </c>
      <c r="I28" s="1802">
        <v>0.2</v>
      </c>
      <c r="J28" s="1802">
        <v>0.22</v>
      </c>
      <c r="K28" s="1802">
        <v>0.15</v>
      </c>
      <c r="L28" s="1803">
        <v>1.4999999999999999E-2</v>
      </c>
    </row>
    <row r="29" spans="1:12">
      <c r="A29" s="936">
        <v>22</v>
      </c>
      <c r="B29" s="1624" t="s">
        <v>2587</v>
      </c>
      <c r="C29" s="1794">
        <v>20134</v>
      </c>
      <c r="D29" s="1794">
        <v>41627</v>
      </c>
      <c r="E29" s="1794">
        <v>205143</v>
      </c>
      <c r="F29" s="1794">
        <v>17032</v>
      </c>
      <c r="G29" s="1794">
        <v>13945</v>
      </c>
      <c r="H29" s="1794">
        <v>12046</v>
      </c>
      <c r="I29" s="1794">
        <v>20921</v>
      </c>
      <c r="J29" s="1794">
        <v>9614</v>
      </c>
      <c r="K29" s="1794">
        <v>33467</v>
      </c>
      <c r="L29" s="1797">
        <v>782365</v>
      </c>
    </row>
    <row r="30" spans="1:12">
      <c r="A30" s="936">
        <v>23</v>
      </c>
      <c r="B30" s="1624" t="s">
        <v>2995</v>
      </c>
      <c r="C30" s="1794" t="s">
        <v>3379</v>
      </c>
      <c r="D30" s="1794" t="s">
        <v>3379</v>
      </c>
      <c r="E30" s="1794" t="s">
        <v>3379</v>
      </c>
      <c r="F30" s="1794" t="s">
        <v>3379</v>
      </c>
      <c r="G30" s="1794" t="s">
        <v>3379</v>
      </c>
      <c r="H30" s="1794" t="s">
        <v>3379</v>
      </c>
      <c r="I30" s="1794" t="s">
        <v>3379</v>
      </c>
      <c r="J30" s="1794" t="s">
        <v>3379</v>
      </c>
      <c r="K30" s="1794" t="s">
        <v>3379</v>
      </c>
      <c r="L30" s="1797" t="s">
        <v>3379</v>
      </c>
    </row>
    <row r="31" spans="1:12">
      <c r="A31" s="936">
        <v>24</v>
      </c>
      <c r="B31" s="1624" t="s">
        <v>2996</v>
      </c>
      <c r="C31" s="1794" t="s">
        <v>3379</v>
      </c>
      <c r="D31" s="1794" t="s">
        <v>3379</v>
      </c>
      <c r="E31" s="1794" t="s">
        <v>3379</v>
      </c>
      <c r="F31" s="1794" t="s">
        <v>3379</v>
      </c>
      <c r="G31" s="1794" t="s">
        <v>3379</v>
      </c>
      <c r="H31" s="1794" t="s">
        <v>3379</v>
      </c>
      <c r="I31" s="1794" t="s">
        <v>3379</v>
      </c>
      <c r="J31" s="1794" t="s">
        <v>3379</v>
      </c>
      <c r="K31" s="1794" t="s">
        <v>3379</v>
      </c>
      <c r="L31" s="1797" t="s">
        <v>3379</v>
      </c>
    </row>
    <row r="32" spans="1:12" ht="15.75" thickBot="1">
      <c r="A32" s="1422" t="s">
        <v>364</v>
      </c>
      <c r="B32" s="1648" t="s">
        <v>3466</v>
      </c>
      <c r="C32" s="1804">
        <v>0</v>
      </c>
      <c r="D32" s="1804">
        <v>0</v>
      </c>
      <c r="E32" s="1804">
        <v>0</v>
      </c>
      <c r="F32" s="1804">
        <v>0</v>
      </c>
      <c r="G32" s="1804">
        <v>0</v>
      </c>
      <c r="H32" s="1804">
        <v>0</v>
      </c>
      <c r="I32" s="1804">
        <v>0</v>
      </c>
      <c r="J32" s="1804">
        <v>0</v>
      </c>
      <c r="K32" s="1804">
        <v>0</v>
      </c>
      <c r="L32" s="1805">
        <v>0</v>
      </c>
    </row>
    <row r="33" spans="1:11">
      <c r="A33" s="1414" t="s">
        <v>2024</v>
      </c>
      <c r="B33" s="1654"/>
      <c r="C33" s="1649"/>
      <c r="D33" s="1649"/>
      <c r="E33" s="1649"/>
      <c r="F33" s="1650"/>
    </row>
    <row r="34" spans="1:11">
      <c r="A34" s="900" t="s">
        <v>4821</v>
      </c>
      <c r="B34" s="955"/>
      <c r="C34" s="1649"/>
      <c r="D34" s="955"/>
      <c r="E34" s="931"/>
      <c r="F34" s="955"/>
      <c r="G34" s="955"/>
      <c r="H34" s="955"/>
      <c r="I34" s="955"/>
      <c r="J34" s="955"/>
      <c r="K34" s="955"/>
    </row>
    <row r="35" spans="1:11">
      <c r="A35" s="938"/>
      <c r="B35" s="931"/>
      <c r="C35" s="1649"/>
      <c r="D35" s="931"/>
      <c r="E35" s="931"/>
      <c r="F35" s="931"/>
      <c r="G35" s="931"/>
      <c r="H35" s="931"/>
      <c r="I35" s="931"/>
      <c r="J35" s="931"/>
      <c r="K35" s="931"/>
    </row>
  </sheetData>
  <pageMargins left="0.45" right="0.2" top="0.75" bottom="0.75" header="0.3" footer="0.3"/>
  <pageSetup scale="85" orientation="landscape" horizontalDpi="240" verticalDpi="24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AC319"/>
  <sheetViews>
    <sheetView workbookViewId="0">
      <selection activeCell="F27" sqref="F27"/>
    </sheetView>
  </sheetViews>
  <sheetFormatPr defaultRowHeight="15"/>
  <cols>
    <col min="1" max="1" width="4.44140625" customWidth="1"/>
    <col min="2" max="2" width="38.33203125" customWidth="1"/>
    <col min="3" max="3" width="13.88671875" bestFit="1" customWidth="1"/>
    <col min="4" max="4" width="7" bestFit="1" customWidth="1"/>
    <col min="5" max="5" width="8.88671875" bestFit="1" customWidth="1"/>
    <col min="6" max="6" width="10" bestFit="1" customWidth="1"/>
    <col min="7" max="7" width="10.6640625" customWidth="1"/>
    <col min="8" max="8" width="9.6640625" customWidth="1"/>
  </cols>
  <sheetData>
    <row r="1" spans="1:29" ht="15.75" thickBot="1">
      <c r="A1" s="86" t="str">
        <f>'Data sheet'!A59</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row>
    <row r="2" spans="1:29">
      <c r="A2" s="1399"/>
      <c r="B2" s="1400"/>
      <c r="C2" s="2403" t="s">
        <v>4921</v>
      </c>
      <c r="D2" s="2403" t="s">
        <v>4922</v>
      </c>
      <c r="E2" s="2553" t="s">
        <v>4923</v>
      </c>
      <c r="F2" s="2403" t="s">
        <v>4924</v>
      </c>
      <c r="G2" s="2403" t="s">
        <v>4925</v>
      </c>
      <c r="H2" s="2403" t="s">
        <v>4926</v>
      </c>
    </row>
    <row r="3" spans="1:29">
      <c r="A3" s="939"/>
      <c r="B3" s="238"/>
      <c r="C3" s="1619"/>
      <c r="D3" s="1619"/>
      <c r="E3" s="1618"/>
      <c r="F3" s="1619"/>
      <c r="G3" s="1619"/>
      <c r="H3" s="1619"/>
    </row>
    <row r="4" spans="1:29">
      <c r="A4" s="939"/>
      <c r="B4" s="949" t="s">
        <v>4273</v>
      </c>
      <c r="C4" s="1621"/>
      <c r="D4" s="1621"/>
      <c r="E4" s="1620"/>
      <c r="F4" s="1621"/>
      <c r="G4" s="1621"/>
      <c r="H4" s="1621"/>
    </row>
    <row r="5" spans="1:29">
      <c r="A5" s="936" t="s">
        <v>2048</v>
      </c>
      <c r="B5" s="937" t="s">
        <v>1017</v>
      </c>
      <c r="C5" s="1622"/>
      <c r="D5" s="1622"/>
      <c r="E5" s="1622"/>
      <c r="F5" s="1622"/>
      <c r="G5" s="1622"/>
      <c r="H5" s="1622"/>
    </row>
    <row r="6" spans="1:29">
      <c r="A6" s="1410"/>
      <c r="B6" s="1308"/>
      <c r="C6" s="1623"/>
      <c r="D6" s="1623"/>
      <c r="E6" s="1623"/>
      <c r="F6" s="1623"/>
      <c r="G6" s="1623"/>
      <c r="H6" s="1623"/>
    </row>
    <row r="7" spans="1:29">
      <c r="A7" s="936">
        <v>1</v>
      </c>
      <c r="B7" s="941" t="s">
        <v>1020</v>
      </c>
      <c r="C7" s="1814" t="s">
        <v>4908</v>
      </c>
      <c r="D7" s="1814" t="s">
        <v>4908</v>
      </c>
      <c r="E7" s="1814" t="s">
        <v>4908</v>
      </c>
      <c r="F7" s="1814" t="s">
        <v>4908</v>
      </c>
      <c r="G7" s="1814" t="s">
        <v>4927</v>
      </c>
      <c r="H7" s="1814" t="s">
        <v>4927</v>
      </c>
    </row>
    <row r="8" spans="1:29">
      <c r="A8" s="83"/>
      <c r="B8" s="238"/>
      <c r="C8" s="714"/>
      <c r="D8" s="714"/>
      <c r="E8" s="714"/>
      <c r="F8" s="726"/>
      <c r="G8" s="1814"/>
      <c r="H8" s="1814"/>
    </row>
    <row r="9" spans="1:29">
      <c r="A9" s="936">
        <v>2</v>
      </c>
      <c r="B9" s="941" t="s">
        <v>4279</v>
      </c>
      <c r="C9" s="1815">
        <v>812</v>
      </c>
      <c r="D9" s="1815">
        <v>851</v>
      </c>
      <c r="E9" s="1794">
        <v>853</v>
      </c>
      <c r="F9" s="1794">
        <v>890</v>
      </c>
      <c r="G9" s="1815">
        <v>822</v>
      </c>
      <c r="H9" s="1815">
        <v>782</v>
      </c>
    </row>
    <row r="10" spans="1:29">
      <c r="A10" s="936">
        <v>3</v>
      </c>
      <c r="B10" s="1624" t="s">
        <v>479</v>
      </c>
      <c r="C10" s="1794">
        <v>2</v>
      </c>
      <c r="D10" s="1794">
        <v>1</v>
      </c>
      <c r="E10" s="1794">
        <v>3</v>
      </c>
      <c r="F10" s="1794">
        <v>2</v>
      </c>
      <c r="G10" s="1794">
        <v>1</v>
      </c>
      <c r="H10" s="1794">
        <v>1</v>
      </c>
    </row>
    <row r="11" spans="1:29">
      <c r="A11" s="936">
        <v>4</v>
      </c>
      <c r="B11" s="1624" t="s">
        <v>3820</v>
      </c>
      <c r="C11" s="1794" t="s">
        <v>3379</v>
      </c>
      <c r="D11" s="1794" t="s">
        <v>3379</v>
      </c>
      <c r="E11" s="1794" t="s">
        <v>3379</v>
      </c>
      <c r="F11" s="1794" t="s">
        <v>3379</v>
      </c>
      <c r="G11" s="1794" t="s">
        <v>3379</v>
      </c>
      <c r="H11" s="1794" t="s">
        <v>3379</v>
      </c>
    </row>
    <row r="12" spans="1:29">
      <c r="A12" s="936">
        <v>5</v>
      </c>
      <c r="B12" s="1624" t="s">
        <v>3821</v>
      </c>
      <c r="C12" s="1794" t="s">
        <v>3379</v>
      </c>
      <c r="D12" s="1794" t="s">
        <v>3379</v>
      </c>
      <c r="E12" s="1794" t="s">
        <v>3379</v>
      </c>
      <c r="F12" s="1794" t="s">
        <v>3379</v>
      </c>
      <c r="G12" s="1794" t="s">
        <v>3379</v>
      </c>
      <c r="H12" s="1794" t="s">
        <v>3379</v>
      </c>
    </row>
    <row r="13" spans="1:29">
      <c r="A13" s="1647">
        <v>6</v>
      </c>
      <c r="B13" s="1624" t="s">
        <v>4282</v>
      </c>
      <c r="C13" s="1794" t="s">
        <v>3379</v>
      </c>
      <c r="D13" s="1794" t="s">
        <v>3379</v>
      </c>
      <c r="E13" s="1794" t="s">
        <v>3379</v>
      </c>
      <c r="F13" s="1794" t="s">
        <v>3379</v>
      </c>
      <c r="G13" s="1794" t="s">
        <v>3379</v>
      </c>
      <c r="H13" s="1794" t="s">
        <v>3379</v>
      </c>
    </row>
    <row r="14" spans="1:29">
      <c r="A14" s="936">
        <v>7</v>
      </c>
      <c r="B14" s="1624" t="s">
        <v>3823</v>
      </c>
      <c r="C14" s="1794" t="s">
        <v>4958</v>
      </c>
      <c r="D14" s="1794" t="s">
        <v>4958</v>
      </c>
      <c r="E14" s="1794" t="s">
        <v>4958</v>
      </c>
      <c r="F14" s="1794" t="s">
        <v>4958</v>
      </c>
      <c r="G14" s="1794" t="s">
        <v>4958</v>
      </c>
      <c r="H14" s="1794" t="s">
        <v>4958</v>
      </c>
    </row>
    <row r="15" spans="1:29">
      <c r="A15" s="936">
        <v>8</v>
      </c>
      <c r="B15" s="1624" t="s">
        <v>4284</v>
      </c>
      <c r="C15" s="1794">
        <v>0.56269999999999998</v>
      </c>
      <c r="D15" s="1794">
        <v>0</v>
      </c>
      <c r="E15" s="1794" t="s">
        <v>4928</v>
      </c>
      <c r="F15" s="1794" t="s">
        <v>4928</v>
      </c>
      <c r="G15" s="1794">
        <v>0</v>
      </c>
      <c r="H15" s="1794">
        <v>3.4299999999999997E-2</v>
      </c>
    </row>
    <row r="16" spans="1:29">
      <c r="A16" s="936">
        <v>9</v>
      </c>
      <c r="B16" s="1624" t="s">
        <v>3014</v>
      </c>
      <c r="C16" s="1794">
        <v>1.004</v>
      </c>
      <c r="D16" s="1794">
        <v>0</v>
      </c>
      <c r="E16" s="1794">
        <v>127</v>
      </c>
      <c r="F16" s="1794">
        <v>52</v>
      </c>
      <c r="G16" s="1794">
        <v>0</v>
      </c>
      <c r="H16" s="1794">
        <v>7.3700000000000002E-2</v>
      </c>
    </row>
    <row r="17" spans="1:8">
      <c r="A17" s="936">
        <v>10</v>
      </c>
      <c r="B17" s="1624" t="s">
        <v>1410</v>
      </c>
      <c r="C17" s="1794">
        <v>2</v>
      </c>
      <c r="D17" s="1794">
        <v>0</v>
      </c>
      <c r="E17" s="1794">
        <v>2</v>
      </c>
      <c r="F17" s="1794">
        <v>2</v>
      </c>
      <c r="G17" s="1794">
        <v>0</v>
      </c>
      <c r="H17" s="1794">
        <v>1</v>
      </c>
    </row>
    <row r="18" spans="1:8">
      <c r="A18" s="1421" t="s">
        <v>350</v>
      </c>
      <c r="B18" s="1652" t="s">
        <v>1411</v>
      </c>
      <c r="C18" s="2801">
        <v>44965</v>
      </c>
      <c r="D18" s="2801" t="s">
        <v>4928</v>
      </c>
      <c r="E18" s="2802">
        <v>45118</v>
      </c>
      <c r="F18" s="2801">
        <v>45140</v>
      </c>
      <c r="G18" s="2801" t="s">
        <v>4928</v>
      </c>
      <c r="H18" s="2801">
        <v>44953</v>
      </c>
    </row>
    <row r="19" spans="1:8">
      <c r="A19" s="936">
        <v>12</v>
      </c>
      <c r="B19" s="1624" t="s">
        <v>1412</v>
      </c>
      <c r="C19" s="1794" t="s">
        <v>3379</v>
      </c>
      <c r="D19" s="1794" t="s">
        <v>3379</v>
      </c>
      <c r="E19" s="1794" t="s">
        <v>3379</v>
      </c>
      <c r="F19" s="1794" t="s">
        <v>3379</v>
      </c>
      <c r="G19" s="1794" t="s">
        <v>3379</v>
      </c>
      <c r="H19" s="1794" t="s">
        <v>3379</v>
      </c>
    </row>
    <row r="20" spans="1:8">
      <c r="A20" s="936">
        <v>13</v>
      </c>
      <c r="B20" s="1624" t="s">
        <v>1411</v>
      </c>
      <c r="C20" s="1794" t="s">
        <v>3379</v>
      </c>
      <c r="D20" s="1794" t="s">
        <v>3379</v>
      </c>
      <c r="E20" s="1794" t="s">
        <v>3379</v>
      </c>
      <c r="F20" s="1794" t="s">
        <v>3379</v>
      </c>
      <c r="G20" s="1794" t="s">
        <v>3379</v>
      </c>
      <c r="H20" s="1794" t="s">
        <v>3379</v>
      </c>
    </row>
    <row r="21" spans="1:8">
      <c r="A21" s="936">
        <v>14</v>
      </c>
      <c r="B21" s="1624" t="s">
        <v>1413</v>
      </c>
      <c r="C21" s="1794">
        <v>90</v>
      </c>
      <c r="D21" s="1794">
        <v>0</v>
      </c>
      <c r="E21" s="1794">
        <v>100</v>
      </c>
      <c r="F21" s="1794">
        <v>115</v>
      </c>
      <c r="G21" s="1794">
        <v>0</v>
      </c>
      <c r="H21" s="1794">
        <v>63</v>
      </c>
    </row>
    <row r="22" spans="1:8">
      <c r="A22" s="936">
        <v>15</v>
      </c>
      <c r="B22" s="1624" t="s">
        <v>1500</v>
      </c>
      <c r="C22" s="1622" t="s">
        <v>2169</v>
      </c>
      <c r="D22" s="1622" t="s">
        <v>2169</v>
      </c>
      <c r="E22" s="1622" t="s">
        <v>2169</v>
      </c>
      <c r="F22" s="1622" t="s">
        <v>2169</v>
      </c>
      <c r="G22" s="1622" t="s">
        <v>2169</v>
      </c>
      <c r="H22" s="1622" t="s">
        <v>2169</v>
      </c>
    </row>
    <row r="23" spans="1:8">
      <c r="A23" s="936">
        <v>16</v>
      </c>
      <c r="B23" s="1624" t="s">
        <v>1501</v>
      </c>
      <c r="C23" s="1794" t="s">
        <v>3379</v>
      </c>
      <c r="D23" s="1794" t="s">
        <v>3379</v>
      </c>
      <c r="E23" s="1794" t="s">
        <v>3379</v>
      </c>
      <c r="F23" s="1794" t="s">
        <v>3379</v>
      </c>
      <c r="G23" s="1794" t="s">
        <v>3379</v>
      </c>
      <c r="H23" s="1794" t="s">
        <v>3379</v>
      </c>
    </row>
    <row r="24" spans="1:8">
      <c r="A24" s="936">
        <v>17</v>
      </c>
      <c r="B24" s="1624" t="s">
        <v>1502</v>
      </c>
      <c r="C24" s="1794" t="s">
        <v>3379</v>
      </c>
      <c r="D24" s="1794" t="s">
        <v>3379</v>
      </c>
      <c r="E24" s="1794" t="s">
        <v>3379</v>
      </c>
      <c r="F24" s="1794" t="s">
        <v>3379</v>
      </c>
      <c r="G24" s="1794" t="s">
        <v>3379</v>
      </c>
      <c r="H24" s="1794" t="s">
        <v>3379</v>
      </c>
    </row>
    <row r="25" spans="1:8">
      <c r="A25" s="936">
        <v>18</v>
      </c>
      <c r="B25" s="1624" t="s">
        <v>522</v>
      </c>
      <c r="C25" s="1794" t="s">
        <v>3379</v>
      </c>
      <c r="D25" s="1794" t="s">
        <v>3379</v>
      </c>
      <c r="E25" s="1794" t="s">
        <v>3379</v>
      </c>
      <c r="F25" s="1794" t="s">
        <v>3379</v>
      </c>
      <c r="G25" s="1794" t="s">
        <v>3379</v>
      </c>
      <c r="H25" s="1794" t="s">
        <v>3379</v>
      </c>
    </row>
    <row r="26" spans="1:8">
      <c r="A26" s="936">
        <v>19</v>
      </c>
      <c r="B26" s="1624" t="s">
        <v>523</v>
      </c>
      <c r="C26" s="1794" t="s">
        <v>3379</v>
      </c>
      <c r="D26" s="1794" t="s">
        <v>3379</v>
      </c>
      <c r="E26" s="1794" t="s">
        <v>3379</v>
      </c>
      <c r="F26" s="1794" t="s">
        <v>3379</v>
      </c>
      <c r="G26" s="1794" t="s">
        <v>3379</v>
      </c>
      <c r="H26" s="1794" t="s">
        <v>3379</v>
      </c>
    </row>
    <row r="27" spans="1:8">
      <c r="A27" s="936">
        <v>20</v>
      </c>
      <c r="B27" s="1624" t="s">
        <v>2170</v>
      </c>
      <c r="C27" s="1794">
        <v>303360</v>
      </c>
      <c r="D27" s="1794">
        <v>8515</v>
      </c>
      <c r="E27" s="1794">
        <v>43628</v>
      </c>
      <c r="F27" s="1794">
        <v>14702</v>
      </c>
      <c r="G27" s="1794">
        <v>12131</v>
      </c>
      <c r="H27" s="1794">
        <v>25317</v>
      </c>
    </row>
    <row r="28" spans="1:8">
      <c r="A28" s="1412" t="s">
        <v>360</v>
      </c>
      <c r="B28" s="1653" t="s">
        <v>525</v>
      </c>
      <c r="C28" s="1802">
        <v>0.09</v>
      </c>
      <c r="D28" s="1802">
        <v>0.19</v>
      </c>
      <c r="E28" s="1802">
        <v>0.13</v>
      </c>
      <c r="F28" s="1802">
        <v>0.23</v>
      </c>
      <c r="G28" s="1802">
        <v>0.03</v>
      </c>
      <c r="H28" s="1802">
        <v>0.18</v>
      </c>
    </row>
    <row r="29" spans="1:8">
      <c r="A29" s="936">
        <v>22</v>
      </c>
      <c r="B29" s="1624" t="s">
        <v>2587</v>
      </c>
      <c r="C29" s="1794">
        <v>303360</v>
      </c>
      <c r="D29" s="1794">
        <v>0</v>
      </c>
      <c r="E29" s="1794">
        <v>43628</v>
      </c>
      <c r="F29" s="1794">
        <v>14702</v>
      </c>
      <c r="G29" s="1794">
        <v>0</v>
      </c>
      <c r="H29" s="1794">
        <v>25317</v>
      </c>
    </row>
    <row r="30" spans="1:8">
      <c r="A30" s="936">
        <v>23</v>
      </c>
      <c r="B30" s="1624" t="s">
        <v>2995</v>
      </c>
      <c r="C30" s="1794" t="s">
        <v>4928</v>
      </c>
      <c r="D30" s="1794" t="s">
        <v>4928</v>
      </c>
      <c r="E30" s="1794" t="s">
        <v>4928</v>
      </c>
      <c r="F30" s="1794" t="s">
        <v>4928</v>
      </c>
      <c r="G30" s="1794" t="s">
        <v>4928</v>
      </c>
      <c r="H30" s="1794" t="s">
        <v>4928</v>
      </c>
    </row>
    <row r="31" spans="1:8">
      <c r="A31" s="936">
        <v>24</v>
      </c>
      <c r="B31" s="1624" t="s">
        <v>2996</v>
      </c>
      <c r="C31" s="1794" t="s">
        <v>4928</v>
      </c>
      <c r="D31" s="1794" t="s">
        <v>4928</v>
      </c>
      <c r="E31" s="1794" t="s">
        <v>4928</v>
      </c>
      <c r="F31" s="1794" t="s">
        <v>4928</v>
      </c>
      <c r="G31" s="1794" t="s">
        <v>4928</v>
      </c>
      <c r="H31" s="1794" t="s">
        <v>4928</v>
      </c>
    </row>
    <row r="32" spans="1:8">
      <c r="A32" s="936" t="s">
        <v>364</v>
      </c>
      <c r="B32" s="2554" t="s">
        <v>3466</v>
      </c>
      <c r="C32" s="2794">
        <v>1.39</v>
      </c>
      <c r="D32" s="2794" t="s">
        <v>4928</v>
      </c>
      <c r="E32" s="2794">
        <v>4.9800000000000004</v>
      </c>
      <c r="F32" s="2794">
        <v>14.8</v>
      </c>
      <c r="G32" s="2794" t="s">
        <v>4928</v>
      </c>
      <c r="H32" s="2794">
        <v>8.59</v>
      </c>
    </row>
    <row r="33" spans="1:8">
      <c r="A33" s="936" t="s">
        <v>3238</v>
      </c>
      <c r="B33" s="1146" t="s">
        <v>2998</v>
      </c>
      <c r="C33" s="2744"/>
      <c r="D33" s="2744"/>
      <c r="E33" s="2744"/>
      <c r="F33" s="2744"/>
      <c r="G33" s="2745"/>
      <c r="H33" s="2746"/>
    </row>
    <row r="34" spans="1:8">
      <c r="A34" s="936" t="s">
        <v>3239</v>
      </c>
      <c r="B34" s="432" t="s">
        <v>2999</v>
      </c>
      <c r="C34" s="2795">
        <v>45206</v>
      </c>
      <c r="D34" s="2744"/>
      <c r="E34" s="2744"/>
      <c r="F34" s="2744"/>
      <c r="G34" s="2745"/>
      <c r="H34" s="2746"/>
    </row>
    <row r="35" spans="1:8">
      <c r="A35" s="936" t="s">
        <v>3240</v>
      </c>
      <c r="B35" s="763" t="s">
        <v>3000</v>
      </c>
      <c r="C35" s="2747">
        <v>2</v>
      </c>
      <c r="D35" s="2744"/>
      <c r="E35" s="2744"/>
      <c r="F35" s="2744"/>
      <c r="G35" s="2745"/>
      <c r="H35" s="2746"/>
    </row>
    <row r="36" spans="1:8">
      <c r="A36" s="936" t="s">
        <v>3241</v>
      </c>
      <c r="B36" s="763" t="s">
        <v>3001</v>
      </c>
      <c r="C36" s="2747">
        <v>2</v>
      </c>
      <c r="D36" s="2744"/>
      <c r="E36" s="2744"/>
      <c r="F36" s="2744"/>
      <c r="G36" s="2745"/>
      <c r="H36" s="2746"/>
    </row>
    <row r="37" spans="1:8">
      <c r="A37" s="936" t="s">
        <v>3242</v>
      </c>
      <c r="B37" s="763" t="s">
        <v>3394</v>
      </c>
      <c r="C37" s="2748">
        <v>2</v>
      </c>
      <c r="D37" s="2744"/>
      <c r="E37" s="2744"/>
      <c r="F37" s="2744"/>
      <c r="G37" s="2745"/>
      <c r="H37" s="2746"/>
    </row>
    <row r="38" spans="1:8">
      <c r="A38" s="936" t="s">
        <v>3243</v>
      </c>
      <c r="B38" s="1148" t="s">
        <v>3395</v>
      </c>
      <c r="C38" s="2749" t="s">
        <v>4929</v>
      </c>
      <c r="D38" s="2750"/>
      <c r="E38" s="2750"/>
      <c r="F38" s="2750"/>
      <c r="G38" s="2751"/>
      <c r="H38" s="2752"/>
    </row>
    <row r="39" spans="1:8">
      <c r="A39" s="2555"/>
      <c r="B39" s="432"/>
      <c r="C39" s="432"/>
      <c r="D39" s="432"/>
      <c r="E39" s="432"/>
      <c r="F39" s="432"/>
      <c r="G39" s="2397"/>
      <c r="H39" s="1802"/>
    </row>
    <row r="40" spans="1:8">
      <c r="A40" s="2555"/>
      <c r="B40" s="432" t="s">
        <v>2469</v>
      </c>
      <c r="G40" s="2397"/>
      <c r="H40" s="1802"/>
    </row>
    <row r="41" spans="1:8" ht="15.75" thickBot="1">
      <c r="A41" s="2556"/>
      <c r="B41" s="444" t="s">
        <v>3396</v>
      </c>
      <c r="C41" s="444"/>
      <c r="D41" s="444"/>
      <c r="E41" s="444"/>
      <c r="F41" s="444"/>
      <c r="G41" s="2398"/>
      <c r="H41" s="1804"/>
    </row>
    <row r="42" spans="1:8">
      <c r="A42" s="1414" t="s">
        <v>2024</v>
      </c>
      <c r="B42" s="1654"/>
      <c r="C42" s="1649"/>
      <c r="D42" s="1649"/>
      <c r="E42" s="1649"/>
      <c r="F42" s="1650"/>
    </row>
    <row r="43" spans="1:8">
      <c r="A43" s="900" t="s">
        <v>5109</v>
      </c>
      <c r="B43" s="955"/>
      <c r="C43" s="1649"/>
      <c r="D43" s="955"/>
      <c r="E43" s="931"/>
      <c r="F43" s="955"/>
      <c r="G43" s="955"/>
      <c r="H43" s="955"/>
    </row>
    <row r="44" spans="1:8">
      <c r="A44" s="938"/>
      <c r="B44" s="931"/>
      <c r="C44" s="1649"/>
      <c r="D44" s="931"/>
      <c r="E44" s="931"/>
      <c r="F44" s="931"/>
      <c r="G44" s="931"/>
      <c r="H44" s="931"/>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sheetData>
  <pageMargins left="0.45" right="0.2" top="0.65" bottom="0.25" header="0.05" footer="0.05"/>
  <pageSetup scale="84" orientation="landscape" horizontalDpi="240" verticalDpi="24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02"/>
  <dimension ref="A1:G55"/>
  <sheetViews>
    <sheetView zoomScaleNormal="100" workbookViewId="0">
      <selection activeCell="C19" sqref="C19"/>
    </sheetView>
  </sheetViews>
  <sheetFormatPr defaultRowHeight="15"/>
  <cols>
    <col min="1" max="1" width="7" style="86" customWidth="1"/>
    <col min="2" max="2" width="26.6640625" style="86" customWidth="1"/>
    <col min="3" max="3" width="12.6640625" style="86" customWidth="1"/>
    <col min="4" max="4" width="11.44140625" style="86" customWidth="1"/>
    <col min="5" max="5" width="10.5546875" style="86" customWidth="1"/>
    <col min="6" max="6" width="11.77734375" style="86" customWidth="1"/>
    <col min="7" max="7" width="10.5546875" style="86" customWidth="1"/>
    <col min="8" max="16384" width="8.88671875" style="86"/>
  </cols>
  <sheetData>
    <row r="1" spans="1:7" ht="15.75" thickBot="1">
      <c r="A1" s="86" t="str">
        <f>'Data sheet'!A55</f>
        <v>Annual Report of Veolia Water New York, Inc.                                  Year Ended  December 31, 2023</v>
      </c>
    </row>
    <row r="2" spans="1:7">
      <c r="A2" s="129"/>
      <c r="B2" s="130"/>
      <c r="C2" s="130"/>
      <c r="D2" s="130"/>
      <c r="E2" s="130"/>
      <c r="F2" s="130"/>
      <c r="G2" s="131"/>
    </row>
    <row r="3" spans="1:7">
      <c r="A3" s="85"/>
      <c r="G3" s="87"/>
    </row>
    <row r="4" spans="1:7">
      <c r="A4" s="85" t="s">
        <v>1993</v>
      </c>
      <c r="G4" s="87"/>
    </row>
    <row r="5" spans="1:7">
      <c r="A5" s="85"/>
      <c r="G5" s="87"/>
    </row>
    <row r="6" spans="1:7">
      <c r="A6" s="1518" t="s">
        <v>1304</v>
      </c>
      <c r="B6" s="86" t="s">
        <v>1888</v>
      </c>
      <c r="G6" s="87"/>
    </row>
    <row r="7" spans="1:7">
      <c r="A7" s="1518"/>
      <c r="G7" s="87"/>
    </row>
    <row r="8" spans="1:7">
      <c r="A8" s="1518" t="s">
        <v>1305</v>
      </c>
      <c r="B8" s="86" t="s">
        <v>4370</v>
      </c>
      <c r="G8" s="87"/>
    </row>
    <row r="9" spans="1:7">
      <c r="A9" s="1518"/>
      <c r="B9" s="86" t="s">
        <v>1306</v>
      </c>
      <c r="G9" s="87"/>
    </row>
    <row r="10" spans="1:7">
      <c r="A10" s="1518"/>
      <c r="G10" s="87"/>
    </row>
    <row r="11" spans="1:7">
      <c r="A11" s="1518" t="s">
        <v>1307</v>
      </c>
      <c r="B11" s="86" t="s">
        <v>1308</v>
      </c>
      <c r="G11" s="87"/>
    </row>
    <row r="12" spans="1:7">
      <c r="A12" s="1518"/>
      <c r="G12" s="87"/>
    </row>
    <row r="13" spans="1:7">
      <c r="A13" s="1518"/>
      <c r="G13" s="87"/>
    </row>
    <row r="14" spans="1:7">
      <c r="A14" s="1518" t="s">
        <v>4281</v>
      </c>
      <c r="B14" s="86" t="s">
        <v>1309</v>
      </c>
      <c r="G14" s="87"/>
    </row>
    <row r="15" spans="1:7">
      <c r="A15" s="1518"/>
      <c r="B15" s="86" t="s">
        <v>1310</v>
      </c>
      <c r="G15" s="87"/>
    </row>
    <row r="16" spans="1:7">
      <c r="A16" s="1518"/>
      <c r="B16" s="86" t="s">
        <v>1311</v>
      </c>
      <c r="G16" s="87"/>
    </row>
    <row r="17" spans="1:7">
      <c r="A17" s="1518"/>
      <c r="G17" s="87"/>
    </row>
    <row r="18" spans="1:7">
      <c r="A18" s="1518"/>
      <c r="G18" s="87"/>
    </row>
    <row r="19" spans="1:7">
      <c r="A19" s="1518" t="s">
        <v>1302</v>
      </c>
      <c r="B19" s="86" t="s">
        <v>1312</v>
      </c>
      <c r="G19" s="87"/>
    </row>
    <row r="20" spans="1:7">
      <c r="A20" s="1518"/>
      <c r="G20" s="87"/>
    </row>
    <row r="21" spans="1:7">
      <c r="A21" s="1518" t="s">
        <v>4280</v>
      </c>
      <c r="B21" s="86" t="s">
        <v>1313</v>
      </c>
      <c r="G21" s="87"/>
    </row>
    <row r="22" spans="1:7">
      <c r="A22" s="1518"/>
      <c r="G22" s="87"/>
    </row>
    <row r="23" spans="1:7">
      <c r="A23" s="110"/>
      <c r="G23" s="87"/>
    </row>
    <row r="24" spans="1:7">
      <c r="A24" s="110"/>
      <c r="G24" s="87"/>
    </row>
    <row r="25" spans="1:7">
      <c r="A25" s="110"/>
      <c r="G25" s="87"/>
    </row>
    <row r="26" spans="1:7">
      <c r="A26" s="110"/>
      <c r="G26" s="87"/>
    </row>
    <row r="27" spans="1:7">
      <c r="A27" s="110"/>
      <c r="G27" s="87"/>
    </row>
    <row r="28" spans="1:7">
      <c r="A28" s="110"/>
      <c r="G28" s="87"/>
    </row>
    <row r="29" spans="1:7">
      <c r="A29" s="110"/>
      <c r="G29" s="87"/>
    </row>
    <row r="30" spans="1:7">
      <c r="A30" s="110"/>
      <c r="G30" s="87"/>
    </row>
    <row r="31" spans="1:7">
      <c r="A31" s="110"/>
      <c r="G31" s="87"/>
    </row>
    <row r="32" spans="1:7">
      <c r="A32" s="110"/>
      <c r="G32" s="87"/>
    </row>
    <row r="33" spans="1:7">
      <c r="A33" s="110"/>
      <c r="G33" s="87"/>
    </row>
    <row r="34" spans="1:7">
      <c r="A34" s="110"/>
      <c r="G34" s="87"/>
    </row>
    <row r="35" spans="1:7">
      <c r="A35" s="110"/>
      <c r="G35" s="87"/>
    </row>
    <row r="36" spans="1:7">
      <c r="A36" s="110"/>
      <c r="G36" s="87"/>
    </row>
    <row r="37" spans="1:7">
      <c r="A37" s="110"/>
      <c r="G37" s="87"/>
    </row>
    <row r="38" spans="1:7">
      <c r="A38" s="110"/>
      <c r="G38" s="87"/>
    </row>
    <row r="39" spans="1:7">
      <c r="A39" s="110"/>
      <c r="G39" s="87"/>
    </row>
    <row r="40" spans="1:7">
      <c r="A40" s="110"/>
      <c r="G40" s="87"/>
    </row>
    <row r="41" spans="1:7">
      <c r="A41" s="110"/>
      <c r="G41" s="87"/>
    </row>
    <row r="42" spans="1:7">
      <c r="A42" s="110"/>
      <c r="G42" s="87"/>
    </row>
    <row r="43" spans="1:7">
      <c r="A43" s="110"/>
      <c r="G43" s="87"/>
    </row>
    <row r="44" spans="1:7">
      <c r="A44" s="110"/>
      <c r="G44" s="87"/>
    </row>
    <row r="45" spans="1:7">
      <c r="A45" s="110"/>
      <c r="G45" s="87"/>
    </row>
    <row r="46" spans="1:7">
      <c r="A46" s="110"/>
      <c r="G46" s="87"/>
    </row>
    <row r="47" spans="1:7">
      <c r="A47" s="110"/>
      <c r="G47" s="87"/>
    </row>
    <row r="48" spans="1:7">
      <c r="A48" s="110"/>
      <c r="G48" s="87"/>
    </row>
    <row r="49" spans="1:7">
      <c r="A49" s="110"/>
      <c r="G49" s="87"/>
    </row>
    <row r="50" spans="1:7">
      <c r="A50" s="85"/>
      <c r="G50" s="87"/>
    </row>
    <row r="51" spans="1:7" ht="15.75" thickBot="1">
      <c r="A51" s="154"/>
      <c r="B51" s="113"/>
      <c r="C51" s="113"/>
      <c r="D51" s="113"/>
      <c r="E51" s="113"/>
      <c r="F51" s="113"/>
      <c r="G51" s="116"/>
    </row>
    <row r="52" spans="1:7">
      <c r="A52" s="1519" t="s">
        <v>2024</v>
      </c>
    </row>
    <row r="53" spans="1:7">
      <c r="A53" s="900"/>
      <c r="D53" s="900" t="s">
        <v>5110</v>
      </c>
    </row>
    <row r="54" spans="1:7">
      <c r="A54" s="900"/>
      <c r="B54" s="900"/>
    </row>
    <row r="55" spans="1:7">
      <c r="A55" s="900"/>
      <c r="B55" s="900"/>
    </row>
  </sheetData>
  <phoneticPr fontId="0" type="noConversion"/>
  <pageMargins left="0.3" right="0.3" top="0.63" bottom="0.3" header="0" footer="0"/>
  <pageSetup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C53"/>
  <sheetViews>
    <sheetView zoomScale="87" zoomScaleNormal="87" workbookViewId="0">
      <selection activeCell="D13" sqref="D13"/>
    </sheetView>
  </sheetViews>
  <sheetFormatPr defaultRowHeight="15"/>
  <cols>
    <col min="1" max="1" width="10" customWidth="1"/>
    <col min="2" max="2" width="71.44140625" customWidth="1"/>
    <col min="3" max="3" width="12.21875" customWidth="1"/>
  </cols>
  <sheetData>
    <row r="1" spans="1:3" ht="15.75" thickBot="1">
      <c r="A1" s="14" t="str">
        <f>'Data sheet'!A55</f>
        <v>Annual Report of Veolia Water New York, Inc.                                  Year Ended  December 31, 2023</v>
      </c>
    </row>
    <row r="2" spans="1:3">
      <c r="A2" s="1213"/>
      <c r="B2" s="1214"/>
      <c r="C2" s="1215"/>
    </row>
    <row r="3" spans="1:3" ht="15.75">
      <c r="A3" s="2853" t="s">
        <v>774</v>
      </c>
      <c r="B3" s="2854"/>
      <c r="C3" s="2855"/>
    </row>
    <row r="4" spans="1:3" ht="15.75">
      <c r="A4" s="1216"/>
      <c r="C4" s="1217"/>
    </row>
    <row r="5" spans="1:3" ht="45">
      <c r="A5" s="1218"/>
      <c r="B5" s="1219" t="s">
        <v>3802</v>
      </c>
      <c r="C5" s="1217"/>
    </row>
    <row r="6" spans="1:3">
      <c r="A6" s="1220"/>
      <c r="B6" t="s">
        <v>3165</v>
      </c>
      <c r="C6" s="1217"/>
    </row>
    <row r="7" spans="1:3">
      <c r="A7" s="1221"/>
      <c r="C7" s="1217"/>
    </row>
    <row r="8" spans="1:3">
      <c r="A8" s="1221"/>
      <c r="C8" s="1217"/>
    </row>
    <row r="9" spans="1:3" ht="45">
      <c r="A9" s="1221"/>
      <c r="B9" s="1219" t="s">
        <v>1999</v>
      </c>
      <c r="C9" s="1217"/>
    </row>
    <row r="10" spans="1:3">
      <c r="A10" s="1221"/>
      <c r="B10" t="s">
        <v>2464</v>
      </c>
      <c r="C10" s="1217"/>
    </row>
    <row r="11" spans="1:3">
      <c r="A11" s="1221"/>
      <c r="B11" t="s">
        <v>2479</v>
      </c>
      <c r="C11" s="1217"/>
    </row>
    <row r="12" spans="1:3">
      <c r="A12" s="1221"/>
      <c r="C12" s="1217"/>
    </row>
    <row r="13" spans="1:3" ht="45">
      <c r="A13" s="1221"/>
      <c r="B13" s="1219" t="s">
        <v>2477</v>
      </c>
      <c r="C13" s="1217"/>
    </row>
    <row r="14" spans="1:3">
      <c r="A14" s="1221"/>
      <c r="B14" s="1219" t="s">
        <v>2478</v>
      </c>
      <c r="C14" s="1217"/>
    </row>
    <row r="15" spans="1:3">
      <c r="A15" s="1221"/>
      <c r="B15" s="1219" t="s">
        <v>2480</v>
      </c>
      <c r="C15" s="1217"/>
    </row>
    <row r="16" spans="1:3">
      <c r="A16" s="1221"/>
      <c r="B16" s="1219"/>
      <c r="C16" s="1217"/>
    </row>
    <row r="17" spans="1:3">
      <c r="A17" s="1221"/>
      <c r="C17" s="1217"/>
    </row>
    <row r="18" spans="1:3">
      <c r="A18" s="1221"/>
      <c r="C18" s="1217"/>
    </row>
    <row r="19" spans="1:3" ht="30">
      <c r="A19" s="1221"/>
      <c r="B19" s="1219" t="s">
        <v>624</v>
      </c>
      <c r="C19" s="1217"/>
    </row>
    <row r="20" spans="1:3">
      <c r="A20" s="1221"/>
      <c r="C20" s="1217"/>
    </row>
    <row r="21" spans="1:3">
      <c r="A21" s="1221"/>
      <c r="C21" s="1217"/>
    </row>
    <row r="22" spans="1:3">
      <c r="A22" s="1221"/>
      <c r="B22" s="86" t="s">
        <v>5583</v>
      </c>
      <c r="C22" s="1217"/>
    </row>
    <row r="23" spans="1:3">
      <c r="A23" s="1221"/>
      <c r="C23" s="1217"/>
    </row>
    <row r="24" spans="1:3">
      <c r="A24" s="1221"/>
      <c r="C24" s="1217"/>
    </row>
    <row r="25" spans="1:3">
      <c r="A25" s="1221"/>
      <c r="C25" s="1217"/>
    </row>
    <row r="26" spans="1:3">
      <c r="A26" s="1221"/>
      <c r="C26" s="1217"/>
    </row>
    <row r="27" spans="1:3">
      <c r="A27" s="1221"/>
      <c r="C27" s="1217"/>
    </row>
    <row r="28" spans="1:3">
      <c r="A28" s="1221"/>
      <c r="C28" s="1217"/>
    </row>
    <row r="29" spans="1:3">
      <c r="A29" s="1221"/>
      <c r="C29" s="1217"/>
    </row>
    <row r="30" spans="1:3">
      <c r="A30" s="1221"/>
      <c r="C30" s="1217"/>
    </row>
    <row r="31" spans="1:3">
      <c r="A31" s="1221"/>
      <c r="C31" s="1217"/>
    </row>
    <row r="32" spans="1:3">
      <c r="A32" s="1221"/>
      <c r="C32" s="1217"/>
    </row>
    <row r="33" spans="1:3">
      <c r="A33" s="1221"/>
      <c r="C33" s="1217"/>
    </row>
    <row r="34" spans="1:3">
      <c r="A34" s="1221"/>
      <c r="C34" s="1217"/>
    </row>
    <row r="35" spans="1:3">
      <c r="A35" s="1221"/>
      <c r="C35" s="1217"/>
    </row>
    <row r="36" spans="1:3">
      <c r="A36" s="1221"/>
      <c r="C36" s="1217"/>
    </row>
    <row r="37" spans="1:3">
      <c r="A37" s="1221"/>
      <c r="C37" s="1217"/>
    </row>
    <row r="38" spans="1:3">
      <c r="A38" s="1221"/>
      <c r="C38" s="1217"/>
    </row>
    <row r="39" spans="1:3">
      <c r="A39" s="1221"/>
      <c r="C39" s="1217"/>
    </row>
    <row r="40" spans="1:3">
      <c r="A40" s="1221"/>
      <c r="C40" s="1217"/>
    </row>
    <row r="41" spans="1:3">
      <c r="A41" s="1221"/>
      <c r="C41" s="1217"/>
    </row>
    <row r="42" spans="1:3">
      <c r="A42" s="1221"/>
      <c r="C42" s="1217"/>
    </row>
    <row r="43" spans="1:3">
      <c r="A43" s="1221"/>
      <c r="C43" s="1217"/>
    </row>
    <row r="44" spans="1:3">
      <c r="A44" s="1221"/>
      <c r="C44" s="1217"/>
    </row>
    <row r="45" spans="1:3">
      <c r="A45" s="1221"/>
      <c r="C45" s="1217"/>
    </row>
    <row r="46" spans="1:3">
      <c r="A46" s="1221"/>
      <c r="C46" s="1217"/>
    </row>
    <row r="47" spans="1:3">
      <c r="A47" s="1222"/>
      <c r="C47" s="1217"/>
    </row>
    <row r="48" spans="1:3">
      <c r="A48" s="1222"/>
      <c r="C48" s="1217"/>
    </row>
    <row r="49" spans="1:3">
      <c r="A49" s="1222"/>
      <c r="C49" s="1217"/>
    </row>
    <row r="50" spans="1:3">
      <c r="A50" s="1222"/>
      <c r="C50" s="1217"/>
    </row>
    <row r="51" spans="1:3" ht="15.75" thickBot="1">
      <c r="A51" s="1223"/>
      <c r="B51" s="1142"/>
      <c r="C51" s="1224"/>
    </row>
    <row r="52" spans="1:3">
      <c r="A52" t="s">
        <v>3233</v>
      </c>
    </row>
    <row r="53" spans="1:3">
      <c r="A53" s="4" t="s">
        <v>625</v>
      </c>
      <c r="B53" s="4"/>
      <c r="C53" s="4"/>
    </row>
  </sheetData>
  <mergeCells count="1">
    <mergeCell ref="A3:C3"/>
  </mergeCells>
  <phoneticPr fontId="0" type="noConversion"/>
  <printOptions horizontalCentered="1" verticalCentered="1"/>
  <pageMargins left="0.25" right="0.25" top="0.25" bottom="0.25" header="0" footer="0.25"/>
  <pageSetup scale="84"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transitionEvaluation="1" codeName="Sheet103">
    <pageSetUpPr fitToPage="1"/>
  </sheetPr>
  <dimension ref="A1:AE78"/>
  <sheetViews>
    <sheetView defaultGridColor="0" colorId="22" zoomScale="87" zoomScaleNormal="87" workbookViewId="0">
      <selection activeCell="I37" sqref="I37"/>
    </sheetView>
  </sheetViews>
  <sheetFormatPr defaultColWidth="9.77734375" defaultRowHeight="15"/>
  <cols>
    <col min="1" max="1" width="4.77734375" customWidth="1"/>
    <col min="2" max="2" width="30.77734375" customWidth="1"/>
    <col min="3" max="3" width="16.33203125" customWidth="1"/>
    <col min="4" max="4" width="22.77734375" customWidth="1"/>
    <col min="5" max="5" width="17" customWidth="1"/>
    <col min="6" max="6" width="14.77734375" customWidth="1"/>
    <col min="7" max="7" width="25.77734375" customWidth="1"/>
    <col min="8" max="8" width="14.77734375" customWidth="1"/>
    <col min="9" max="9" width="22.77734375" customWidth="1"/>
  </cols>
  <sheetData>
    <row r="1" spans="1:28" ht="15.75" thickBot="1">
      <c r="A1" s="86" t="str">
        <f>'Data sheet'!A65</f>
        <v>Annual Report of Veolia Water New York, Inc.                                                                                          Year Ended  December 31, 2023</v>
      </c>
      <c r="B1" s="86"/>
      <c r="C1" s="86"/>
      <c r="D1" s="86"/>
      <c r="E1" s="86"/>
      <c r="F1" s="86"/>
      <c r="G1" s="86"/>
      <c r="H1" s="86"/>
      <c r="I1" s="86"/>
    </row>
    <row r="2" spans="1:28">
      <c r="A2" s="677"/>
      <c r="B2" s="678"/>
      <c r="C2" s="678"/>
      <c r="D2" s="678"/>
      <c r="E2" s="678"/>
      <c r="F2" s="678"/>
      <c r="G2" s="678"/>
      <c r="H2" s="678"/>
      <c r="I2" s="679"/>
      <c r="J2" s="931"/>
      <c r="K2" s="931"/>
      <c r="L2" s="931"/>
      <c r="M2" s="931"/>
      <c r="N2" s="931"/>
    </row>
    <row r="3" spans="1:28" ht="15.75">
      <c r="A3" s="328" t="s">
        <v>3399</v>
      </c>
      <c r="B3" s="539"/>
      <c r="C3" s="539"/>
      <c r="D3" s="5"/>
      <c r="E3" s="785"/>
      <c r="F3" s="539"/>
      <c r="G3" s="539"/>
      <c r="H3" s="539"/>
      <c r="I3" s="680"/>
      <c r="J3" s="931"/>
      <c r="K3" s="931"/>
      <c r="L3" s="931"/>
      <c r="M3" s="931"/>
      <c r="N3" s="931"/>
    </row>
    <row r="4" spans="1:28" ht="15.75">
      <c r="A4" s="911"/>
      <c r="B4" s="541"/>
      <c r="C4" s="541"/>
      <c r="D4" s="133"/>
      <c r="E4" s="1171"/>
      <c r="F4" s="541"/>
      <c r="G4" s="541"/>
      <c r="H4" s="541"/>
      <c r="I4" s="811"/>
      <c r="J4" s="931"/>
      <c r="K4" s="931"/>
      <c r="L4" s="931"/>
      <c r="M4" s="931"/>
      <c r="N4" s="931"/>
    </row>
    <row r="5" spans="1:28">
      <c r="A5" s="351"/>
      <c r="B5" s="432"/>
      <c r="C5" s="432"/>
      <c r="D5" s="432"/>
      <c r="E5" s="432"/>
      <c r="F5" s="432"/>
      <c r="G5" s="432"/>
      <c r="H5" s="432"/>
      <c r="I5" s="681"/>
      <c r="J5" s="931"/>
      <c r="K5" s="931"/>
      <c r="L5" s="931"/>
      <c r="M5" s="931"/>
      <c r="N5" s="931"/>
    </row>
    <row r="6" spans="1:28">
      <c r="A6" s="351" t="s">
        <v>1082</v>
      </c>
      <c r="B6" s="432"/>
      <c r="C6" s="432"/>
      <c r="D6" s="432"/>
      <c r="E6" s="432"/>
      <c r="F6" s="432"/>
      <c r="G6" s="432"/>
      <c r="H6" s="432"/>
      <c r="I6" s="681"/>
      <c r="J6" s="931"/>
      <c r="K6" s="931"/>
      <c r="L6" s="931"/>
      <c r="M6" s="931"/>
      <c r="N6" s="931"/>
    </row>
    <row r="7" spans="1:28">
      <c r="A7" s="351" t="s">
        <v>1083</v>
      </c>
      <c r="B7" s="432"/>
      <c r="C7" s="432"/>
      <c r="D7" s="432"/>
      <c r="E7" s="432"/>
      <c r="F7" s="432"/>
      <c r="G7" s="432"/>
      <c r="H7" s="432"/>
      <c r="I7" s="681"/>
      <c r="J7" s="931"/>
      <c r="K7" s="931"/>
      <c r="L7" s="931"/>
      <c r="M7" s="931"/>
      <c r="N7" s="931"/>
    </row>
    <row r="8" spans="1:28">
      <c r="A8" s="351"/>
      <c r="B8" s="432"/>
      <c r="C8" s="432"/>
      <c r="D8" s="432"/>
      <c r="E8" s="432"/>
      <c r="F8" s="432"/>
      <c r="G8" s="432"/>
      <c r="H8" s="432"/>
      <c r="I8" s="681"/>
      <c r="J8" s="931"/>
      <c r="K8" s="931"/>
      <c r="L8" s="931"/>
      <c r="M8" s="931"/>
      <c r="N8" s="931"/>
    </row>
    <row r="9" spans="1:28">
      <c r="A9" s="542"/>
      <c r="B9" s="1144"/>
      <c r="C9" s="1144"/>
      <c r="D9" s="1144"/>
      <c r="E9" s="1144"/>
      <c r="F9" s="1144"/>
      <c r="G9" s="1144"/>
      <c r="H9" s="1144"/>
      <c r="I9" s="685"/>
      <c r="K9" s="931"/>
      <c r="L9" s="931"/>
      <c r="M9" s="931"/>
      <c r="N9" s="931"/>
      <c r="O9" s="931"/>
      <c r="P9" s="931"/>
      <c r="Q9" s="931"/>
      <c r="R9" s="931"/>
      <c r="S9" s="931"/>
      <c r="T9" s="931"/>
      <c r="U9" s="943"/>
      <c r="V9" s="943"/>
      <c r="W9" s="943"/>
      <c r="X9" s="943"/>
      <c r="Y9" s="943"/>
      <c r="Z9" s="943"/>
      <c r="AA9" s="563"/>
      <c r="AB9" s="864"/>
    </row>
    <row r="10" spans="1:28">
      <c r="A10" s="828"/>
      <c r="B10" s="1146" t="s">
        <v>3055</v>
      </c>
      <c r="C10" s="440" t="s">
        <v>2570</v>
      </c>
      <c r="D10" s="1146" t="s">
        <v>1552</v>
      </c>
      <c r="E10" s="1146" t="s">
        <v>390</v>
      </c>
      <c r="F10" s="1146" t="s">
        <v>1551</v>
      </c>
      <c r="G10" s="1146" t="s">
        <v>391</v>
      </c>
      <c r="H10" s="1146" t="s">
        <v>392</v>
      </c>
      <c r="I10" s="352" t="s">
        <v>393</v>
      </c>
      <c r="K10" s="938"/>
      <c r="L10" s="938"/>
      <c r="M10" s="938"/>
      <c r="O10" s="938"/>
    </row>
    <row r="11" spans="1:28">
      <c r="A11" s="330" t="s">
        <v>2048</v>
      </c>
      <c r="B11" s="1146" t="s">
        <v>2185</v>
      </c>
      <c r="C11" s="1146"/>
      <c r="D11" s="1146" t="s">
        <v>394</v>
      </c>
      <c r="E11" s="1146" t="s">
        <v>395</v>
      </c>
      <c r="F11" s="1146" t="s">
        <v>395</v>
      </c>
      <c r="G11" s="1146" t="s">
        <v>395</v>
      </c>
      <c r="H11" s="1146" t="s">
        <v>396</v>
      </c>
      <c r="I11" s="352"/>
      <c r="J11" s="938"/>
      <c r="K11" s="938"/>
      <c r="L11" s="938"/>
      <c r="M11" s="938"/>
      <c r="N11" s="938"/>
    </row>
    <row r="12" spans="1:28">
      <c r="A12" s="330" t="s">
        <v>2051</v>
      </c>
      <c r="B12" s="1146" t="s">
        <v>1843</v>
      </c>
      <c r="C12" s="1146"/>
      <c r="D12" s="1146" t="s">
        <v>1844</v>
      </c>
      <c r="E12" s="1146"/>
      <c r="F12" s="1146" t="s">
        <v>1845</v>
      </c>
      <c r="G12" s="1146" t="s">
        <v>3068</v>
      </c>
      <c r="H12" s="1146" t="s">
        <v>1846</v>
      </c>
      <c r="I12" s="681"/>
      <c r="J12" s="938"/>
      <c r="K12" s="938"/>
      <c r="L12" s="938"/>
      <c r="M12" s="938"/>
      <c r="N12" s="938"/>
    </row>
    <row r="13" spans="1:28">
      <c r="A13" s="330"/>
      <c r="B13" s="1146" t="s">
        <v>3279</v>
      </c>
      <c r="C13" s="1146" t="s">
        <v>1611</v>
      </c>
      <c r="D13" s="1146" t="s">
        <v>1612</v>
      </c>
      <c r="E13" s="1146" t="s">
        <v>1613</v>
      </c>
      <c r="F13" s="1146" t="s">
        <v>721</v>
      </c>
      <c r="G13" s="1146" t="s">
        <v>722</v>
      </c>
      <c r="H13" s="1146" t="s">
        <v>723</v>
      </c>
      <c r="I13" s="352" t="s">
        <v>335</v>
      </c>
      <c r="J13" s="938"/>
      <c r="K13" s="938"/>
      <c r="L13" s="938"/>
      <c r="M13" s="938"/>
      <c r="N13" s="938"/>
    </row>
    <row r="14" spans="1:28">
      <c r="A14" s="824">
        <v>1</v>
      </c>
      <c r="B14" s="1144"/>
      <c r="C14" s="1144"/>
      <c r="D14" s="1144"/>
      <c r="E14" s="1144"/>
      <c r="F14" s="1144"/>
      <c r="G14" s="1144"/>
      <c r="H14" s="1144"/>
      <c r="I14" s="685"/>
      <c r="J14" s="931"/>
      <c r="K14" s="931"/>
      <c r="L14" s="931"/>
      <c r="M14" s="931"/>
      <c r="N14" s="931"/>
      <c r="U14" s="242"/>
      <c r="V14" s="242"/>
      <c r="W14" s="242"/>
    </row>
    <row r="15" spans="1:28">
      <c r="A15" s="828">
        <v>2</v>
      </c>
      <c r="B15" s="1147"/>
      <c r="C15" s="763"/>
      <c r="D15" s="763"/>
      <c r="E15" s="763"/>
      <c r="F15" s="763"/>
      <c r="G15" s="763"/>
      <c r="H15" s="763"/>
      <c r="I15" s="681"/>
      <c r="J15" s="931"/>
      <c r="K15" s="931"/>
      <c r="L15" s="931"/>
      <c r="M15" s="931"/>
      <c r="N15" s="931"/>
    </row>
    <row r="16" spans="1:28">
      <c r="A16" s="828">
        <v>3</v>
      </c>
      <c r="B16" s="1147"/>
      <c r="C16" s="763"/>
      <c r="D16" s="763"/>
      <c r="E16" s="763"/>
      <c r="F16" s="763"/>
      <c r="G16" s="763"/>
      <c r="H16" s="763"/>
      <c r="I16" s="681"/>
      <c r="J16" s="931"/>
      <c r="K16" s="931"/>
      <c r="L16" s="931"/>
      <c r="M16" s="931"/>
      <c r="N16" s="931"/>
    </row>
    <row r="17" spans="1:14">
      <c r="A17" s="828">
        <v>4</v>
      </c>
      <c r="B17" s="1147"/>
      <c r="C17" s="763"/>
      <c r="D17" s="763"/>
      <c r="E17" s="763"/>
      <c r="F17" s="763"/>
      <c r="G17" s="763"/>
      <c r="H17" s="763"/>
      <c r="I17" s="681"/>
      <c r="J17" s="931"/>
      <c r="K17" s="931"/>
      <c r="L17" s="931"/>
      <c r="M17" s="931"/>
      <c r="N17" s="931"/>
    </row>
    <row r="18" spans="1:14" ht="15.75">
      <c r="A18" s="828">
        <v>5</v>
      </c>
      <c r="B18" s="1147"/>
      <c r="C18" s="763"/>
      <c r="D18" s="763"/>
      <c r="E18" s="763"/>
      <c r="F18" s="1435" t="s">
        <v>1039</v>
      </c>
      <c r="G18" s="763"/>
      <c r="H18" s="763"/>
      <c r="I18" s="681"/>
      <c r="J18" s="931"/>
      <c r="K18" s="931"/>
      <c r="L18" s="931"/>
      <c r="M18" s="931"/>
      <c r="N18" s="931"/>
    </row>
    <row r="19" spans="1:14">
      <c r="A19" s="828">
        <v>6</v>
      </c>
      <c r="B19" s="1147"/>
      <c r="C19" s="763"/>
      <c r="D19" s="763"/>
      <c r="E19" s="763"/>
      <c r="F19" s="763"/>
      <c r="G19" s="763"/>
      <c r="H19" s="763"/>
      <c r="I19" s="681"/>
      <c r="J19" s="931"/>
      <c r="K19" s="931"/>
      <c r="L19" s="931"/>
      <c r="M19" s="931"/>
      <c r="N19" s="931"/>
    </row>
    <row r="20" spans="1:14">
      <c r="A20" s="828">
        <v>7</v>
      </c>
      <c r="B20" s="1147"/>
      <c r="C20" s="763"/>
      <c r="D20" s="763"/>
      <c r="E20" s="763"/>
      <c r="F20" s="763"/>
      <c r="G20" s="763"/>
      <c r="H20" s="763"/>
      <c r="I20" s="681"/>
      <c r="J20" s="931"/>
      <c r="K20" s="931"/>
      <c r="L20" s="931"/>
      <c r="M20" s="931"/>
      <c r="N20" s="931"/>
    </row>
    <row r="21" spans="1:14">
      <c r="A21" s="828">
        <v>8</v>
      </c>
      <c r="B21" s="1147"/>
      <c r="C21" s="763"/>
      <c r="D21" s="763"/>
      <c r="E21" s="763"/>
      <c r="F21" s="763"/>
      <c r="G21" s="763"/>
      <c r="H21" s="763"/>
      <c r="I21" s="681"/>
      <c r="J21" s="931"/>
      <c r="K21" s="931"/>
      <c r="L21" s="931"/>
      <c r="M21" s="931"/>
      <c r="N21" s="931"/>
    </row>
    <row r="22" spans="1:14">
      <c r="A22" s="828">
        <v>9</v>
      </c>
      <c r="B22" s="1147"/>
      <c r="C22" s="763"/>
      <c r="D22" s="763"/>
      <c r="E22" s="763"/>
      <c r="F22" s="763"/>
      <c r="G22" s="763"/>
      <c r="H22" s="763"/>
      <c r="I22" s="681"/>
      <c r="J22" s="931"/>
      <c r="K22" s="931"/>
      <c r="L22" s="931"/>
      <c r="M22" s="931"/>
      <c r="N22" s="931"/>
    </row>
    <row r="23" spans="1:14">
      <c r="A23" s="1172">
        <v>10</v>
      </c>
      <c r="B23" s="546" t="s">
        <v>1847</v>
      </c>
      <c r="C23" s="1150"/>
      <c r="D23" s="1150"/>
      <c r="E23" s="1150"/>
      <c r="F23" s="1150"/>
      <c r="G23" s="1150"/>
      <c r="H23" s="1150"/>
      <c r="I23" s="1173"/>
      <c r="J23" s="931"/>
      <c r="K23" s="931"/>
      <c r="L23" s="931"/>
      <c r="M23" s="931"/>
      <c r="N23" s="931"/>
    </row>
    <row r="24" spans="1:14">
      <c r="A24" s="1174"/>
      <c r="B24" s="98" t="s">
        <v>1848</v>
      </c>
      <c r="C24" s="546"/>
      <c r="D24" s="546"/>
      <c r="E24" s="546"/>
      <c r="F24" s="546"/>
      <c r="G24" s="546"/>
      <c r="H24" s="546"/>
      <c r="I24" s="1173"/>
      <c r="J24" s="931"/>
      <c r="K24" s="931"/>
      <c r="L24" s="931"/>
      <c r="M24" s="931"/>
      <c r="N24" s="931"/>
    </row>
    <row r="25" spans="1:14">
      <c r="A25" s="1175"/>
      <c r="B25" s="5"/>
      <c r="C25" s="5"/>
      <c r="D25" s="5"/>
      <c r="E25" s="5"/>
      <c r="F25" s="5"/>
      <c r="G25" s="5"/>
      <c r="H25" s="5"/>
      <c r="I25" s="132"/>
    </row>
    <row r="26" spans="1:14" ht="15.75">
      <c r="A26" s="1176" t="s">
        <v>1849</v>
      </c>
      <c r="B26" s="5"/>
      <c r="C26" s="5"/>
      <c r="D26" s="5"/>
      <c r="E26" s="5"/>
      <c r="F26" s="5"/>
      <c r="G26" s="5"/>
      <c r="H26" s="5"/>
      <c r="I26" s="132"/>
    </row>
    <row r="27" spans="1:14">
      <c r="A27" s="1177"/>
      <c r="B27" s="86"/>
      <c r="C27" s="86"/>
      <c r="D27" s="86"/>
      <c r="E27" s="86"/>
      <c r="F27" s="86"/>
      <c r="G27" s="86"/>
      <c r="H27" s="86"/>
      <c r="I27" s="87"/>
    </row>
    <row r="28" spans="1:14">
      <c r="A28" s="1177"/>
      <c r="B28" s="86" t="s">
        <v>1850</v>
      </c>
      <c r="C28" s="86"/>
      <c r="D28" s="86"/>
      <c r="E28" s="86" t="s">
        <v>1851</v>
      </c>
      <c r="F28" s="86"/>
      <c r="G28" s="86"/>
      <c r="H28" s="86"/>
      <c r="I28" s="87"/>
    </row>
    <row r="29" spans="1:14">
      <c r="A29" s="1177"/>
      <c r="B29" s="86" t="s">
        <v>1852</v>
      </c>
      <c r="C29" s="86"/>
      <c r="D29" s="86"/>
      <c r="E29" s="86"/>
      <c r="F29" s="86"/>
      <c r="G29" s="86"/>
      <c r="H29" s="86"/>
      <c r="I29" s="87"/>
    </row>
    <row r="30" spans="1:14">
      <c r="A30" s="1177"/>
      <c r="B30" s="86"/>
      <c r="C30" s="86"/>
      <c r="D30" s="86"/>
      <c r="E30" s="86" t="s">
        <v>1853</v>
      </c>
      <c r="F30" s="86"/>
      <c r="G30" s="86"/>
      <c r="H30" s="86"/>
      <c r="I30" s="87"/>
    </row>
    <row r="31" spans="1:14">
      <c r="A31" s="1177"/>
      <c r="B31" s="86" t="s">
        <v>1664</v>
      </c>
      <c r="C31" s="86"/>
      <c r="D31" s="86"/>
      <c r="E31" s="86" t="s">
        <v>1665</v>
      </c>
      <c r="F31" s="86"/>
      <c r="G31" s="86"/>
      <c r="H31" s="86"/>
      <c r="I31" s="87"/>
    </row>
    <row r="32" spans="1:14">
      <c r="A32" s="1177"/>
      <c r="B32" s="86" t="s">
        <v>1666</v>
      </c>
      <c r="C32" s="86"/>
      <c r="D32" s="86"/>
      <c r="E32" s="86"/>
      <c r="F32" s="86"/>
      <c r="G32" s="86"/>
      <c r="H32" s="86"/>
      <c r="I32" s="87"/>
    </row>
    <row r="33" spans="1:31">
      <c r="A33" s="1177"/>
      <c r="B33" s="86"/>
      <c r="C33" s="86"/>
      <c r="D33" s="86"/>
      <c r="E33" s="86" t="s">
        <v>3218</v>
      </c>
      <c r="F33" s="86"/>
      <c r="G33" s="86"/>
      <c r="H33" s="86"/>
      <c r="I33" s="87"/>
    </row>
    <row r="34" spans="1:31">
      <c r="A34" s="1177"/>
      <c r="B34" s="86" t="s">
        <v>3219</v>
      </c>
      <c r="C34" s="86"/>
      <c r="D34" s="86"/>
      <c r="E34" s="86" t="s">
        <v>3220</v>
      </c>
      <c r="F34" s="86"/>
      <c r="G34" s="86"/>
      <c r="H34" s="86"/>
      <c r="I34" s="87"/>
    </row>
    <row r="35" spans="1:31">
      <c r="A35" s="351"/>
      <c r="B35" s="1178"/>
      <c r="C35" s="357"/>
      <c r="D35" s="357"/>
      <c r="E35" s="357"/>
      <c r="F35" s="357"/>
      <c r="G35" s="357"/>
      <c r="H35" s="357"/>
      <c r="I35" s="352"/>
      <c r="J35" s="938"/>
      <c r="K35" s="938"/>
      <c r="L35" s="938"/>
      <c r="M35" s="938"/>
      <c r="N35" s="938"/>
      <c r="O35" s="938"/>
      <c r="P35" s="938"/>
      <c r="Q35" s="931"/>
      <c r="R35" s="931"/>
      <c r="S35" s="931"/>
      <c r="T35" s="931"/>
    </row>
    <row r="36" spans="1:31">
      <c r="A36" s="542"/>
      <c r="B36" s="1144"/>
      <c r="C36" s="1128"/>
      <c r="D36" s="543"/>
      <c r="E36" s="1179" t="s">
        <v>3221</v>
      </c>
      <c r="F36" s="1149"/>
      <c r="G36" s="543"/>
      <c r="H36" s="1144"/>
      <c r="I36" s="685"/>
      <c r="J36" s="931"/>
      <c r="K36" s="947"/>
      <c r="L36" s="931"/>
      <c r="M36" s="931"/>
      <c r="N36" s="931"/>
    </row>
    <row r="37" spans="1:31">
      <c r="A37" s="330" t="s">
        <v>2048</v>
      </c>
      <c r="B37" s="1146" t="s">
        <v>3222</v>
      </c>
      <c r="C37" s="1146" t="s">
        <v>3223</v>
      </c>
      <c r="D37" s="1146"/>
      <c r="E37" s="1146"/>
      <c r="F37" s="1146"/>
      <c r="G37" s="357"/>
      <c r="H37" s="1146"/>
      <c r="I37" s="681"/>
      <c r="J37" s="938"/>
      <c r="K37" s="931"/>
      <c r="L37" s="931"/>
      <c r="M37" s="931"/>
      <c r="N37" s="931"/>
    </row>
    <row r="38" spans="1:31">
      <c r="A38" s="330" t="s">
        <v>2051</v>
      </c>
      <c r="B38" s="763"/>
      <c r="C38" s="1146" t="s">
        <v>3224</v>
      </c>
      <c r="D38" s="1146" t="s">
        <v>3061</v>
      </c>
      <c r="E38" s="1146" t="s">
        <v>1167</v>
      </c>
      <c r="F38" s="1146" t="s">
        <v>1168</v>
      </c>
      <c r="G38" s="539" t="s">
        <v>1169</v>
      </c>
      <c r="H38" s="1180"/>
      <c r="I38" s="428" t="s">
        <v>3278</v>
      </c>
      <c r="J38" s="938"/>
      <c r="K38" s="931"/>
      <c r="L38" s="931"/>
      <c r="M38" s="931"/>
      <c r="N38" s="931"/>
    </row>
    <row r="39" spans="1:31">
      <c r="A39" s="828"/>
      <c r="B39" s="763"/>
      <c r="C39" s="1146"/>
      <c r="D39" s="1146"/>
      <c r="E39" s="1146"/>
      <c r="F39" s="1146"/>
      <c r="G39" s="539"/>
      <c r="H39" s="1180"/>
      <c r="I39" s="87"/>
      <c r="J39" s="938"/>
      <c r="K39" s="938"/>
      <c r="L39" s="938"/>
      <c r="M39" s="938"/>
      <c r="N39" s="938"/>
    </row>
    <row r="40" spans="1:31">
      <c r="A40" s="828"/>
      <c r="B40" s="1146" t="s">
        <v>3279</v>
      </c>
      <c r="C40" s="1146" t="s">
        <v>3280</v>
      </c>
      <c r="D40" s="1146" t="s">
        <v>3281</v>
      </c>
      <c r="E40" s="1146" t="s">
        <v>3282</v>
      </c>
      <c r="F40" s="1146" t="s">
        <v>721</v>
      </c>
      <c r="G40" s="539" t="s">
        <v>722</v>
      </c>
      <c r="H40" s="1180"/>
      <c r="I40" s="352" t="s">
        <v>723</v>
      </c>
      <c r="J40" s="938"/>
      <c r="K40" s="938"/>
      <c r="L40" s="938"/>
      <c r="M40" s="938"/>
      <c r="N40" s="938"/>
      <c r="O40" s="931"/>
      <c r="P40" s="931"/>
      <c r="Q40" s="931"/>
      <c r="R40" s="931"/>
      <c r="S40" s="931"/>
      <c r="T40" s="931"/>
      <c r="U40" s="949"/>
      <c r="V40" s="949"/>
      <c r="W40" s="949"/>
      <c r="X40" s="949"/>
      <c r="Y40" s="949"/>
      <c r="Z40" s="949"/>
      <c r="AA40" s="949"/>
      <c r="AB40" s="949"/>
      <c r="AC40" s="949"/>
      <c r="AD40" s="949"/>
      <c r="AE40" s="949"/>
    </row>
    <row r="41" spans="1:31">
      <c r="A41" s="824">
        <v>23</v>
      </c>
      <c r="B41" s="1144" t="s">
        <v>1170</v>
      </c>
      <c r="C41" s="1144"/>
      <c r="D41" s="1144"/>
      <c r="E41" s="1144"/>
      <c r="F41" s="1144"/>
      <c r="G41" s="543"/>
      <c r="H41" s="1144"/>
      <c r="I41" s="685"/>
      <c r="J41" s="931"/>
      <c r="K41" s="931"/>
      <c r="L41" s="931"/>
      <c r="M41" s="931"/>
      <c r="N41" s="931"/>
      <c r="U41" s="242"/>
      <c r="V41" s="242"/>
      <c r="W41" s="242"/>
      <c r="X41" s="242"/>
    </row>
    <row r="42" spans="1:31">
      <c r="A42" s="828">
        <v>24</v>
      </c>
      <c r="B42" s="763" t="s">
        <v>1171</v>
      </c>
      <c r="C42" s="763"/>
      <c r="D42" s="763"/>
      <c r="E42" s="763"/>
      <c r="F42" s="763"/>
      <c r="G42" s="432"/>
      <c r="H42" s="763"/>
      <c r="I42" s="681"/>
      <c r="J42" s="931"/>
      <c r="K42" s="931"/>
      <c r="L42" s="931"/>
      <c r="M42" s="931"/>
      <c r="N42" s="931"/>
    </row>
    <row r="43" spans="1:31">
      <c r="A43" s="828">
        <v>25</v>
      </c>
      <c r="B43" s="763" t="s">
        <v>553</v>
      </c>
      <c r="C43" s="763"/>
      <c r="D43" s="763"/>
      <c r="E43" s="763"/>
      <c r="F43" s="763"/>
      <c r="G43" s="432"/>
      <c r="H43" s="763"/>
      <c r="I43" s="681"/>
      <c r="J43" s="931"/>
      <c r="K43" s="931"/>
      <c r="L43" s="931"/>
      <c r="M43" s="931"/>
      <c r="N43" s="931"/>
    </row>
    <row r="44" spans="1:31">
      <c r="A44" s="828">
        <v>26</v>
      </c>
      <c r="B44" s="763" t="s">
        <v>554</v>
      </c>
      <c r="C44" s="763"/>
      <c r="D44" s="763"/>
      <c r="E44" s="763"/>
      <c r="F44" s="763"/>
      <c r="G44" s="432"/>
      <c r="H44" s="763"/>
      <c r="I44" s="352"/>
      <c r="J44" s="931"/>
      <c r="K44" s="931"/>
      <c r="L44" s="931"/>
      <c r="M44" s="931"/>
      <c r="N44" s="931"/>
    </row>
    <row r="45" spans="1:31">
      <c r="A45" s="828">
        <v>27</v>
      </c>
      <c r="B45" s="763" t="s">
        <v>555</v>
      </c>
      <c r="C45" s="763"/>
      <c r="D45" s="763"/>
      <c r="E45" s="763"/>
      <c r="F45" s="763"/>
      <c r="G45" s="432"/>
      <c r="H45" s="763"/>
      <c r="I45" s="681"/>
      <c r="J45" s="931"/>
      <c r="K45" s="931"/>
      <c r="L45" s="931"/>
      <c r="M45" s="931"/>
      <c r="N45" s="931"/>
    </row>
    <row r="46" spans="1:31" ht="15.75">
      <c r="A46" s="828">
        <v>28</v>
      </c>
      <c r="B46" s="763" t="s">
        <v>556</v>
      </c>
      <c r="C46" s="763"/>
      <c r="D46" s="763"/>
      <c r="E46" s="763"/>
      <c r="F46" s="1436" t="s">
        <v>1040</v>
      </c>
      <c r="G46" s="432"/>
      <c r="H46" s="763"/>
      <c r="I46" s="681"/>
      <c r="J46" s="931"/>
      <c r="K46" s="931"/>
      <c r="L46" s="931"/>
      <c r="M46" s="931"/>
      <c r="N46" s="931"/>
    </row>
    <row r="47" spans="1:31">
      <c r="A47" s="828">
        <v>29</v>
      </c>
      <c r="B47" s="763" t="s">
        <v>557</v>
      </c>
      <c r="C47" s="763"/>
      <c r="D47" s="763"/>
      <c r="E47" s="763"/>
      <c r="F47" s="763"/>
      <c r="G47" s="432"/>
      <c r="H47" s="763"/>
      <c r="I47" s="681"/>
      <c r="J47" s="931"/>
      <c r="K47" s="931"/>
      <c r="L47" s="931"/>
      <c r="M47" s="931"/>
      <c r="N47" s="931"/>
      <c r="O47" s="931"/>
    </row>
    <row r="48" spans="1:31">
      <c r="A48" s="828">
        <v>30</v>
      </c>
      <c r="B48" s="763" t="s">
        <v>558</v>
      </c>
      <c r="C48" s="763"/>
      <c r="D48" s="763"/>
      <c r="E48" s="763"/>
      <c r="F48" s="763"/>
      <c r="G48" s="432"/>
      <c r="H48" s="763"/>
      <c r="I48" s="681"/>
      <c r="J48" s="931"/>
      <c r="K48" s="931"/>
      <c r="L48" s="931"/>
      <c r="M48" s="931"/>
      <c r="N48" s="931"/>
      <c r="O48" s="931"/>
    </row>
    <row r="49" spans="1:15">
      <c r="A49" s="828">
        <v>31</v>
      </c>
      <c r="B49" s="763" t="s">
        <v>559</v>
      </c>
      <c r="C49" s="763"/>
      <c r="D49" s="763"/>
      <c r="E49" s="763"/>
      <c r="F49" s="763"/>
      <c r="G49" s="432"/>
      <c r="H49" s="763"/>
      <c r="I49" s="681"/>
      <c r="J49" s="931"/>
      <c r="K49" s="931"/>
      <c r="L49" s="931"/>
      <c r="M49" s="931"/>
      <c r="N49" s="931"/>
      <c r="O49" s="931"/>
    </row>
    <row r="50" spans="1:15">
      <c r="A50" s="828">
        <v>32</v>
      </c>
      <c r="B50" s="1181" t="s">
        <v>1614</v>
      </c>
      <c r="C50" s="764">
        <f>SUM(C41:C49)</f>
        <v>0</v>
      </c>
      <c r="D50" s="763"/>
      <c r="E50" s="763"/>
      <c r="F50" s="763"/>
      <c r="G50" s="1182"/>
      <c r="H50" s="1183"/>
      <c r="I50" s="681"/>
      <c r="J50" s="931"/>
      <c r="K50" s="931"/>
      <c r="L50" s="931"/>
      <c r="M50" s="931"/>
      <c r="N50" s="931"/>
      <c r="O50" s="931"/>
    </row>
    <row r="51" spans="1:15">
      <c r="A51" s="828">
        <v>33</v>
      </c>
      <c r="B51" s="763" t="s">
        <v>560</v>
      </c>
      <c r="C51" s="1184"/>
      <c r="D51" s="763"/>
      <c r="E51" s="763"/>
      <c r="F51" s="763"/>
      <c r="G51" s="1185"/>
      <c r="H51" s="1184"/>
      <c r="I51" s="681"/>
      <c r="J51" s="931"/>
      <c r="K51" s="931"/>
      <c r="L51" s="931"/>
      <c r="M51" s="931"/>
      <c r="N51" s="931"/>
      <c r="O51" s="931"/>
    </row>
    <row r="52" spans="1:15">
      <c r="A52" s="828">
        <v>34</v>
      </c>
      <c r="B52" s="763" t="s">
        <v>561</v>
      </c>
      <c r="C52" s="763"/>
      <c r="D52" s="763"/>
      <c r="E52" s="763"/>
      <c r="F52" s="763"/>
      <c r="G52" s="1185"/>
      <c r="H52" s="1184"/>
      <c r="I52" s="681"/>
      <c r="J52" s="931"/>
      <c r="K52" s="931"/>
      <c r="L52" s="931"/>
      <c r="M52" s="931"/>
      <c r="N52" s="931"/>
      <c r="O52" s="931"/>
    </row>
    <row r="53" spans="1:15">
      <c r="A53" s="828">
        <v>35</v>
      </c>
      <c r="B53" s="763" t="s">
        <v>562</v>
      </c>
      <c r="C53" s="763"/>
      <c r="D53" s="763"/>
      <c r="E53" s="763"/>
      <c r="F53" s="763"/>
      <c r="G53" s="1185"/>
      <c r="H53" s="1184"/>
      <c r="I53" s="681"/>
      <c r="J53" s="931"/>
      <c r="K53" s="931"/>
      <c r="L53" s="931"/>
      <c r="M53" s="931"/>
      <c r="N53" s="931"/>
      <c r="O53" s="931"/>
    </row>
    <row r="54" spans="1:15" ht="15.75" thickBot="1">
      <c r="A54" s="551">
        <v>36</v>
      </c>
      <c r="B54" s="912" t="s">
        <v>563</v>
      </c>
      <c r="C54" s="1186">
        <f>SUM(C50-C52-C53)</f>
        <v>0</v>
      </c>
      <c r="D54" s="912"/>
      <c r="E54" s="912"/>
      <c r="F54" s="912"/>
      <c r="G54" s="1187"/>
      <c r="H54" s="1188"/>
      <c r="I54" s="1152"/>
      <c r="J54" s="931"/>
      <c r="K54" s="931"/>
      <c r="L54" s="931"/>
      <c r="M54" s="931"/>
      <c r="N54" s="931"/>
      <c r="O54" s="931"/>
    </row>
    <row r="55" spans="1:15">
      <c r="A55" s="108" t="s">
        <v>544</v>
      </c>
      <c r="B55" s="86"/>
      <c r="C55" s="86"/>
      <c r="D55" s="86"/>
      <c r="E55" s="86"/>
      <c r="F55" s="86"/>
      <c r="G55" s="86"/>
      <c r="H55" s="86"/>
      <c r="I55" t="s">
        <v>565</v>
      </c>
      <c r="O55" s="931"/>
    </row>
    <row r="56" spans="1:15">
      <c r="A56" s="5" t="s">
        <v>564</v>
      </c>
      <c r="B56" s="5"/>
      <c r="C56" s="5"/>
      <c r="D56" s="5"/>
      <c r="E56" s="5"/>
      <c r="F56" s="5"/>
      <c r="G56" s="5"/>
      <c r="H56" s="5"/>
      <c r="I56" s="5"/>
      <c r="O56" s="931"/>
    </row>
    <row r="57" spans="1:15">
      <c r="A57" s="86"/>
      <c r="B57" s="86"/>
      <c r="C57" s="86"/>
      <c r="D57" s="86"/>
      <c r="E57" s="86"/>
      <c r="F57" s="86"/>
      <c r="G57" s="86"/>
      <c r="H57" s="86"/>
      <c r="I57" s="86"/>
      <c r="O57" s="931"/>
    </row>
    <row r="58" spans="1:15">
      <c r="A58" s="86"/>
      <c r="B58" s="86"/>
      <c r="C58" s="86"/>
      <c r="D58" s="86"/>
      <c r="E58" s="86"/>
      <c r="F58" s="86"/>
      <c r="G58" s="86"/>
      <c r="H58" s="86"/>
      <c r="I58" s="86"/>
    </row>
    <row r="59" spans="1:15">
      <c r="A59" s="86"/>
      <c r="B59" s="86"/>
      <c r="C59" s="86"/>
      <c r="D59" s="86"/>
      <c r="E59" s="86"/>
      <c r="F59" s="86"/>
      <c r="G59" s="86"/>
      <c r="H59" s="86"/>
      <c r="I59" s="86"/>
    </row>
    <row r="60" spans="1:15">
      <c r="A60" s="86"/>
      <c r="B60" s="86"/>
      <c r="C60" s="86"/>
      <c r="D60" s="86"/>
      <c r="E60" s="86"/>
      <c r="F60" s="86"/>
      <c r="G60" s="86"/>
      <c r="H60" s="86"/>
      <c r="I60" s="86"/>
    </row>
    <row r="61" spans="1:15">
      <c r="A61" s="86"/>
      <c r="B61" s="86"/>
      <c r="C61" s="86"/>
      <c r="D61" s="86"/>
      <c r="E61" s="86"/>
      <c r="F61" s="86"/>
      <c r="G61" s="86"/>
      <c r="H61" s="86"/>
      <c r="I61" s="86"/>
    </row>
    <row r="62" spans="1:15">
      <c r="A62" s="86"/>
      <c r="B62" s="86"/>
      <c r="C62" s="86"/>
      <c r="D62" s="86"/>
      <c r="E62" s="86"/>
      <c r="F62" s="86"/>
      <c r="G62" s="86"/>
      <c r="H62" s="86"/>
      <c r="I62" s="86"/>
    </row>
    <row r="63" spans="1:15">
      <c r="A63" s="86"/>
      <c r="B63" s="86"/>
      <c r="C63" s="86"/>
      <c r="D63" s="86"/>
      <c r="E63" s="86"/>
      <c r="F63" s="86"/>
      <c r="G63" s="86"/>
      <c r="H63" s="86"/>
      <c r="I63" s="86"/>
    </row>
    <row r="64" spans="1:15">
      <c r="A64" s="86"/>
      <c r="B64" s="86"/>
      <c r="C64" s="86"/>
      <c r="D64" s="86"/>
      <c r="E64" s="86"/>
      <c r="F64" s="86"/>
      <c r="G64" s="86"/>
      <c r="H64" s="86"/>
      <c r="I64" s="86"/>
    </row>
    <row r="65" spans="1:9">
      <c r="A65" s="86"/>
      <c r="B65" s="86"/>
      <c r="C65" s="86"/>
      <c r="D65" s="86"/>
      <c r="E65" s="86"/>
      <c r="F65" s="86"/>
      <c r="G65" s="86"/>
      <c r="H65" s="86"/>
      <c r="I65" s="86"/>
    </row>
    <row r="66" spans="1:9">
      <c r="A66" s="86"/>
      <c r="B66" s="86"/>
      <c r="C66" s="86"/>
      <c r="D66" s="86"/>
      <c r="E66" s="86"/>
      <c r="F66" s="86"/>
      <c r="G66" s="86"/>
      <c r="H66" s="86"/>
      <c r="I66" s="86"/>
    </row>
    <row r="67" spans="1:9">
      <c r="A67" s="86"/>
      <c r="B67" s="86"/>
      <c r="C67" s="86"/>
      <c r="D67" s="86"/>
      <c r="E67" s="86"/>
      <c r="F67" s="86"/>
      <c r="G67" s="86"/>
      <c r="H67" s="86"/>
      <c r="I67" s="86"/>
    </row>
    <row r="68" spans="1:9">
      <c r="A68" s="86"/>
      <c r="B68" s="86"/>
      <c r="C68" s="86"/>
      <c r="D68" s="86"/>
      <c r="E68" s="86"/>
      <c r="F68" s="86"/>
      <c r="G68" s="86"/>
      <c r="H68" s="86"/>
      <c r="I68" s="86"/>
    </row>
    <row r="69" spans="1:9">
      <c r="A69" s="86"/>
      <c r="B69" s="86"/>
      <c r="C69" s="86"/>
      <c r="D69" s="86"/>
      <c r="E69" s="86"/>
      <c r="F69" s="86"/>
      <c r="G69" s="86"/>
      <c r="H69" s="86"/>
      <c r="I69" s="86"/>
    </row>
    <row r="70" spans="1:9">
      <c r="A70" s="86"/>
      <c r="B70" s="86"/>
      <c r="C70" s="86"/>
      <c r="D70" s="86"/>
      <c r="E70" s="86"/>
      <c r="F70" s="86"/>
      <c r="G70" s="86"/>
      <c r="H70" s="86"/>
      <c r="I70" s="86"/>
    </row>
    <row r="71" spans="1:9">
      <c r="A71" s="86"/>
      <c r="B71" s="86"/>
      <c r="C71" s="86"/>
      <c r="D71" s="86"/>
      <c r="E71" s="86"/>
      <c r="F71" s="86"/>
      <c r="G71" s="86"/>
      <c r="H71" s="86"/>
      <c r="I71" s="86"/>
    </row>
    <row r="72" spans="1:9">
      <c r="A72" s="86"/>
      <c r="B72" s="86"/>
      <c r="C72" s="86"/>
      <c r="D72" s="86"/>
      <c r="E72" s="86"/>
      <c r="F72" s="86"/>
      <c r="G72" s="86"/>
      <c r="H72" s="86"/>
      <c r="I72" s="86"/>
    </row>
    <row r="73" spans="1:9">
      <c r="A73" s="86"/>
      <c r="B73" s="86"/>
      <c r="C73" s="86"/>
      <c r="D73" s="86"/>
      <c r="E73" s="86"/>
      <c r="F73" s="86"/>
      <c r="G73" s="86"/>
      <c r="H73" s="86"/>
      <c r="I73" s="86"/>
    </row>
    <row r="74" spans="1:9">
      <c r="A74" s="86"/>
      <c r="B74" s="86"/>
      <c r="C74" s="86"/>
      <c r="D74" s="86"/>
      <c r="E74" s="86"/>
      <c r="F74" s="86"/>
      <c r="G74" s="86"/>
      <c r="H74" s="86"/>
      <c r="I74" s="86"/>
    </row>
    <row r="75" spans="1:9">
      <c r="A75" s="86"/>
      <c r="B75" s="86"/>
      <c r="C75" s="86"/>
      <c r="D75" s="86"/>
      <c r="E75" s="86"/>
      <c r="F75" s="86"/>
      <c r="G75" s="86"/>
      <c r="H75" s="86"/>
      <c r="I75" s="86"/>
    </row>
    <row r="76" spans="1:9">
      <c r="A76" s="86"/>
      <c r="B76" s="86"/>
      <c r="C76" s="86"/>
      <c r="D76" s="86"/>
      <c r="E76" s="86"/>
      <c r="F76" s="86"/>
      <c r="G76" s="86"/>
      <c r="H76" s="86"/>
      <c r="I76" s="86"/>
    </row>
    <row r="77" spans="1:9">
      <c r="A77" s="86"/>
      <c r="B77" s="86"/>
      <c r="C77" s="86"/>
      <c r="D77" s="86"/>
      <c r="E77" s="86"/>
      <c r="F77" s="86"/>
      <c r="G77" s="86"/>
      <c r="H77" s="86"/>
      <c r="I77" s="86"/>
    </row>
    <row r="78" spans="1:9">
      <c r="A78" s="86"/>
      <c r="B78" s="86"/>
      <c r="C78" s="86"/>
      <c r="D78" s="86"/>
      <c r="E78" s="86"/>
      <c r="F78" s="86"/>
      <c r="G78" s="86"/>
      <c r="H78" s="86"/>
      <c r="I78" s="86"/>
    </row>
  </sheetData>
  <phoneticPr fontId="0" type="noConversion"/>
  <printOptions horizontalCentered="1" verticalCentered="1"/>
  <pageMargins left="0.4" right="0.4" top="0.3" bottom="0.3" header="0" footer="0"/>
  <pageSetup scale="64" orientation="landscape" r:id="rId1"/>
  <headerFooter alignWithMargins="0"/>
  <colBreaks count="1" manualBreakCount="1">
    <brk id="9"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04"/>
  <dimension ref="A1:I95"/>
  <sheetViews>
    <sheetView zoomScaleNormal="100" workbookViewId="0">
      <pane xSplit="2" ySplit="11" topLeftCell="C12" activePane="bottomRight" state="frozen"/>
      <selection activeCell="S32" sqref="S32"/>
      <selection pane="topRight" activeCell="S32" sqref="S32"/>
      <selection pane="bottomLeft" activeCell="S32" sqref="S32"/>
      <selection pane="bottomRight" activeCell="E98" sqref="E98"/>
    </sheetView>
  </sheetViews>
  <sheetFormatPr defaultRowHeight="15"/>
  <cols>
    <col min="1" max="1" width="24.5546875" style="86" customWidth="1"/>
    <col min="2" max="2" width="17.6640625" style="86" bestFit="1" customWidth="1"/>
    <col min="3" max="3" width="11.109375" style="86" customWidth="1"/>
    <col min="4" max="4" width="13.44140625" style="86" customWidth="1"/>
    <col min="5" max="6" width="12.44140625" style="86" customWidth="1"/>
    <col min="7" max="7" width="11.77734375" style="86" customWidth="1"/>
    <col min="8" max="8" width="14.6640625" style="86" customWidth="1"/>
    <col min="9" max="16384" width="8.88671875" style="86"/>
  </cols>
  <sheetData>
    <row r="1" spans="1:9" customFormat="1" ht="12.95" customHeight="1" thickBot="1">
      <c r="A1" s="86" t="str">
        <f>'Data sheet'!A63</f>
        <v>Annual Report of Veolia Water New York, Inc.                                                                             Year Ended  December 31, 2023</v>
      </c>
      <c r="B1" s="86"/>
      <c r="C1" s="86"/>
      <c r="D1" s="86"/>
      <c r="E1" s="86"/>
      <c r="F1" s="86"/>
      <c r="G1" s="86"/>
      <c r="H1" s="86"/>
      <c r="I1" s="86"/>
    </row>
    <row r="2" spans="1:9" ht="12.75" customHeight="1">
      <c r="A2" s="2453" t="s">
        <v>4366</v>
      </c>
      <c r="B2" s="2454"/>
      <c r="C2" s="2454"/>
      <c r="D2" s="2454"/>
      <c r="E2" s="2454"/>
      <c r="F2" s="2454"/>
      <c r="G2" s="2454"/>
      <c r="H2" s="2455"/>
    </row>
    <row r="3" spans="1:9" ht="12" customHeight="1">
      <c r="A3" s="2456"/>
      <c r="B3" s="2457"/>
      <c r="C3" s="2458"/>
      <c r="D3" s="2459"/>
      <c r="E3" s="2457"/>
      <c r="F3" s="2457"/>
      <c r="G3" s="2457"/>
      <c r="H3" s="2460"/>
    </row>
    <row r="4" spans="1:9" ht="5.25" customHeight="1">
      <c r="A4" s="2456"/>
      <c r="B4" s="2458"/>
      <c r="C4" s="2458"/>
      <c r="D4" s="2458"/>
      <c r="E4" s="2458"/>
      <c r="F4" s="2458"/>
      <c r="G4" s="2458"/>
      <c r="H4" s="2461"/>
    </row>
    <row r="5" spans="1:9" ht="7.5" customHeight="1">
      <c r="A5" s="2456"/>
      <c r="B5" s="2458"/>
      <c r="C5" s="2458"/>
      <c r="D5" s="2458"/>
      <c r="E5" s="2458"/>
      <c r="F5" s="2458"/>
      <c r="G5" s="2458"/>
      <c r="H5" s="2461"/>
    </row>
    <row r="6" spans="1:9" ht="4.5" customHeight="1">
      <c r="A6" s="2456"/>
      <c r="B6" s="2458"/>
      <c r="C6" s="2458"/>
      <c r="D6" s="2458"/>
      <c r="E6" s="2458"/>
      <c r="F6" s="2458"/>
      <c r="G6" s="2458"/>
      <c r="H6" s="2461"/>
    </row>
    <row r="7" spans="1:9" ht="12.75" customHeight="1">
      <c r="A7" s="2462"/>
      <c r="B7" s="2463"/>
      <c r="C7" s="2463"/>
      <c r="D7" s="2463"/>
      <c r="E7" s="2463"/>
      <c r="F7" s="2463"/>
      <c r="G7" s="2463"/>
      <c r="H7" s="2464"/>
    </row>
    <row r="8" spans="1:9" ht="12.75" customHeight="1">
      <c r="A8" s="2465" t="s">
        <v>3055</v>
      </c>
      <c r="B8" s="2466" t="s">
        <v>2570</v>
      </c>
      <c r="C8" s="2466" t="s">
        <v>1552</v>
      </c>
      <c r="D8" s="2466" t="s">
        <v>390</v>
      </c>
      <c r="E8" s="2466" t="s">
        <v>1551</v>
      </c>
      <c r="F8" s="2466" t="s">
        <v>391</v>
      </c>
      <c r="G8" s="2466" t="s">
        <v>392</v>
      </c>
      <c r="H8" s="2467" t="s">
        <v>393</v>
      </c>
    </row>
    <row r="9" spans="1:9" ht="12.75" customHeight="1">
      <c r="A9" s="2465" t="s">
        <v>2185</v>
      </c>
      <c r="B9" s="2466"/>
      <c r="C9" s="2466" t="s">
        <v>394</v>
      </c>
      <c r="D9" s="2466" t="s">
        <v>395</v>
      </c>
      <c r="E9" s="2466" t="s">
        <v>395</v>
      </c>
      <c r="F9" s="2466" t="s">
        <v>395</v>
      </c>
      <c r="G9" s="2466" t="s">
        <v>396</v>
      </c>
      <c r="H9" s="2467"/>
    </row>
    <row r="10" spans="1:9" ht="12.75" customHeight="1">
      <c r="A10" s="2465" t="s">
        <v>1843</v>
      </c>
      <c r="B10" s="2466"/>
      <c r="C10" s="2466" t="s">
        <v>1844</v>
      </c>
      <c r="D10" s="2466"/>
      <c r="E10" s="2466" t="s">
        <v>1845</v>
      </c>
      <c r="F10" s="2466" t="s">
        <v>3068</v>
      </c>
      <c r="G10" s="2466" t="s">
        <v>1846</v>
      </c>
      <c r="H10" s="2461"/>
    </row>
    <row r="11" spans="1:9" ht="12.75" customHeight="1">
      <c r="A11" s="2468" t="s">
        <v>3279</v>
      </c>
      <c r="B11" s="2469" t="s">
        <v>1611</v>
      </c>
      <c r="C11" s="2469" t="s">
        <v>1612</v>
      </c>
      <c r="D11" s="2469" t="s">
        <v>1613</v>
      </c>
      <c r="E11" s="2469" t="s">
        <v>721</v>
      </c>
      <c r="F11" s="2469" t="s">
        <v>722</v>
      </c>
      <c r="G11" s="2469" t="s">
        <v>723</v>
      </c>
      <c r="H11" s="2470" t="s">
        <v>335</v>
      </c>
    </row>
    <row r="12" spans="1:9" ht="12.75" customHeight="1">
      <c r="A12" s="2471" t="s">
        <v>2888</v>
      </c>
      <c r="B12" s="2472"/>
      <c r="C12" s="2473"/>
      <c r="D12" s="2473"/>
      <c r="E12" s="2473"/>
      <c r="F12" s="2473"/>
      <c r="G12" s="2473"/>
      <c r="H12" s="2474"/>
    </row>
    <row r="13" spans="1:9" ht="12.75" customHeight="1">
      <c r="A13" s="2475" t="s">
        <v>2889</v>
      </c>
      <c r="B13" s="2476"/>
      <c r="C13" s="2473"/>
      <c r="D13" s="2473"/>
      <c r="E13" s="2473"/>
      <c r="F13" s="2473"/>
      <c r="G13" s="2473"/>
      <c r="H13" s="2474"/>
    </row>
    <row r="14" spans="1:9" ht="12.75" customHeight="1">
      <c r="A14" s="2475" t="s">
        <v>2890</v>
      </c>
      <c r="B14" s="2476" t="s">
        <v>2891</v>
      </c>
      <c r="C14" s="2473">
        <v>1998</v>
      </c>
      <c r="D14" s="2473"/>
      <c r="E14" s="2473"/>
      <c r="F14" s="2473"/>
      <c r="G14" s="2473"/>
      <c r="H14" s="2474"/>
    </row>
    <row r="15" spans="1:9" ht="12.75" customHeight="1">
      <c r="A15" s="2475" t="s">
        <v>2892</v>
      </c>
      <c r="B15" s="2476" t="s">
        <v>2893</v>
      </c>
      <c r="C15" s="2473">
        <v>1994</v>
      </c>
      <c r="D15" s="2473"/>
      <c r="E15" s="2473"/>
      <c r="F15" s="2473"/>
      <c r="G15" s="2473"/>
      <c r="H15" s="2474" t="s">
        <v>2894</v>
      </c>
    </row>
    <row r="16" spans="1:9" ht="12.75" customHeight="1">
      <c r="A16" s="2475"/>
      <c r="B16" s="2476" t="s">
        <v>2895</v>
      </c>
      <c r="C16" s="2473">
        <v>1995</v>
      </c>
      <c r="D16" s="2473"/>
      <c r="E16" s="2473"/>
      <c r="F16" s="2473"/>
      <c r="G16" s="2473"/>
      <c r="H16" s="2474" t="s">
        <v>1305</v>
      </c>
    </row>
    <row r="17" spans="1:8" ht="12.75" customHeight="1">
      <c r="A17" s="2471" t="s">
        <v>1343</v>
      </c>
      <c r="B17" s="2476"/>
      <c r="C17" s="2473"/>
      <c r="D17" s="2473"/>
      <c r="E17" s="2473"/>
      <c r="F17" s="2473"/>
      <c r="G17" s="2473"/>
      <c r="H17" s="2474"/>
    </row>
    <row r="18" spans="1:8" ht="12.75" customHeight="1">
      <c r="A18" s="2475" t="s">
        <v>2896</v>
      </c>
      <c r="B18" s="2476" t="s">
        <v>2893</v>
      </c>
      <c r="C18" s="2473">
        <v>1956</v>
      </c>
      <c r="D18" s="2473"/>
      <c r="E18" s="2473"/>
      <c r="F18" s="2473"/>
      <c r="G18" s="2473"/>
      <c r="H18" s="2474" t="s">
        <v>2897</v>
      </c>
    </row>
    <row r="19" spans="1:8" ht="12.75" customHeight="1">
      <c r="A19" s="2475"/>
      <c r="B19" s="2476"/>
      <c r="C19" s="2473"/>
      <c r="D19" s="2473"/>
      <c r="E19" s="2473"/>
      <c r="F19" s="2473"/>
      <c r="G19" s="2473"/>
      <c r="H19" s="2474"/>
    </row>
    <row r="20" spans="1:8" ht="12.75" customHeight="1">
      <c r="A20" s="2471" t="s">
        <v>2872</v>
      </c>
      <c r="B20" s="2476"/>
      <c r="C20" s="2473"/>
      <c r="D20" s="2473"/>
      <c r="E20" s="2473"/>
      <c r="F20" s="2473"/>
      <c r="G20" s="2473"/>
      <c r="H20" s="2474"/>
    </row>
    <row r="21" spans="1:8" ht="12.75" customHeight="1">
      <c r="A21" s="2475" t="s">
        <v>3625</v>
      </c>
      <c r="B21" s="2476" t="s">
        <v>2891</v>
      </c>
      <c r="C21" s="2473">
        <v>2002</v>
      </c>
      <c r="D21" s="2473"/>
      <c r="E21" s="2473"/>
      <c r="F21" s="2473"/>
      <c r="G21" s="2473"/>
      <c r="H21" s="2474"/>
    </row>
    <row r="22" spans="1:8" ht="12.75" customHeight="1">
      <c r="A22" s="2477"/>
      <c r="B22" s="2476" t="s">
        <v>2893</v>
      </c>
      <c r="C22" s="2473">
        <v>1994</v>
      </c>
      <c r="D22" s="2473"/>
      <c r="E22" s="2473"/>
      <c r="F22" s="2473"/>
      <c r="G22" s="2473"/>
      <c r="H22" s="2474" t="s">
        <v>2897</v>
      </c>
    </row>
    <row r="23" spans="1:8" ht="12.75" customHeight="1">
      <c r="A23" s="2477"/>
      <c r="B23" s="2476" t="s">
        <v>2895</v>
      </c>
      <c r="C23" s="2473">
        <v>1997</v>
      </c>
      <c r="D23" s="2473"/>
      <c r="E23" s="2473"/>
      <c r="F23" s="2473"/>
      <c r="G23" s="2473"/>
      <c r="H23" s="2474" t="s">
        <v>1305</v>
      </c>
    </row>
    <row r="24" spans="1:8" ht="12.75" customHeight="1">
      <c r="A24" s="2477" t="s">
        <v>3626</v>
      </c>
      <c r="B24" s="2476" t="s">
        <v>2893</v>
      </c>
      <c r="C24" s="2473">
        <v>1994</v>
      </c>
      <c r="D24" s="2478"/>
      <c r="E24" s="2478"/>
      <c r="F24" s="2478"/>
      <c r="G24" s="2478"/>
      <c r="H24" s="2474" t="s">
        <v>2897</v>
      </c>
    </row>
    <row r="25" spans="1:8" ht="12.75" customHeight="1">
      <c r="A25" s="2475"/>
      <c r="B25" s="2476" t="s">
        <v>2895</v>
      </c>
      <c r="C25" s="2473">
        <v>1995</v>
      </c>
      <c r="D25" s="2473"/>
      <c r="E25" s="2478"/>
      <c r="F25" s="2478"/>
      <c r="G25" s="2478"/>
      <c r="H25" s="2474" t="s">
        <v>1305</v>
      </c>
    </row>
    <row r="26" spans="1:8" ht="12.75" customHeight="1">
      <c r="A26" s="2477" t="s">
        <v>3627</v>
      </c>
      <c r="B26" s="2476" t="s">
        <v>2893</v>
      </c>
      <c r="C26" s="2473">
        <v>1994</v>
      </c>
      <c r="D26" s="2473"/>
      <c r="E26" s="2478"/>
      <c r="F26" s="2478"/>
      <c r="G26" s="2478"/>
      <c r="H26" s="2474" t="s">
        <v>2897</v>
      </c>
    </row>
    <row r="27" spans="1:8" ht="12.75" customHeight="1">
      <c r="A27" s="2477"/>
      <c r="B27" s="2476" t="s">
        <v>2895</v>
      </c>
      <c r="C27" s="2473">
        <v>1997</v>
      </c>
      <c r="D27" s="2478"/>
      <c r="E27" s="2478"/>
      <c r="F27" s="2478"/>
      <c r="G27" s="2478"/>
      <c r="H27" s="2474" t="s">
        <v>1305</v>
      </c>
    </row>
    <row r="28" spans="1:8" ht="12.75" customHeight="1">
      <c r="A28" s="2479" t="s">
        <v>4651</v>
      </c>
      <c r="B28" s="2480" t="s">
        <v>4640</v>
      </c>
      <c r="C28" s="2473">
        <v>2012</v>
      </c>
      <c r="D28" s="2478"/>
      <c r="E28" s="2478"/>
      <c r="F28" s="2478"/>
      <c r="G28" s="2478"/>
      <c r="H28" s="2474"/>
    </row>
    <row r="29" spans="1:8" ht="12.75" customHeight="1">
      <c r="A29" s="2479" t="s">
        <v>4651</v>
      </c>
      <c r="B29" s="2476" t="s">
        <v>1773</v>
      </c>
      <c r="C29" s="2473">
        <v>2012</v>
      </c>
      <c r="D29" s="2478"/>
      <c r="E29" s="2478"/>
      <c r="F29" s="2478"/>
      <c r="G29" s="2478"/>
      <c r="H29" s="2474"/>
    </row>
    <row r="30" spans="1:8" ht="12.75" customHeight="1">
      <c r="A30" s="2475" t="s">
        <v>3628</v>
      </c>
      <c r="B30" s="2476" t="s">
        <v>3629</v>
      </c>
      <c r="C30" s="2473">
        <v>2001</v>
      </c>
      <c r="D30" s="2478"/>
      <c r="E30" s="2478"/>
      <c r="F30" s="2478"/>
      <c r="G30" s="2478"/>
      <c r="H30" s="2474"/>
    </row>
    <row r="31" spans="1:8" ht="12.75" customHeight="1">
      <c r="A31" s="2477"/>
      <c r="B31" s="2476" t="s">
        <v>2893</v>
      </c>
      <c r="C31" s="2473">
        <v>1994</v>
      </c>
      <c r="D31" s="2478"/>
      <c r="E31" s="2478"/>
      <c r="F31" s="2478"/>
      <c r="G31" s="2478"/>
      <c r="H31" s="2474" t="s">
        <v>2897</v>
      </c>
    </row>
    <row r="32" spans="1:8" ht="12.75" customHeight="1">
      <c r="A32" s="2475"/>
      <c r="B32" s="2476" t="s">
        <v>2895</v>
      </c>
      <c r="C32" s="2473">
        <v>1997</v>
      </c>
      <c r="D32" s="2478"/>
      <c r="E32" s="2478"/>
      <c r="F32" s="2478"/>
      <c r="G32" s="2478"/>
      <c r="H32" s="2474" t="s">
        <v>1305</v>
      </c>
    </row>
    <row r="33" spans="1:8" ht="12.75" customHeight="1">
      <c r="A33" s="2475" t="s">
        <v>3630</v>
      </c>
      <c r="B33" s="2476" t="s">
        <v>3629</v>
      </c>
      <c r="C33" s="2473">
        <v>2001</v>
      </c>
      <c r="D33" s="2478"/>
      <c r="E33" s="2478"/>
      <c r="F33" s="2478"/>
      <c r="G33" s="2478"/>
      <c r="H33" s="2474"/>
    </row>
    <row r="34" spans="1:8" ht="12.75" customHeight="1">
      <c r="A34" s="2477"/>
      <c r="B34" s="2476" t="s">
        <v>2893</v>
      </c>
      <c r="C34" s="2473">
        <v>2001</v>
      </c>
      <c r="D34" s="2478"/>
      <c r="E34" s="2478"/>
      <c r="F34" s="2478"/>
      <c r="G34" s="2478"/>
      <c r="H34" s="2474" t="s">
        <v>2897</v>
      </c>
    </row>
    <row r="35" spans="1:8" ht="12.75" customHeight="1">
      <c r="A35" s="2475"/>
      <c r="B35" s="2476" t="s">
        <v>2895</v>
      </c>
      <c r="C35" s="2473">
        <v>2001</v>
      </c>
      <c r="D35" s="2478"/>
      <c r="E35" s="2478"/>
      <c r="F35" s="2478"/>
      <c r="G35" s="2478"/>
      <c r="H35" s="2474" t="s">
        <v>1305</v>
      </c>
    </row>
    <row r="36" spans="1:8" ht="12.75" customHeight="1">
      <c r="A36" s="2477" t="s">
        <v>3631</v>
      </c>
      <c r="B36" s="2476" t="s">
        <v>2893</v>
      </c>
      <c r="C36" s="2473">
        <v>1994</v>
      </c>
      <c r="D36" s="2478"/>
      <c r="E36" s="2478"/>
      <c r="F36" s="2478"/>
      <c r="G36" s="2478"/>
      <c r="H36" s="2474" t="s">
        <v>2897</v>
      </c>
    </row>
    <row r="37" spans="1:8" ht="12.75" customHeight="1">
      <c r="A37" s="2477"/>
      <c r="B37" s="2476" t="s">
        <v>2895</v>
      </c>
      <c r="C37" s="2473">
        <v>1997</v>
      </c>
      <c r="D37" s="2478"/>
      <c r="E37" s="2478"/>
      <c r="F37" s="2478"/>
      <c r="G37" s="2478"/>
      <c r="H37" s="2474" t="s">
        <v>1305</v>
      </c>
    </row>
    <row r="38" spans="1:8" ht="12.75" customHeight="1">
      <c r="A38" s="2481" t="s">
        <v>3632</v>
      </c>
      <c r="B38" s="2476" t="s">
        <v>3633</v>
      </c>
      <c r="C38" s="2473">
        <v>2000</v>
      </c>
      <c r="D38" s="2478"/>
      <c r="E38" s="2478"/>
      <c r="F38" s="2478"/>
      <c r="G38" s="2478"/>
      <c r="H38" s="2474"/>
    </row>
    <row r="39" spans="1:8" ht="12.75" customHeight="1">
      <c r="A39" s="2477"/>
      <c r="B39" s="2476" t="s">
        <v>2893</v>
      </c>
      <c r="C39" s="2473">
        <v>1994</v>
      </c>
      <c r="D39" s="2478"/>
      <c r="E39" s="2478"/>
      <c r="F39" s="2478"/>
      <c r="G39" s="2478"/>
      <c r="H39" s="2474" t="s">
        <v>2897</v>
      </c>
    </row>
    <row r="40" spans="1:8" ht="12.75" customHeight="1">
      <c r="A40" s="2477"/>
      <c r="B40" s="2476" t="s">
        <v>2895</v>
      </c>
      <c r="C40" s="2473">
        <v>1997</v>
      </c>
      <c r="D40" s="2478"/>
      <c r="E40" s="2478"/>
      <c r="F40" s="2478"/>
      <c r="G40" s="2478"/>
      <c r="H40" s="2474" t="s">
        <v>1305</v>
      </c>
    </row>
    <row r="41" spans="1:8" ht="12.75" customHeight="1">
      <c r="A41" s="2482" t="s">
        <v>3634</v>
      </c>
      <c r="B41" s="2476" t="s">
        <v>2893</v>
      </c>
      <c r="C41" s="2473">
        <v>1994</v>
      </c>
      <c r="D41" s="2473"/>
      <c r="E41" s="2473"/>
      <c r="F41" s="2473"/>
      <c r="G41" s="2473"/>
      <c r="H41" s="2474" t="s">
        <v>2897</v>
      </c>
    </row>
    <row r="42" spans="1:8" ht="12.75" customHeight="1">
      <c r="A42" s="2482"/>
      <c r="B42" s="2476" t="s">
        <v>2895</v>
      </c>
      <c r="C42" s="2473">
        <v>1996</v>
      </c>
      <c r="D42" s="2473"/>
      <c r="E42" s="2473"/>
      <c r="F42" s="2473"/>
      <c r="G42" s="2473"/>
      <c r="H42" s="2474" t="s">
        <v>1305</v>
      </c>
    </row>
    <row r="43" spans="1:8" ht="12.75" customHeight="1">
      <c r="A43" s="2482" t="s">
        <v>3635</v>
      </c>
      <c r="B43" s="2476" t="s">
        <v>2893</v>
      </c>
      <c r="C43" s="2473">
        <v>1994</v>
      </c>
      <c r="D43" s="2473"/>
      <c r="E43" s="2473"/>
      <c r="F43" s="2473"/>
      <c r="G43" s="2473"/>
      <c r="H43" s="2474" t="s">
        <v>2897</v>
      </c>
    </row>
    <row r="44" spans="1:8" ht="12.75" customHeight="1">
      <c r="A44" s="2475"/>
      <c r="B44" s="2476" t="s">
        <v>2895</v>
      </c>
      <c r="C44" s="2473">
        <v>1997</v>
      </c>
      <c r="D44" s="2473"/>
      <c r="E44" s="2473"/>
      <c r="F44" s="2473"/>
      <c r="G44" s="2473"/>
      <c r="H44" s="2474" t="s">
        <v>1305</v>
      </c>
    </row>
    <row r="45" spans="1:8" ht="12.75" customHeight="1">
      <c r="A45" s="2475" t="s">
        <v>3636</v>
      </c>
      <c r="B45" s="2476" t="s">
        <v>2893</v>
      </c>
      <c r="C45" s="2473">
        <v>1994</v>
      </c>
      <c r="D45" s="2473"/>
      <c r="E45" s="2473"/>
      <c r="F45" s="2473"/>
      <c r="G45" s="2473"/>
      <c r="H45" s="2474" t="s">
        <v>2897</v>
      </c>
    </row>
    <row r="46" spans="1:8" ht="12.75" customHeight="1">
      <c r="A46" s="2483"/>
      <c r="B46" s="2476" t="s">
        <v>2895</v>
      </c>
      <c r="C46" s="2473">
        <v>1996</v>
      </c>
      <c r="D46" s="2473"/>
      <c r="E46" s="2473"/>
      <c r="F46" s="2473"/>
      <c r="G46" s="2473"/>
      <c r="H46" s="2474" t="s">
        <v>1305</v>
      </c>
    </row>
    <row r="47" spans="1:8" ht="12.75" customHeight="1">
      <c r="A47" s="2475" t="s">
        <v>3637</v>
      </c>
      <c r="B47" s="2476" t="s">
        <v>2893</v>
      </c>
      <c r="C47" s="2473">
        <v>1994</v>
      </c>
      <c r="D47" s="2473"/>
      <c r="E47" s="2473"/>
      <c r="F47" s="2473"/>
      <c r="G47" s="2473"/>
      <c r="H47" s="2474" t="s">
        <v>2897</v>
      </c>
    </row>
    <row r="48" spans="1:8" ht="12.75" customHeight="1">
      <c r="A48" s="2475"/>
      <c r="B48" s="2476" t="s">
        <v>2895</v>
      </c>
      <c r="C48" s="2473">
        <v>1997</v>
      </c>
      <c r="D48" s="2473"/>
      <c r="E48" s="2473"/>
      <c r="F48" s="2473"/>
      <c r="G48" s="2473"/>
      <c r="H48" s="2474" t="s">
        <v>1305</v>
      </c>
    </row>
    <row r="49" spans="1:8" ht="12.75" customHeight="1">
      <c r="A49" s="2471" t="s">
        <v>2294</v>
      </c>
      <c r="B49" s="2476"/>
      <c r="C49" s="2473"/>
      <c r="D49" s="2473"/>
      <c r="E49" s="2473"/>
      <c r="F49" s="2473"/>
      <c r="G49" s="2473"/>
      <c r="H49" s="2474"/>
    </row>
    <row r="50" spans="1:8" ht="12.75" customHeight="1">
      <c r="A50" s="2475" t="s">
        <v>3638</v>
      </c>
      <c r="B50" s="2476" t="s">
        <v>2893</v>
      </c>
      <c r="C50" s="2473">
        <v>1994</v>
      </c>
      <c r="D50" s="2473"/>
      <c r="E50" s="2473"/>
      <c r="F50" s="2473"/>
      <c r="G50" s="2473"/>
      <c r="H50" s="2474"/>
    </row>
    <row r="51" spans="1:8" ht="12.75" customHeight="1">
      <c r="A51" s="2484" t="s">
        <v>3639</v>
      </c>
      <c r="B51" s="2476" t="s">
        <v>2895</v>
      </c>
      <c r="C51" s="2473">
        <v>1996</v>
      </c>
      <c r="D51" s="2473"/>
      <c r="E51" s="2473"/>
      <c r="F51" s="2473"/>
      <c r="G51" s="2473"/>
      <c r="H51" s="2474" t="s">
        <v>1305</v>
      </c>
    </row>
    <row r="52" spans="1:8" ht="12.75" customHeight="1">
      <c r="A52" s="2485"/>
      <c r="B52" s="2476"/>
      <c r="C52" s="2473"/>
      <c r="D52" s="2473"/>
      <c r="E52" s="2473"/>
      <c r="F52" s="2473"/>
      <c r="G52" s="2473"/>
      <c r="H52" s="2486"/>
    </row>
    <row r="53" spans="1:8" ht="12.75" customHeight="1">
      <c r="A53" s="2471" t="s">
        <v>1649</v>
      </c>
      <c r="B53" s="2476"/>
      <c r="C53" s="2473"/>
      <c r="D53" s="2473"/>
      <c r="E53" s="2473"/>
      <c r="F53" s="2473"/>
      <c r="G53" s="2473"/>
      <c r="H53" s="2486"/>
    </row>
    <row r="54" spans="1:8" ht="12.75" customHeight="1">
      <c r="A54" s="2487" t="s">
        <v>3640</v>
      </c>
      <c r="B54" s="2476" t="s">
        <v>3641</v>
      </c>
      <c r="C54" s="2473">
        <v>2000</v>
      </c>
      <c r="D54" s="2473"/>
      <c r="E54" s="2473"/>
      <c r="F54" s="2473"/>
      <c r="G54" s="2473"/>
      <c r="H54" s="2486"/>
    </row>
    <row r="55" spans="1:8" ht="12.75" customHeight="1">
      <c r="A55" s="2477"/>
      <c r="B55" s="2476" t="s">
        <v>2893</v>
      </c>
      <c r="C55" s="2473">
        <v>1994</v>
      </c>
      <c r="D55" s="2473"/>
      <c r="E55" s="2473"/>
      <c r="F55" s="2473"/>
      <c r="G55" s="2473"/>
      <c r="H55" s="2474"/>
    </row>
    <row r="56" spans="1:8" ht="12.75" customHeight="1">
      <c r="A56" s="2487"/>
      <c r="B56" s="2476" t="s">
        <v>2895</v>
      </c>
      <c r="C56" s="2473">
        <v>1999</v>
      </c>
      <c r="D56" s="2473"/>
      <c r="E56" s="2473"/>
      <c r="F56" s="2473"/>
      <c r="G56" s="2473"/>
      <c r="H56" s="2474"/>
    </row>
    <row r="57" spans="1:8" ht="12.75" customHeight="1">
      <c r="A57" s="2475" t="s">
        <v>3642</v>
      </c>
      <c r="B57" s="2476" t="s">
        <v>2893</v>
      </c>
      <c r="C57" s="2473">
        <v>1994</v>
      </c>
      <c r="D57" s="2473"/>
      <c r="E57" s="2473"/>
      <c r="F57" s="2473"/>
      <c r="G57" s="2473"/>
      <c r="H57" s="2474" t="s">
        <v>2897</v>
      </c>
    </row>
    <row r="58" spans="1:8" ht="12.75" customHeight="1">
      <c r="A58" s="2475"/>
      <c r="B58" s="2476" t="s">
        <v>2895</v>
      </c>
      <c r="C58" s="2473">
        <v>1996</v>
      </c>
      <c r="D58" s="2473"/>
      <c r="E58" s="2473"/>
      <c r="F58" s="2473"/>
      <c r="G58" s="2473"/>
      <c r="H58" s="2474" t="s">
        <v>2897</v>
      </c>
    </row>
    <row r="59" spans="1:8" ht="12.75" customHeight="1">
      <c r="A59" s="2475"/>
      <c r="B59" s="2480" t="s">
        <v>4416</v>
      </c>
      <c r="C59" s="2473">
        <v>2013</v>
      </c>
      <c r="D59" s="2473"/>
      <c r="E59" s="2473"/>
      <c r="F59" s="2473"/>
      <c r="G59" s="2473"/>
      <c r="H59" s="2474"/>
    </row>
    <row r="60" spans="1:8" ht="12.75" customHeight="1">
      <c r="A60" s="2475" t="s">
        <v>3643</v>
      </c>
      <c r="B60" s="2476" t="s">
        <v>2893</v>
      </c>
      <c r="C60" s="2473">
        <v>1994</v>
      </c>
      <c r="D60" s="2473"/>
      <c r="E60" s="2473"/>
      <c r="F60" s="2473"/>
      <c r="G60" s="2473"/>
      <c r="H60" s="2474"/>
    </row>
    <row r="61" spans="1:8" ht="12.75" customHeight="1">
      <c r="A61" s="2475"/>
      <c r="B61" s="2476" t="s">
        <v>2895</v>
      </c>
      <c r="C61" s="2473">
        <v>1996</v>
      </c>
      <c r="D61" s="2473"/>
      <c r="E61" s="2473"/>
      <c r="F61" s="2473"/>
      <c r="G61" s="2473"/>
      <c r="H61" s="2474" t="s">
        <v>2897</v>
      </c>
    </row>
    <row r="62" spans="1:8" ht="12.75" customHeight="1">
      <c r="A62" s="2475" t="s">
        <v>4412</v>
      </c>
      <c r="B62" s="2476" t="s">
        <v>2893</v>
      </c>
      <c r="C62" s="2473">
        <v>2007</v>
      </c>
      <c r="D62" s="2473"/>
      <c r="E62" s="2473"/>
      <c r="F62" s="2473"/>
      <c r="G62" s="2473"/>
      <c r="H62" s="2474"/>
    </row>
    <row r="63" spans="1:8" ht="12.75" customHeight="1">
      <c r="A63" s="2475"/>
      <c r="B63" s="2476" t="s">
        <v>2895</v>
      </c>
      <c r="C63" s="2473">
        <v>2007</v>
      </c>
      <c r="D63" s="2473"/>
      <c r="E63" s="2473"/>
      <c r="F63" s="2473"/>
      <c r="G63" s="2473"/>
      <c r="H63" s="2474" t="s">
        <v>2897</v>
      </c>
    </row>
    <row r="64" spans="1:8" ht="12.75" customHeight="1">
      <c r="A64" s="2475"/>
      <c r="B64" s="2476" t="s">
        <v>2891</v>
      </c>
      <c r="C64" s="2473">
        <v>2007</v>
      </c>
      <c r="D64" s="2473"/>
      <c r="E64" s="2473"/>
      <c r="F64" s="2473"/>
      <c r="G64" s="2473"/>
      <c r="H64" s="2474"/>
    </row>
    <row r="65" spans="1:8" ht="12.75" customHeight="1">
      <c r="A65" s="2488" t="s">
        <v>3644</v>
      </c>
      <c r="B65" s="2489"/>
      <c r="C65" s="2478"/>
      <c r="D65" s="2478"/>
      <c r="E65" s="2473"/>
      <c r="F65" s="2473"/>
      <c r="G65" s="2473"/>
      <c r="H65" s="2474"/>
    </row>
    <row r="66" spans="1:8" ht="12.75" customHeight="1">
      <c r="A66" s="2477" t="s">
        <v>3645</v>
      </c>
      <c r="B66" s="2476" t="s">
        <v>2893</v>
      </c>
      <c r="C66" s="2473">
        <v>1994</v>
      </c>
      <c r="D66" s="2478"/>
      <c r="E66" s="2478"/>
      <c r="F66" s="2478"/>
      <c r="G66" s="2478"/>
      <c r="H66" s="2474" t="s">
        <v>2897</v>
      </c>
    </row>
    <row r="67" spans="1:8" ht="12.75" customHeight="1">
      <c r="A67" s="2477"/>
      <c r="B67" s="2476" t="s">
        <v>2895</v>
      </c>
      <c r="C67" s="2473">
        <v>1999</v>
      </c>
      <c r="D67" s="2478"/>
      <c r="E67" s="2478"/>
      <c r="F67" s="2478"/>
      <c r="G67" s="2478"/>
      <c r="H67" s="2474" t="s">
        <v>1305</v>
      </c>
    </row>
    <row r="68" spans="1:8" ht="12.75" customHeight="1">
      <c r="A68" s="2477" t="s">
        <v>1684</v>
      </c>
      <c r="B68" s="2476" t="s">
        <v>2893</v>
      </c>
      <c r="C68" s="2473">
        <v>1994</v>
      </c>
      <c r="D68" s="2478"/>
      <c r="E68" s="2478"/>
      <c r="F68" s="2478"/>
      <c r="G68" s="2478"/>
      <c r="H68" s="2474" t="s">
        <v>2897</v>
      </c>
    </row>
    <row r="69" spans="1:8" ht="12.75" customHeight="1">
      <c r="A69" s="2477"/>
      <c r="B69" s="2476" t="s">
        <v>2895</v>
      </c>
      <c r="C69" s="2473">
        <v>1996</v>
      </c>
      <c r="D69" s="2478"/>
      <c r="E69" s="2478"/>
      <c r="F69" s="2478"/>
      <c r="G69" s="2478"/>
      <c r="H69" s="2474" t="s">
        <v>1305</v>
      </c>
    </row>
    <row r="70" spans="1:8" ht="12.75" customHeight="1">
      <c r="A70" s="2477"/>
      <c r="B70" s="2476" t="s">
        <v>1529</v>
      </c>
      <c r="C70" s="2473">
        <v>1994</v>
      </c>
      <c r="D70" s="2478"/>
      <c r="E70" s="2478"/>
      <c r="F70" s="2478"/>
      <c r="G70" s="2478"/>
      <c r="H70" s="2474"/>
    </row>
    <row r="71" spans="1:8" ht="12.75" customHeight="1">
      <c r="A71" s="2477" t="s">
        <v>1685</v>
      </c>
      <c r="B71" s="2476" t="s">
        <v>4215</v>
      </c>
      <c r="C71" s="2478">
        <v>2003</v>
      </c>
      <c r="D71" s="2478">
        <v>2</v>
      </c>
      <c r="E71" s="2478" t="s">
        <v>4216</v>
      </c>
      <c r="F71" s="2478">
        <v>14.5</v>
      </c>
      <c r="G71" s="2478" t="s">
        <v>4217</v>
      </c>
      <c r="H71" s="2486"/>
    </row>
    <row r="72" spans="1:8" ht="12.75" customHeight="1">
      <c r="A72" s="2477"/>
      <c r="B72" s="2476" t="s">
        <v>1686</v>
      </c>
      <c r="C72" s="2478"/>
      <c r="D72" s="2478"/>
      <c r="E72" s="2490"/>
      <c r="F72" s="2478"/>
      <c r="G72" s="2478"/>
      <c r="H72" s="2486"/>
    </row>
    <row r="73" spans="1:8" ht="12.75" customHeight="1">
      <c r="A73" s="2477"/>
      <c r="B73" s="2476" t="s">
        <v>1396</v>
      </c>
      <c r="C73" s="2473">
        <v>1963</v>
      </c>
      <c r="D73" s="2478">
        <v>2</v>
      </c>
      <c r="E73" s="2478">
        <v>21085</v>
      </c>
      <c r="F73" s="2478">
        <v>12</v>
      </c>
      <c r="G73" s="2478"/>
      <c r="H73" s="2486" t="s">
        <v>4281</v>
      </c>
    </row>
    <row r="74" spans="1:8" ht="12.75" customHeight="1">
      <c r="A74" s="2477"/>
      <c r="B74" s="2476" t="s">
        <v>2893</v>
      </c>
      <c r="C74" s="2473">
        <v>1994</v>
      </c>
      <c r="D74" s="2478">
        <v>4</v>
      </c>
      <c r="E74" s="2478"/>
      <c r="F74" s="2478"/>
      <c r="G74" s="2478"/>
      <c r="H74" s="2486" t="s">
        <v>4281</v>
      </c>
    </row>
    <row r="75" spans="1:8" ht="12.75" customHeight="1">
      <c r="A75" s="2477"/>
      <c r="B75" s="2476" t="s">
        <v>1397</v>
      </c>
      <c r="C75" s="2478" t="s">
        <v>1398</v>
      </c>
      <c r="D75" s="2478">
        <v>4</v>
      </c>
      <c r="E75" s="2490" t="s">
        <v>1399</v>
      </c>
      <c r="F75" s="2478">
        <v>8.5</v>
      </c>
      <c r="G75" s="2478" t="s">
        <v>4285</v>
      </c>
      <c r="H75" s="2486" t="s">
        <v>4281</v>
      </c>
    </row>
    <row r="76" spans="1:8" ht="12.75" customHeight="1">
      <c r="A76" s="2477"/>
      <c r="B76" s="2476" t="s">
        <v>4286</v>
      </c>
      <c r="C76" s="2478">
        <v>1963</v>
      </c>
      <c r="D76" s="2478">
        <v>1</v>
      </c>
      <c r="E76" s="2478">
        <v>8160</v>
      </c>
      <c r="F76" s="2478">
        <v>9.5</v>
      </c>
      <c r="G76" s="2478"/>
      <c r="H76" s="2486" t="s">
        <v>4281</v>
      </c>
    </row>
    <row r="77" spans="1:8" ht="12.75" customHeight="1">
      <c r="A77" s="2477"/>
      <c r="B77" s="2476" t="s">
        <v>2895</v>
      </c>
      <c r="C77" s="2473">
        <v>1996</v>
      </c>
      <c r="D77" s="2478">
        <v>1</v>
      </c>
      <c r="E77" s="2478"/>
      <c r="F77" s="2478"/>
      <c r="G77" s="2478"/>
      <c r="H77" s="2474" t="s">
        <v>4281</v>
      </c>
    </row>
    <row r="78" spans="1:8" ht="12.75" customHeight="1">
      <c r="A78" s="2477" t="s">
        <v>4287</v>
      </c>
      <c r="B78" s="2476" t="s">
        <v>2893</v>
      </c>
      <c r="C78" s="2473">
        <v>1994</v>
      </c>
      <c r="D78" s="2478"/>
      <c r="E78" s="2478"/>
      <c r="F78" s="2478"/>
      <c r="G78" s="2478"/>
      <c r="H78" s="2474" t="s">
        <v>2897</v>
      </c>
    </row>
    <row r="79" spans="1:8" ht="12.75" customHeight="1">
      <c r="A79" s="2477"/>
      <c r="B79" s="2476" t="s">
        <v>2895</v>
      </c>
      <c r="C79" s="2473">
        <v>1996</v>
      </c>
      <c r="D79" s="2478"/>
      <c r="E79" s="2478"/>
      <c r="F79" s="2478"/>
      <c r="G79" s="2478"/>
      <c r="H79" s="2474" t="s">
        <v>1305</v>
      </c>
    </row>
    <row r="80" spans="1:8" ht="12.75" customHeight="1">
      <c r="A80" s="2477" t="s">
        <v>4288</v>
      </c>
      <c r="B80" s="2476" t="s">
        <v>2893</v>
      </c>
      <c r="C80" s="2473">
        <v>1994</v>
      </c>
      <c r="D80" s="2478"/>
      <c r="E80" s="2478"/>
      <c r="F80" s="2478"/>
      <c r="G80" s="2478"/>
      <c r="H80" s="2474" t="s">
        <v>2897</v>
      </c>
    </row>
    <row r="81" spans="1:8" ht="12.75" customHeight="1">
      <c r="A81" s="2477"/>
      <c r="B81" s="2476" t="s">
        <v>2895</v>
      </c>
      <c r="C81" s="2473">
        <v>1996</v>
      </c>
      <c r="D81" s="2478"/>
      <c r="E81" s="2478"/>
      <c r="F81" s="2478"/>
      <c r="G81" s="2478"/>
      <c r="H81" s="2474" t="s">
        <v>1305</v>
      </c>
    </row>
    <row r="82" spans="1:8" ht="12.75" customHeight="1">
      <c r="A82" s="2477" t="s">
        <v>4289</v>
      </c>
      <c r="B82" s="2476" t="s">
        <v>2891</v>
      </c>
      <c r="C82" s="2473">
        <v>1997</v>
      </c>
      <c r="D82" s="2478"/>
      <c r="E82" s="2478"/>
      <c r="F82" s="2478"/>
      <c r="G82" s="2478"/>
      <c r="H82" s="2474"/>
    </row>
    <row r="83" spans="1:8" ht="12.75" customHeight="1">
      <c r="A83" s="2477"/>
      <c r="B83" s="2476" t="s">
        <v>2893</v>
      </c>
      <c r="C83" s="2473">
        <v>1994</v>
      </c>
      <c r="D83" s="2478"/>
      <c r="E83" s="2478"/>
      <c r="F83" s="2478"/>
      <c r="G83" s="2478"/>
      <c r="H83" s="2474" t="s">
        <v>1305</v>
      </c>
    </row>
    <row r="84" spans="1:8" ht="12.75" customHeight="1">
      <c r="A84" s="2477"/>
      <c r="B84" s="2476" t="s">
        <v>2895</v>
      </c>
      <c r="C84" s="2478">
        <v>1996</v>
      </c>
      <c r="D84" s="2478"/>
      <c r="E84" s="2478"/>
      <c r="F84" s="2478"/>
      <c r="G84" s="2478"/>
      <c r="H84" s="2486" t="s">
        <v>1305</v>
      </c>
    </row>
    <row r="85" spans="1:8" ht="12.75" customHeight="1">
      <c r="A85" s="2477"/>
      <c r="B85" s="2476" t="s">
        <v>4290</v>
      </c>
      <c r="C85" s="2473">
        <v>1995</v>
      </c>
      <c r="D85" s="2478"/>
      <c r="E85" s="2478"/>
      <c r="F85" s="2478"/>
      <c r="G85" s="2478"/>
      <c r="H85" s="2474" t="s">
        <v>4291</v>
      </c>
    </row>
    <row r="86" spans="1:8" ht="12.75" customHeight="1">
      <c r="A86" s="2477" t="s">
        <v>4292</v>
      </c>
      <c r="B86" s="2476" t="s">
        <v>2893</v>
      </c>
      <c r="C86" s="2473">
        <v>1994</v>
      </c>
      <c r="D86" s="2478"/>
      <c r="E86" s="2478"/>
      <c r="F86" s="2478"/>
      <c r="G86" s="2478"/>
      <c r="H86" s="2474" t="s">
        <v>2897</v>
      </c>
    </row>
    <row r="87" spans="1:8" ht="12.75" customHeight="1">
      <c r="A87" s="2477"/>
      <c r="B87" s="2476" t="s">
        <v>2895</v>
      </c>
      <c r="C87" s="2473">
        <v>1996</v>
      </c>
      <c r="D87" s="2478"/>
      <c r="E87" s="2478"/>
      <c r="F87" s="2478"/>
      <c r="G87" s="2478"/>
      <c r="H87" s="2474" t="s">
        <v>1305</v>
      </c>
    </row>
    <row r="88" spans="1:8" ht="12.75" customHeight="1">
      <c r="A88" s="2477" t="s">
        <v>4293</v>
      </c>
      <c r="B88" s="2476" t="s">
        <v>2893</v>
      </c>
      <c r="C88" s="2473">
        <v>1994</v>
      </c>
      <c r="D88" s="2478"/>
      <c r="E88" s="2478"/>
      <c r="F88" s="2478"/>
      <c r="G88" s="2478"/>
      <c r="H88" s="2474" t="s">
        <v>2897</v>
      </c>
    </row>
    <row r="89" spans="1:8" ht="12.75" customHeight="1">
      <c r="A89" s="2477"/>
      <c r="B89" s="2476" t="s">
        <v>2895</v>
      </c>
      <c r="C89" s="2473">
        <v>1996</v>
      </c>
      <c r="D89" s="2478"/>
      <c r="E89" s="2478"/>
      <c r="F89" s="2478"/>
      <c r="G89" s="2478"/>
      <c r="H89" s="2474" t="s">
        <v>1305</v>
      </c>
    </row>
    <row r="90" spans="1:8" ht="12.75" customHeight="1">
      <c r="A90" s="2477" t="s">
        <v>4413</v>
      </c>
      <c r="B90" s="2476" t="s">
        <v>2891</v>
      </c>
      <c r="C90" s="2473">
        <v>2002</v>
      </c>
      <c r="D90" s="2478"/>
      <c r="E90" s="2478"/>
      <c r="F90" s="2478"/>
      <c r="G90" s="2478"/>
      <c r="H90" s="2474"/>
    </row>
    <row r="91" spans="1:8" ht="12.75" customHeight="1">
      <c r="A91" s="2477"/>
      <c r="B91" s="2476" t="s">
        <v>2893</v>
      </c>
      <c r="C91" s="2473">
        <v>1994</v>
      </c>
      <c r="D91" s="2478"/>
      <c r="E91" s="2478"/>
      <c r="F91" s="2478"/>
      <c r="G91" s="2478"/>
      <c r="H91" s="2474" t="s">
        <v>2897</v>
      </c>
    </row>
    <row r="92" spans="1:8" ht="15.75" thickBot="1">
      <c r="A92" s="2491"/>
      <c r="B92" s="2492" t="s">
        <v>2895</v>
      </c>
      <c r="C92" s="2493">
        <v>1997</v>
      </c>
      <c r="D92" s="2494"/>
      <c r="E92" s="2494"/>
      <c r="F92" s="2494"/>
      <c r="G92" s="2494"/>
      <c r="H92" s="2495" t="s">
        <v>1305</v>
      </c>
    </row>
    <row r="93" spans="1:8" ht="12.75" customHeight="1">
      <c r="A93" s="1981" t="s">
        <v>544</v>
      </c>
      <c r="B93" s="40"/>
      <c r="C93" s="40"/>
      <c r="D93" s="40"/>
      <c r="E93" s="40"/>
      <c r="F93" s="40"/>
      <c r="G93" s="40"/>
      <c r="H93" s="40"/>
    </row>
    <row r="94" spans="1:8" ht="12.75" customHeight="1">
      <c r="A94" s="516" t="s">
        <v>1825</v>
      </c>
      <c r="B94" s="516"/>
      <c r="C94" s="516"/>
      <c r="D94" s="516"/>
      <c r="E94" s="516"/>
      <c r="F94" s="516"/>
      <c r="G94" s="516"/>
      <c r="H94" s="516"/>
    </row>
    <row r="95" spans="1:8">
      <c r="A95" s="40"/>
      <c r="B95" s="40"/>
      <c r="C95" s="40"/>
      <c r="D95" s="40"/>
      <c r="E95" s="40"/>
      <c r="F95" s="40"/>
      <c r="G95" s="40"/>
      <c r="H95" s="40"/>
    </row>
  </sheetData>
  <phoneticPr fontId="0" type="noConversion"/>
  <printOptions horizontalCentered="1"/>
  <pageMargins left="0.3" right="0.3" top="0.46" bottom="0.05" header="0" footer="0"/>
  <pageSetup scale="63"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05"/>
  <dimension ref="A1:H335"/>
  <sheetViews>
    <sheetView zoomScaleNormal="100" workbookViewId="0">
      <pane ySplit="11" topLeftCell="A12" activePane="bottomLeft" state="frozen"/>
      <selection activeCell="S32" sqref="S32"/>
      <selection pane="bottomLeft" activeCell="H73" sqref="H73"/>
    </sheetView>
  </sheetViews>
  <sheetFormatPr defaultRowHeight="15"/>
  <cols>
    <col min="1" max="1" width="22.109375" customWidth="1"/>
    <col min="2" max="2" width="14.77734375" bestFit="1" customWidth="1"/>
    <col min="3" max="3" width="11.109375" customWidth="1"/>
    <col min="4" max="4" width="11.33203125" bestFit="1" customWidth="1"/>
    <col min="5" max="6" width="10.21875" bestFit="1" customWidth="1"/>
    <col min="7" max="7" width="9.88671875" bestFit="1" customWidth="1"/>
    <col min="8" max="8" width="14.88671875" bestFit="1" customWidth="1"/>
  </cols>
  <sheetData>
    <row r="1" spans="1:8" ht="13.35" customHeight="1" thickBot="1">
      <c r="A1" s="1221" t="str">
        <f>'Data sheet'!A61</f>
        <v>Annual Report of Veolia Water New York, Inc.                                                                       Year Ended  December 31, 2023</v>
      </c>
      <c r="B1" s="86"/>
      <c r="C1" s="86"/>
      <c r="D1" s="86"/>
      <c r="E1" s="86"/>
      <c r="F1" s="86"/>
      <c r="G1" s="86"/>
      <c r="H1" s="86"/>
    </row>
    <row r="2" spans="1:8" ht="12.75" customHeight="1">
      <c r="A2" s="2496" t="s">
        <v>3399</v>
      </c>
      <c r="B2" s="2497"/>
      <c r="C2" s="2497"/>
      <c r="D2" s="2497"/>
      <c r="E2" s="2497"/>
      <c r="F2" s="2497"/>
      <c r="G2" s="2497"/>
      <c r="H2" s="2498"/>
    </row>
    <row r="3" spans="1:8" ht="9.75" customHeight="1">
      <c r="A3" s="2499"/>
      <c r="B3" s="2500"/>
      <c r="C3" s="2501"/>
      <c r="D3" s="2502"/>
      <c r="E3" s="2500"/>
      <c r="F3" s="2500"/>
      <c r="G3" s="2500"/>
      <c r="H3" s="2503"/>
    </row>
    <row r="4" spans="1:8" ht="9.75" customHeight="1">
      <c r="A4" s="2504"/>
      <c r="B4" s="2505"/>
      <c r="C4" s="2505"/>
      <c r="D4" s="2505"/>
      <c r="E4" s="2505"/>
      <c r="F4" s="2505"/>
      <c r="G4" s="2505"/>
      <c r="H4" s="2506"/>
    </row>
    <row r="5" spans="1:8" ht="10.5" customHeight="1">
      <c r="A5" s="2504"/>
      <c r="B5" s="2505"/>
      <c r="C5" s="2505"/>
      <c r="D5" s="2505"/>
      <c r="E5" s="2505"/>
      <c r="F5" s="2505"/>
      <c r="G5" s="2505"/>
      <c r="H5" s="2506"/>
    </row>
    <row r="6" spans="1:8" ht="12.75" customHeight="1">
      <c r="A6" s="2504"/>
      <c r="B6" s="2505"/>
      <c r="C6" s="2505"/>
      <c r="D6" s="2505"/>
      <c r="E6" s="2505"/>
      <c r="F6" s="2505"/>
      <c r="G6" s="2505"/>
      <c r="H6" s="2506"/>
    </row>
    <row r="7" spans="1:8" ht="12.75" customHeight="1">
      <c r="A7" s="2507"/>
      <c r="B7" s="2508"/>
      <c r="C7" s="2508"/>
      <c r="D7" s="2508"/>
      <c r="E7" s="2508"/>
      <c r="F7" s="2508"/>
      <c r="G7" s="2508"/>
      <c r="H7" s="2509"/>
    </row>
    <row r="8" spans="1:8" ht="12.75" customHeight="1">
      <c r="A8" s="2510" t="s">
        <v>3055</v>
      </c>
      <c r="B8" s="2511" t="s">
        <v>2570</v>
      </c>
      <c r="C8" s="2512" t="s">
        <v>1552</v>
      </c>
      <c r="D8" s="2512" t="s">
        <v>390</v>
      </c>
      <c r="E8" s="2512" t="s">
        <v>1551</v>
      </c>
      <c r="F8" s="2512" t="s">
        <v>391</v>
      </c>
      <c r="G8" s="2512" t="s">
        <v>392</v>
      </c>
      <c r="H8" s="2513" t="s">
        <v>393</v>
      </c>
    </row>
    <row r="9" spans="1:8" ht="12.75" customHeight="1">
      <c r="A9" s="2510" t="s">
        <v>2185</v>
      </c>
      <c r="B9" s="2512"/>
      <c r="C9" s="2512" t="s">
        <v>394</v>
      </c>
      <c r="D9" s="2512" t="s">
        <v>395</v>
      </c>
      <c r="E9" s="2512" t="s">
        <v>395</v>
      </c>
      <c r="F9" s="2512" t="s">
        <v>395</v>
      </c>
      <c r="G9" s="2512" t="s">
        <v>396</v>
      </c>
      <c r="H9" s="2513"/>
    </row>
    <row r="10" spans="1:8" ht="12.75" customHeight="1">
      <c r="A10" s="2510" t="s">
        <v>1843</v>
      </c>
      <c r="B10" s="2512"/>
      <c r="C10" s="2512" t="s">
        <v>1844</v>
      </c>
      <c r="D10" s="2512"/>
      <c r="E10" s="2512" t="s">
        <v>1845</v>
      </c>
      <c r="F10" s="2512" t="s">
        <v>3068</v>
      </c>
      <c r="G10" s="2512" t="s">
        <v>1846</v>
      </c>
      <c r="H10" s="2506"/>
    </row>
    <row r="11" spans="1:8" ht="12.75" customHeight="1">
      <c r="A11" s="2514" t="s">
        <v>3279</v>
      </c>
      <c r="B11" s="2515" t="s">
        <v>1611</v>
      </c>
      <c r="C11" s="2515" t="s">
        <v>1612</v>
      </c>
      <c r="D11" s="2515" t="s">
        <v>1613</v>
      </c>
      <c r="E11" s="2515" t="s">
        <v>721</v>
      </c>
      <c r="F11" s="2515" t="s">
        <v>722</v>
      </c>
      <c r="G11" s="2515" t="s">
        <v>723</v>
      </c>
      <c r="H11" s="2516" t="s">
        <v>335</v>
      </c>
    </row>
    <row r="12" spans="1:8" ht="12.75" customHeight="1">
      <c r="A12" s="2517" t="s">
        <v>2861</v>
      </c>
      <c r="B12" s="2458"/>
      <c r="C12" s="2518"/>
      <c r="D12" s="2518"/>
      <c r="E12" s="2518"/>
      <c r="F12" s="2518"/>
      <c r="G12" s="2518"/>
      <c r="H12" s="2519"/>
    </row>
    <row r="13" spans="1:8" ht="12.75" customHeight="1">
      <c r="A13" s="2504" t="s">
        <v>1770</v>
      </c>
      <c r="B13" s="2505" t="s">
        <v>2893</v>
      </c>
      <c r="C13" s="2518">
        <v>1994</v>
      </c>
      <c r="D13" s="2518"/>
      <c r="E13" s="2518"/>
      <c r="F13" s="2518"/>
      <c r="G13" s="2518"/>
      <c r="H13" s="2519" t="s">
        <v>2897</v>
      </c>
    </row>
    <row r="14" spans="1:8" ht="12.75" customHeight="1">
      <c r="A14" s="2504"/>
      <c r="B14" s="2505" t="s">
        <v>2895</v>
      </c>
      <c r="C14" s="2518">
        <v>1996</v>
      </c>
      <c r="D14" s="2518"/>
      <c r="E14" s="2518"/>
      <c r="F14" s="2518"/>
      <c r="G14" s="2518"/>
      <c r="H14" s="2519" t="s">
        <v>1305</v>
      </c>
    </row>
    <row r="15" spans="1:8" ht="12.75" customHeight="1">
      <c r="A15" s="2504" t="s">
        <v>1771</v>
      </c>
      <c r="B15" s="2505" t="s">
        <v>2893</v>
      </c>
      <c r="C15" s="2518">
        <v>1994</v>
      </c>
      <c r="D15" s="2518"/>
      <c r="E15" s="2518"/>
      <c r="F15" s="2518"/>
      <c r="G15" s="2518"/>
      <c r="H15" s="2519" t="s">
        <v>2897</v>
      </c>
    </row>
    <row r="16" spans="1:8" ht="12.75" customHeight="1">
      <c r="A16" s="2520"/>
      <c r="B16" s="2505" t="s">
        <v>2895</v>
      </c>
      <c r="C16" s="2518">
        <v>1996</v>
      </c>
      <c r="D16" s="2518"/>
      <c r="E16" s="2518"/>
      <c r="F16" s="2518"/>
      <c r="G16" s="2518"/>
      <c r="H16" s="2519" t="s">
        <v>1305</v>
      </c>
    </row>
    <row r="17" spans="1:8" ht="12.75" customHeight="1">
      <c r="A17" s="2504"/>
      <c r="B17" s="2505"/>
      <c r="C17" s="2518"/>
      <c r="D17" s="2518"/>
      <c r="E17" s="2518"/>
      <c r="F17" s="2518"/>
      <c r="G17" s="2518"/>
      <c r="H17" s="2519" t="s">
        <v>2897</v>
      </c>
    </row>
    <row r="18" spans="1:8" ht="12.75" customHeight="1">
      <c r="A18" s="2517" t="s">
        <v>2571</v>
      </c>
      <c r="B18" s="2505"/>
      <c r="C18" s="2518"/>
      <c r="D18" s="2518"/>
      <c r="E18" s="2518"/>
      <c r="F18" s="2518"/>
      <c r="G18" s="2518"/>
      <c r="H18" s="2519"/>
    </row>
    <row r="19" spans="1:8" ht="12.75" customHeight="1">
      <c r="A19" s="2504" t="s">
        <v>1772</v>
      </c>
      <c r="B19" s="2505" t="s">
        <v>1773</v>
      </c>
      <c r="C19" s="2518">
        <v>2002</v>
      </c>
      <c r="D19" s="2518"/>
      <c r="E19" s="2518"/>
      <c r="F19" s="2518"/>
      <c r="G19" s="2518"/>
      <c r="H19" s="2519"/>
    </row>
    <row r="20" spans="1:8" ht="12.75" customHeight="1">
      <c r="A20" s="2456"/>
      <c r="B20" s="2505" t="s">
        <v>2893</v>
      </c>
      <c r="C20" s="2518">
        <v>1994</v>
      </c>
      <c r="D20" s="2518"/>
      <c r="E20" s="2518"/>
      <c r="F20" s="2518"/>
      <c r="G20" s="2518"/>
      <c r="H20" s="2519" t="s">
        <v>2897</v>
      </c>
    </row>
    <row r="21" spans="1:8" ht="12.75" customHeight="1">
      <c r="A21" s="2504"/>
      <c r="B21" s="2505" t="s">
        <v>2895</v>
      </c>
      <c r="C21" s="2518">
        <v>1997</v>
      </c>
      <c r="D21" s="2518"/>
      <c r="E21" s="2518"/>
      <c r="F21" s="2518"/>
      <c r="G21" s="2518"/>
      <c r="H21" s="2519" t="s">
        <v>1307</v>
      </c>
    </row>
    <row r="22" spans="1:8" ht="12.75" customHeight="1">
      <c r="A22" s="2504"/>
      <c r="B22" s="2505" t="s">
        <v>4652</v>
      </c>
      <c r="C22" s="2518">
        <v>2009</v>
      </c>
      <c r="D22" s="2518"/>
      <c r="E22" s="2518"/>
      <c r="F22" s="2518"/>
      <c r="G22" s="2518"/>
      <c r="H22" s="2519"/>
    </row>
    <row r="23" spans="1:8" ht="12.75" customHeight="1">
      <c r="A23" s="2517" t="s">
        <v>1346</v>
      </c>
      <c r="B23" s="2505"/>
      <c r="C23" s="2518"/>
      <c r="D23" s="2518"/>
      <c r="E23" s="2518"/>
      <c r="F23" s="2518"/>
      <c r="G23" s="2518"/>
      <c r="H23" s="2519"/>
    </row>
    <row r="24" spans="1:8" ht="12.75" customHeight="1">
      <c r="A24" s="2521" t="s">
        <v>4218</v>
      </c>
      <c r="B24" s="2505" t="s">
        <v>1396</v>
      </c>
      <c r="C24" s="2518">
        <v>1927</v>
      </c>
      <c r="D24" s="2518">
        <v>2</v>
      </c>
      <c r="E24" s="2518" t="s">
        <v>4219</v>
      </c>
      <c r="F24" s="2518">
        <v>14</v>
      </c>
      <c r="G24" s="2518" t="s">
        <v>4220</v>
      </c>
      <c r="H24" s="2519"/>
    </row>
    <row r="25" spans="1:8" ht="12.75" customHeight="1">
      <c r="A25" s="2520"/>
      <c r="B25" s="2505" t="s">
        <v>4221</v>
      </c>
      <c r="C25" s="2518">
        <v>1927</v>
      </c>
      <c r="D25" s="2518">
        <v>4</v>
      </c>
      <c r="E25" s="2518" t="s">
        <v>4222</v>
      </c>
      <c r="F25" s="2518">
        <v>11.3</v>
      </c>
      <c r="G25" s="2518" t="s">
        <v>4220</v>
      </c>
      <c r="H25" s="2519"/>
    </row>
    <row r="26" spans="1:8" ht="12.75" customHeight="1">
      <c r="A26" s="2520"/>
      <c r="B26" s="2505" t="s">
        <v>4223</v>
      </c>
      <c r="C26" s="2518">
        <v>1927</v>
      </c>
      <c r="D26" s="2518">
        <v>2</v>
      </c>
      <c r="E26" s="2518">
        <v>6000</v>
      </c>
      <c r="F26" s="2518">
        <v>12</v>
      </c>
      <c r="G26" s="2518" t="s">
        <v>4220</v>
      </c>
      <c r="H26" s="2519"/>
    </row>
    <row r="27" spans="1:8" ht="12.75" customHeight="1">
      <c r="A27" s="2520"/>
      <c r="B27" s="2505" t="s">
        <v>4224</v>
      </c>
      <c r="C27" s="2518">
        <v>2006</v>
      </c>
      <c r="D27" s="2518"/>
      <c r="E27" s="2518"/>
      <c r="F27" s="2518"/>
      <c r="G27" s="2518"/>
      <c r="H27" s="2519"/>
    </row>
    <row r="28" spans="1:8" ht="12.75" customHeight="1">
      <c r="A28" s="2520"/>
      <c r="B28" s="2505" t="s">
        <v>1529</v>
      </c>
      <c r="C28" s="2518">
        <v>2006</v>
      </c>
      <c r="D28" s="2518"/>
      <c r="E28" s="2518"/>
      <c r="F28" s="2518"/>
      <c r="G28" s="2518"/>
      <c r="H28" s="2519"/>
    </row>
    <row r="29" spans="1:8" ht="12.75" customHeight="1">
      <c r="A29" s="2520"/>
      <c r="B29" s="2505" t="s">
        <v>2893</v>
      </c>
      <c r="C29" s="2518">
        <v>2006</v>
      </c>
      <c r="D29" s="2518"/>
      <c r="E29" s="2518"/>
      <c r="F29" s="2518"/>
      <c r="G29" s="2518"/>
      <c r="H29" s="2519"/>
    </row>
    <row r="30" spans="1:8" ht="12.75" customHeight="1">
      <c r="A30" s="2520"/>
      <c r="B30" s="2505" t="s">
        <v>1528</v>
      </c>
      <c r="C30" s="2518">
        <v>2006</v>
      </c>
      <c r="D30" s="2518"/>
      <c r="E30" s="2518"/>
      <c r="F30" s="2518"/>
      <c r="G30" s="2518"/>
      <c r="H30" s="2519"/>
    </row>
    <row r="31" spans="1:8" ht="12.75" customHeight="1">
      <c r="A31" s="2520"/>
      <c r="B31" s="2505" t="s">
        <v>2895</v>
      </c>
      <c r="C31" s="2518">
        <v>2006</v>
      </c>
      <c r="D31" s="2518"/>
      <c r="E31" s="2518"/>
      <c r="F31" s="2518"/>
      <c r="G31" s="2518"/>
      <c r="H31" s="2519"/>
    </row>
    <row r="32" spans="1:8" ht="12.75" customHeight="1">
      <c r="A32" s="2521" t="s">
        <v>1774</v>
      </c>
      <c r="B32" s="2505"/>
      <c r="C32" s="2518"/>
      <c r="D32" s="2518"/>
      <c r="E32" s="2518"/>
      <c r="F32" s="2518"/>
      <c r="G32" s="2518"/>
      <c r="H32" s="2519"/>
    </row>
    <row r="33" spans="1:8" ht="12.75" customHeight="1">
      <c r="A33" s="2522" t="s">
        <v>1775</v>
      </c>
      <c r="B33" s="2505" t="s">
        <v>2893</v>
      </c>
      <c r="C33" s="2518">
        <v>1964</v>
      </c>
      <c r="D33" s="2518"/>
      <c r="E33" s="2518"/>
      <c r="F33" s="2518"/>
      <c r="G33" s="2518"/>
      <c r="H33" s="2519" t="s">
        <v>2897</v>
      </c>
    </row>
    <row r="34" spans="1:8" ht="12.75" customHeight="1">
      <c r="A34" s="2521" t="s">
        <v>1776</v>
      </c>
      <c r="B34" s="2505" t="s">
        <v>2895</v>
      </c>
      <c r="C34" s="2518">
        <v>1997</v>
      </c>
      <c r="D34" s="2518"/>
      <c r="E34" s="2518"/>
      <c r="F34" s="2518"/>
      <c r="G34" s="2518"/>
      <c r="H34" s="2519" t="s">
        <v>1307</v>
      </c>
    </row>
    <row r="35" spans="1:8" ht="12.75" customHeight="1">
      <c r="A35" s="2521" t="s">
        <v>4414</v>
      </c>
      <c r="B35" s="2505" t="s">
        <v>1777</v>
      </c>
      <c r="C35" s="2518">
        <v>1994</v>
      </c>
      <c r="D35" s="2518"/>
      <c r="E35" s="2518"/>
      <c r="F35" s="2518"/>
      <c r="G35" s="2518"/>
      <c r="H35" s="2519" t="s">
        <v>2897</v>
      </c>
    </row>
    <row r="36" spans="1:8" ht="12.75" customHeight="1">
      <c r="A36" s="2520"/>
      <c r="B36" s="2505" t="s">
        <v>2895</v>
      </c>
      <c r="C36" s="2518">
        <v>1997</v>
      </c>
      <c r="D36" s="2518"/>
      <c r="E36" s="2518"/>
      <c r="F36" s="2518"/>
      <c r="G36" s="2518"/>
      <c r="H36" s="2519" t="s">
        <v>1305</v>
      </c>
    </row>
    <row r="37" spans="1:8" ht="12.75" customHeight="1">
      <c r="A37" s="2514" t="s">
        <v>1778</v>
      </c>
      <c r="B37" s="2505"/>
      <c r="C37" s="2518"/>
      <c r="D37" s="2518"/>
      <c r="E37" s="2518"/>
      <c r="F37" s="2518"/>
      <c r="G37" s="2518"/>
      <c r="H37" s="2519"/>
    </row>
    <row r="38" spans="1:8" ht="12.75" customHeight="1">
      <c r="A38" s="2521" t="s">
        <v>1779</v>
      </c>
      <c r="B38" s="2505" t="s">
        <v>1780</v>
      </c>
      <c r="C38" s="2518">
        <v>1919</v>
      </c>
      <c r="D38" s="2518">
        <v>2</v>
      </c>
      <c r="E38" s="2518">
        <v>320</v>
      </c>
      <c r="F38" s="2518">
        <v>6</v>
      </c>
      <c r="G38" s="2518" t="s">
        <v>1781</v>
      </c>
      <c r="H38" s="2519" t="s">
        <v>1782</v>
      </c>
    </row>
    <row r="39" spans="1:8" ht="12.75" customHeight="1">
      <c r="A39" s="2521" t="s">
        <v>1783</v>
      </c>
      <c r="B39" s="2505" t="s">
        <v>2893</v>
      </c>
      <c r="C39" s="2518">
        <v>1994</v>
      </c>
      <c r="D39" s="2518">
        <v>3</v>
      </c>
      <c r="E39" s="2518"/>
      <c r="F39" s="2518"/>
      <c r="G39" s="2518"/>
      <c r="H39" s="2519" t="s">
        <v>1784</v>
      </c>
    </row>
    <row r="40" spans="1:8" ht="12.75" customHeight="1">
      <c r="A40" s="2521"/>
      <c r="B40" s="2505" t="s">
        <v>1785</v>
      </c>
      <c r="C40" s="2518">
        <v>1958</v>
      </c>
      <c r="D40" s="2518">
        <v>1</v>
      </c>
      <c r="E40" s="2518"/>
      <c r="F40" s="2518"/>
      <c r="G40" s="2518"/>
      <c r="H40" s="2519" t="s">
        <v>1786</v>
      </c>
    </row>
    <row r="41" spans="1:8" ht="12.75" customHeight="1">
      <c r="A41" s="2504"/>
      <c r="B41" s="2505" t="s">
        <v>1787</v>
      </c>
      <c r="C41" s="2518">
        <v>1976</v>
      </c>
      <c r="D41" s="2518">
        <v>1</v>
      </c>
      <c r="E41" s="2518"/>
      <c r="F41" s="2518"/>
      <c r="G41" s="2518"/>
      <c r="H41" s="2519" t="s">
        <v>1788</v>
      </c>
    </row>
    <row r="42" spans="1:8" ht="12.75" customHeight="1">
      <c r="A42" s="2504"/>
      <c r="B42" s="2505" t="s">
        <v>1789</v>
      </c>
      <c r="C42" s="2518">
        <v>1964</v>
      </c>
      <c r="D42" s="2518">
        <v>1</v>
      </c>
      <c r="E42" s="2518">
        <v>360</v>
      </c>
      <c r="F42" s="2518"/>
      <c r="G42" s="2518">
        <v>500</v>
      </c>
      <c r="H42" s="2519" t="s">
        <v>1790</v>
      </c>
    </row>
    <row r="43" spans="1:8" ht="12.75" customHeight="1">
      <c r="A43" s="2504"/>
      <c r="B43" s="2505"/>
      <c r="C43" s="2518"/>
      <c r="D43" s="2518"/>
      <c r="E43" s="2518"/>
      <c r="F43" s="2518"/>
      <c r="G43" s="2518"/>
      <c r="H43" s="2519"/>
    </row>
    <row r="44" spans="1:8" ht="12.75" customHeight="1">
      <c r="A44" s="2514" t="s">
        <v>1362</v>
      </c>
      <c r="B44" s="2505"/>
      <c r="C44" s="2518"/>
      <c r="D44" s="2518">
        <v>1</v>
      </c>
      <c r="E44" s="2518"/>
      <c r="F44" s="2518"/>
      <c r="G44" s="2518"/>
      <c r="H44" s="2519"/>
    </row>
    <row r="45" spans="1:8" ht="12.75" customHeight="1">
      <c r="A45" s="2521" t="s">
        <v>1791</v>
      </c>
      <c r="B45" s="2505" t="s">
        <v>2893</v>
      </c>
      <c r="C45" s="2518">
        <v>1994</v>
      </c>
      <c r="D45" s="2518"/>
      <c r="E45" s="2518"/>
      <c r="F45" s="2518"/>
      <c r="G45" s="2518"/>
      <c r="H45" s="2519" t="s">
        <v>1305</v>
      </c>
    </row>
    <row r="46" spans="1:8" ht="12.75" customHeight="1">
      <c r="A46" s="2504"/>
      <c r="B46" s="2505"/>
      <c r="C46" s="2518"/>
      <c r="D46" s="2518"/>
      <c r="E46" s="2518"/>
      <c r="F46" s="2518"/>
      <c r="G46" s="2518"/>
      <c r="H46" s="2519"/>
    </row>
    <row r="47" spans="1:8" ht="12.75" customHeight="1">
      <c r="A47" s="2504" t="s">
        <v>1331</v>
      </c>
      <c r="B47" s="2505"/>
      <c r="C47" s="2518"/>
      <c r="D47" s="2518"/>
      <c r="E47" s="2518"/>
      <c r="F47" s="2518"/>
      <c r="G47" s="2518"/>
      <c r="H47" s="2519"/>
    </row>
    <row r="48" spans="1:8" ht="12.75" customHeight="1">
      <c r="A48" s="2504" t="s">
        <v>1792</v>
      </c>
      <c r="B48" s="2505" t="s">
        <v>2893</v>
      </c>
      <c r="C48" s="2518">
        <v>1994</v>
      </c>
      <c r="D48" s="2518"/>
      <c r="E48" s="2518"/>
      <c r="F48" s="2518"/>
      <c r="G48" s="2518"/>
      <c r="H48" s="2519" t="s">
        <v>2897</v>
      </c>
    </row>
    <row r="49" spans="1:8" ht="12.75" customHeight="1">
      <c r="A49" s="2504"/>
      <c r="B49" s="2505" t="s">
        <v>2895</v>
      </c>
      <c r="C49" s="2518">
        <v>1996</v>
      </c>
      <c r="D49" s="2518"/>
      <c r="E49" s="2518"/>
      <c r="F49" s="2518"/>
      <c r="G49" s="2518"/>
      <c r="H49" s="2519" t="s">
        <v>1305</v>
      </c>
    </row>
    <row r="50" spans="1:8" ht="12.75" customHeight="1">
      <c r="A50" s="2504" t="s">
        <v>1793</v>
      </c>
      <c r="B50" s="2505" t="s">
        <v>2893</v>
      </c>
      <c r="C50" s="2518">
        <v>1994</v>
      </c>
      <c r="D50" s="2518"/>
      <c r="E50" s="2518"/>
      <c r="F50" s="2518"/>
      <c r="G50" s="2518"/>
      <c r="H50" s="2519" t="s">
        <v>2897</v>
      </c>
    </row>
    <row r="51" spans="1:8" ht="12.75" customHeight="1">
      <c r="A51" s="2504"/>
      <c r="B51" s="2505" t="s">
        <v>2895</v>
      </c>
      <c r="C51" s="2518">
        <v>1996</v>
      </c>
      <c r="D51" s="2518"/>
      <c r="E51" s="2518"/>
      <c r="F51" s="2518"/>
      <c r="G51" s="2518"/>
      <c r="H51" s="2519" t="s">
        <v>1305</v>
      </c>
    </row>
    <row r="52" spans="1:8" ht="12.75" customHeight="1">
      <c r="A52" s="2504"/>
      <c r="B52" s="2505" t="s">
        <v>4640</v>
      </c>
      <c r="C52" s="2518">
        <v>2013</v>
      </c>
      <c r="D52" s="2518"/>
      <c r="E52" s="2518"/>
      <c r="F52" s="2518"/>
      <c r="G52" s="2518"/>
      <c r="H52" s="2519"/>
    </row>
    <row r="53" spans="1:8" ht="12.75" customHeight="1">
      <c r="A53" s="2523"/>
      <c r="B53" s="2524" t="s">
        <v>1773</v>
      </c>
      <c r="C53" s="2518">
        <v>2013</v>
      </c>
      <c r="D53" s="2525"/>
      <c r="E53" s="2518"/>
      <c r="F53" s="2518"/>
      <c r="G53" s="2518"/>
      <c r="H53" s="2519"/>
    </row>
    <row r="54" spans="1:8" ht="12.75" customHeight="1">
      <c r="A54" s="2517" t="s">
        <v>1334</v>
      </c>
      <c r="B54" s="2505"/>
      <c r="C54" s="2518"/>
      <c r="D54" s="2525"/>
      <c r="E54" s="2525"/>
      <c r="F54" s="2525"/>
      <c r="G54" s="2525"/>
      <c r="H54" s="2519"/>
    </row>
    <row r="55" spans="1:8" ht="12.75" customHeight="1">
      <c r="A55" s="2521" t="s">
        <v>1794</v>
      </c>
      <c r="B55" s="2505" t="s">
        <v>2893</v>
      </c>
      <c r="C55" s="2518">
        <v>1994</v>
      </c>
      <c r="D55" s="2525"/>
      <c r="E55" s="2525"/>
      <c r="F55" s="2525"/>
      <c r="G55" s="2525"/>
      <c r="H55" s="2519" t="s">
        <v>2897</v>
      </c>
    </row>
    <row r="56" spans="1:8" ht="12.75" customHeight="1">
      <c r="A56" s="2456"/>
      <c r="B56" s="2505" t="s">
        <v>2895</v>
      </c>
      <c r="C56" s="2518">
        <v>1997</v>
      </c>
      <c r="D56" s="2525"/>
      <c r="E56" s="2525"/>
      <c r="F56" s="2525"/>
      <c r="G56" s="2525"/>
      <c r="H56" s="2519" t="s">
        <v>1305</v>
      </c>
    </row>
    <row r="57" spans="1:8" ht="12.75" customHeight="1">
      <c r="A57" s="2456" t="s">
        <v>1795</v>
      </c>
      <c r="B57" s="2505" t="s">
        <v>2893</v>
      </c>
      <c r="C57" s="2518">
        <v>1994</v>
      </c>
      <c r="D57" s="2525"/>
      <c r="E57" s="2525"/>
      <c r="F57" s="2525"/>
      <c r="G57" s="2525"/>
      <c r="H57" s="2519" t="s">
        <v>2897</v>
      </c>
    </row>
    <row r="58" spans="1:8" ht="12.75" customHeight="1">
      <c r="A58" s="2456"/>
      <c r="B58" s="2505" t="s">
        <v>2895</v>
      </c>
      <c r="C58" s="2518">
        <v>1997</v>
      </c>
      <c r="D58" s="2525"/>
      <c r="E58" s="2525"/>
      <c r="F58" s="2525"/>
      <c r="G58" s="2525"/>
      <c r="H58" s="2519" t="s">
        <v>1305</v>
      </c>
    </row>
    <row r="59" spans="1:8" ht="12.75" customHeight="1">
      <c r="A59" s="2456"/>
      <c r="B59" s="2505" t="s">
        <v>4640</v>
      </c>
      <c r="C59" s="2518">
        <v>2015</v>
      </c>
      <c r="D59" s="2525"/>
      <c r="E59" s="2525"/>
      <c r="F59" s="2525"/>
      <c r="G59" s="2525"/>
      <c r="H59" s="2519"/>
    </row>
    <row r="60" spans="1:8" ht="12.75" customHeight="1">
      <c r="A60" s="2456"/>
      <c r="B60" s="2524" t="s">
        <v>1773</v>
      </c>
      <c r="C60" s="2518">
        <v>2015</v>
      </c>
      <c r="D60" s="2525"/>
      <c r="E60" s="2525"/>
      <c r="F60" s="2525"/>
      <c r="G60" s="2525"/>
      <c r="H60" s="2519"/>
    </row>
    <row r="61" spans="1:8" ht="12.75" customHeight="1">
      <c r="A61" s="2456" t="s">
        <v>1796</v>
      </c>
      <c r="B61" s="2505" t="s">
        <v>2893</v>
      </c>
      <c r="C61" s="2518">
        <v>1994</v>
      </c>
      <c r="D61" s="2525"/>
      <c r="E61" s="2525"/>
      <c r="F61" s="2525"/>
      <c r="G61" s="2525"/>
      <c r="H61" s="2519" t="s">
        <v>2897</v>
      </c>
    </row>
    <row r="62" spans="1:8" ht="12.75" customHeight="1">
      <c r="A62" s="2456"/>
      <c r="B62" s="2505" t="s">
        <v>2895</v>
      </c>
      <c r="C62" s="2518">
        <v>1997</v>
      </c>
      <c r="D62" s="2525"/>
      <c r="E62" s="2526"/>
      <c r="F62" s="2525"/>
      <c r="G62" s="2525"/>
      <c r="H62" s="2519" t="s">
        <v>1305</v>
      </c>
    </row>
    <row r="63" spans="1:8" ht="12.75" customHeight="1">
      <c r="A63" s="2456" t="s">
        <v>972</v>
      </c>
      <c r="B63" s="2505" t="s">
        <v>2893</v>
      </c>
      <c r="C63" s="2518">
        <v>1994</v>
      </c>
      <c r="D63" s="2525"/>
      <c r="E63" s="2525"/>
      <c r="F63" s="2525"/>
      <c r="G63" s="2525"/>
      <c r="H63" s="2519" t="s">
        <v>2897</v>
      </c>
    </row>
    <row r="64" spans="1:8" ht="12.75" customHeight="1">
      <c r="A64" s="2456"/>
      <c r="B64" s="2505" t="s">
        <v>2895</v>
      </c>
      <c r="C64" s="2518">
        <v>1997</v>
      </c>
      <c r="D64" s="2525"/>
      <c r="E64" s="2525"/>
      <c r="F64" s="2525"/>
      <c r="G64" s="2525"/>
      <c r="H64" s="2519" t="s">
        <v>1305</v>
      </c>
    </row>
    <row r="65" spans="1:8" ht="12.75" customHeight="1">
      <c r="A65" s="2456"/>
      <c r="B65" s="2505" t="s">
        <v>4415</v>
      </c>
      <c r="C65" s="2518">
        <v>2007</v>
      </c>
      <c r="D65" s="2525"/>
      <c r="E65" s="2525"/>
      <c r="F65" s="2525"/>
      <c r="G65" s="2525"/>
      <c r="H65" s="2519"/>
    </row>
    <row r="66" spans="1:8" ht="12.75" customHeight="1">
      <c r="A66" s="2456" t="s">
        <v>2166</v>
      </c>
      <c r="B66" s="2505"/>
      <c r="C66" s="2518"/>
      <c r="D66" s="2525"/>
      <c r="E66" s="2525"/>
      <c r="F66" s="2525"/>
      <c r="G66" s="2525"/>
      <c r="H66" s="2519"/>
    </row>
    <row r="67" spans="1:8" ht="12.75" customHeight="1">
      <c r="A67" s="2456" t="s">
        <v>973</v>
      </c>
      <c r="B67" s="2505" t="s">
        <v>2893</v>
      </c>
      <c r="C67" s="2518">
        <v>1994</v>
      </c>
      <c r="D67" s="2525"/>
      <c r="E67" s="2525"/>
      <c r="F67" s="2525"/>
      <c r="G67" s="2525"/>
      <c r="H67" s="2519" t="s">
        <v>2897</v>
      </c>
    </row>
    <row r="68" spans="1:8" ht="12.75" customHeight="1">
      <c r="A68" s="2456"/>
      <c r="B68" s="2505" t="s">
        <v>2895</v>
      </c>
      <c r="C68" s="2518">
        <v>1997</v>
      </c>
      <c r="D68" s="2525"/>
      <c r="E68" s="2525"/>
      <c r="F68" s="2525"/>
      <c r="G68" s="2525"/>
      <c r="H68" s="2519" t="s">
        <v>1305</v>
      </c>
    </row>
    <row r="69" spans="1:8" ht="12.75" customHeight="1">
      <c r="A69" s="2456"/>
      <c r="B69" s="2505" t="s">
        <v>4416</v>
      </c>
      <c r="C69" s="2518">
        <v>2007</v>
      </c>
      <c r="D69" s="2525"/>
      <c r="E69" s="2525"/>
      <c r="F69" s="2525"/>
      <c r="G69" s="2525"/>
      <c r="H69" s="2519"/>
    </row>
    <row r="70" spans="1:8" ht="12.75" customHeight="1">
      <c r="A70" s="2456"/>
      <c r="B70" s="2505"/>
      <c r="C70" s="2518"/>
      <c r="D70" s="2525"/>
      <c r="E70" s="2525"/>
      <c r="F70" s="2525"/>
      <c r="G70" s="2525"/>
      <c r="H70" s="2519"/>
    </row>
    <row r="71" spans="1:8" ht="12.75" customHeight="1">
      <c r="A71" s="2517" t="s">
        <v>4377</v>
      </c>
      <c r="B71" s="2505"/>
      <c r="C71" s="2518"/>
      <c r="D71" s="2525"/>
      <c r="E71" s="2525"/>
      <c r="F71" s="2525"/>
      <c r="G71" s="2525"/>
      <c r="H71" s="2519"/>
    </row>
    <row r="72" spans="1:8" ht="12.75" customHeight="1">
      <c r="A72" s="2456"/>
      <c r="B72" s="2505"/>
      <c r="C72" s="2518"/>
      <c r="D72" s="2525"/>
      <c r="E72" s="2525"/>
      <c r="F72" s="2525"/>
      <c r="G72" s="2525"/>
      <c r="H72" s="2519"/>
    </row>
    <row r="73" spans="1:8" ht="12.75" customHeight="1">
      <c r="A73" s="2456" t="s">
        <v>4378</v>
      </c>
      <c r="B73" s="2505" t="s">
        <v>2893</v>
      </c>
      <c r="C73" s="2518">
        <v>1998</v>
      </c>
      <c r="D73" s="2525"/>
      <c r="E73" s="2525"/>
      <c r="F73" s="2525"/>
      <c r="G73" s="2525"/>
      <c r="H73" s="2519" t="s">
        <v>1305</v>
      </c>
    </row>
    <row r="74" spans="1:8" ht="12.75" customHeight="1">
      <c r="A74" s="2456" t="s">
        <v>4653</v>
      </c>
      <c r="B74" s="2505" t="s">
        <v>4379</v>
      </c>
      <c r="C74" s="2518">
        <v>2002</v>
      </c>
      <c r="D74" s="2525"/>
      <c r="E74" s="2525"/>
      <c r="F74" s="2525"/>
      <c r="G74" s="2525"/>
      <c r="H74" s="2519"/>
    </row>
    <row r="75" spans="1:8" ht="12.75" customHeight="1">
      <c r="A75" s="2456" t="s">
        <v>4372</v>
      </c>
      <c r="B75" s="2505" t="s">
        <v>2893</v>
      </c>
      <c r="C75" s="2518">
        <v>1973</v>
      </c>
      <c r="D75" s="2525"/>
      <c r="E75" s="2525"/>
      <c r="F75" s="2525"/>
      <c r="G75" s="2525"/>
      <c r="H75" s="2519" t="s">
        <v>1305</v>
      </c>
    </row>
    <row r="76" spans="1:8" ht="12.75" customHeight="1">
      <c r="A76" s="2456" t="s">
        <v>85</v>
      </c>
      <c r="B76" s="2505" t="s">
        <v>1518</v>
      </c>
      <c r="C76" s="2518">
        <v>1991</v>
      </c>
      <c r="D76" s="2525"/>
      <c r="E76" s="2525"/>
      <c r="F76" s="2525"/>
      <c r="G76" s="2525"/>
      <c r="H76" s="2519" t="s">
        <v>1305</v>
      </c>
    </row>
    <row r="77" spans="1:8" ht="12.75" customHeight="1">
      <c r="A77" s="2456"/>
      <c r="B77" s="2505" t="s">
        <v>1527</v>
      </c>
      <c r="C77" s="2518">
        <v>1994</v>
      </c>
      <c r="D77" s="2525"/>
      <c r="E77" s="2525"/>
      <c r="F77" s="2525"/>
      <c r="G77" s="2525"/>
      <c r="H77" s="2519"/>
    </row>
    <row r="78" spans="1:8" ht="12.75" customHeight="1">
      <c r="A78" s="2456"/>
      <c r="B78" s="2505" t="s">
        <v>1396</v>
      </c>
      <c r="C78" s="2518">
        <v>1959</v>
      </c>
      <c r="D78" s="2525">
        <v>2</v>
      </c>
      <c r="E78" s="2525">
        <v>569.14</v>
      </c>
      <c r="F78" s="2525">
        <v>14</v>
      </c>
      <c r="G78" s="2527">
        <v>60000</v>
      </c>
      <c r="H78" s="2519"/>
    </row>
    <row r="79" spans="1:8" ht="12.75" customHeight="1">
      <c r="A79" s="2456" t="s">
        <v>84</v>
      </c>
      <c r="B79" s="2505" t="s">
        <v>1518</v>
      </c>
      <c r="C79" s="2518">
        <v>2002</v>
      </c>
      <c r="D79" s="2525"/>
      <c r="E79" s="2525"/>
      <c r="F79" s="2525"/>
      <c r="G79" s="2527"/>
      <c r="H79" s="2519" t="s">
        <v>1305</v>
      </c>
    </row>
    <row r="80" spans="1:8" ht="12.75" customHeight="1">
      <c r="A80" s="2456"/>
      <c r="B80" s="2505" t="s">
        <v>1527</v>
      </c>
      <c r="C80" s="2518"/>
      <c r="D80" s="2525"/>
      <c r="E80" s="2525"/>
      <c r="F80" s="2525"/>
      <c r="G80" s="2527"/>
      <c r="H80" s="2519"/>
    </row>
    <row r="81" spans="1:8" ht="12.75" customHeight="1">
      <c r="A81" s="2456"/>
      <c r="B81" s="2505" t="s">
        <v>1396</v>
      </c>
      <c r="C81" s="2518">
        <v>1964</v>
      </c>
      <c r="D81" s="2525">
        <v>2</v>
      </c>
      <c r="E81" s="2525">
        <v>569.14</v>
      </c>
      <c r="F81" s="2525">
        <v>14</v>
      </c>
      <c r="G81" s="2527">
        <v>60000</v>
      </c>
      <c r="H81" s="2519"/>
    </row>
    <row r="82" spans="1:8" ht="12.75" customHeight="1">
      <c r="A82" s="2456"/>
      <c r="B82" s="2505" t="s">
        <v>4380</v>
      </c>
      <c r="C82" s="2518">
        <v>1999</v>
      </c>
      <c r="D82" s="2525"/>
      <c r="E82" s="2525"/>
      <c r="F82" s="2525"/>
      <c r="G82" s="2525"/>
      <c r="H82" s="2519"/>
    </row>
    <row r="83" spans="1:8" ht="12.75" customHeight="1">
      <c r="A83" s="2456" t="s">
        <v>87</v>
      </c>
      <c r="B83" s="2505" t="s">
        <v>1518</v>
      </c>
      <c r="C83" s="2518">
        <v>2002</v>
      </c>
      <c r="D83" s="2525"/>
      <c r="E83" s="2525"/>
      <c r="F83" s="2525"/>
      <c r="G83" s="2525"/>
      <c r="H83" s="2519" t="s">
        <v>1305</v>
      </c>
    </row>
    <row r="84" spans="1:8" ht="12.75" customHeight="1">
      <c r="A84" s="2456"/>
      <c r="B84" s="2505" t="s">
        <v>1527</v>
      </c>
      <c r="C84" s="2518">
        <v>1996</v>
      </c>
      <c r="D84" s="2525"/>
      <c r="E84" s="2525"/>
      <c r="F84" s="2525"/>
      <c r="G84" s="2525"/>
      <c r="H84" s="2519"/>
    </row>
    <row r="85" spans="1:8" ht="12.75" customHeight="1">
      <c r="A85" s="2456"/>
      <c r="B85" s="2505" t="s">
        <v>4381</v>
      </c>
      <c r="C85" s="2518">
        <v>2005</v>
      </c>
      <c r="D85" s="2525"/>
      <c r="E85" s="2525"/>
      <c r="F85" s="2525"/>
      <c r="G85" s="2525"/>
      <c r="H85" s="2519"/>
    </row>
    <row r="86" spans="1:8" ht="12.75" customHeight="1">
      <c r="A86" s="2456"/>
      <c r="B86" s="2505"/>
      <c r="C86" s="2518"/>
      <c r="D86" s="2525"/>
      <c r="E86" s="2525"/>
      <c r="F86" s="2525"/>
      <c r="G86" s="2525"/>
      <c r="H86" s="2519"/>
    </row>
    <row r="87" spans="1:8" ht="12.75" customHeight="1">
      <c r="A87" s="2477" t="s">
        <v>2212</v>
      </c>
      <c r="B87" s="2505"/>
      <c r="C87" s="2518"/>
      <c r="D87" s="2525"/>
      <c r="E87" s="2478"/>
      <c r="F87" s="2525"/>
      <c r="G87" s="2527"/>
      <c r="H87" s="2519"/>
    </row>
    <row r="88" spans="1:8" ht="12.75" customHeight="1">
      <c r="A88" s="2456" t="s">
        <v>2429</v>
      </c>
      <c r="B88" s="2505"/>
      <c r="C88" s="2518"/>
      <c r="D88" s="2525"/>
      <c r="E88" s="2525"/>
      <c r="F88" s="2525"/>
      <c r="G88" s="2525"/>
      <c r="H88" s="2519"/>
    </row>
    <row r="89" spans="1:8" ht="12.75" customHeight="1">
      <c r="A89" s="2456" t="s">
        <v>1241</v>
      </c>
      <c r="B89" s="2505"/>
      <c r="C89" s="2518"/>
      <c r="D89" s="2525"/>
      <c r="E89" s="2525"/>
      <c r="F89" s="2525"/>
      <c r="G89" s="2525"/>
      <c r="H89" s="2519"/>
    </row>
    <row r="90" spans="1:8" ht="12.75" customHeight="1">
      <c r="A90" s="2456" t="s">
        <v>4654</v>
      </c>
      <c r="B90" s="2505" t="s">
        <v>1397</v>
      </c>
      <c r="C90" s="2518"/>
      <c r="D90" s="2525"/>
      <c r="E90" s="2525"/>
      <c r="F90" s="2525"/>
      <c r="G90" s="2525"/>
      <c r="H90" s="2519"/>
    </row>
    <row r="91" spans="1:8" ht="12.75" customHeight="1">
      <c r="A91" s="2456" t="s">
        <v>168</v>
      </c>
      <c r="B91" s="2505"/>
      <c r="C91" s="2518"/>
      <c r="D91" s="2525"/>
      <c r="E91" s="2525"/>
      <c r="F91" s="2525"/>
      <c r="G91" s="2525"/>
      <c r="H91" s="2519"/>
    </row>
    <row r="92" spans="1:8" ht="12.75" customHeight="1">
      <c r="A92" s="2456" t="s">
        <v>169</v>
      </c>
      <c r="B92" s="2505"/>
      <c r="C92" s="2518"/>
      <c r="D92" s="2525"/>
      <c r="E92" s="2525"/>
      <c r="F92" s="2525"/>
      <c r="G92" s="2525"/>
      <c r="H92" s="2519"/>
    </row>
    <row r="93" spans="1:8" ht="12.75" customHeight="1">
      <c r="A93" s="2456" t="s">
        <v>4911</v>
      </c>
      <c r="B93" s="2505"/>
      <c r="C93" s="2518"/>
      <c r="D93" s="2525"/>
      <c r="E93" s="2525"/>
      <c r="F93" s="2525"/>
      <c r="G93" s="2525"/>
      <c r="H93" s="2519"/>
    </row>
    <row r="94" spans="1:8" ht="12.75" customHeight="1">
      <c r="A94" s="2456" t="s">
        <v>4912</v>
      </c>
      <c r="B94" s="2505"/>
      <c r="C94" s="2518"/>
      <c r="D94" s="2525"/>
      <c r="E94" s="2525"/>
      <c r="F94" s="2525"/>
      <c r="G94" s="2525"/>
      <c r="H94" s="2519"/>
    </row>
    <row r="95" spans="1:8" ht="12.75" customHeight="1">
      <c r="A95" s="2477"/>
      <c r="B95" s="2505"/>
      <c r="C95" s="2518"/>
      <c r="D95" s="2525"/>
      <c r="E95" s="2525"/>
      <c r="F95" s="2525"/>
      <c r="G95" s="2525"/>
      <c r="H95" s="2519"/>
    </row>
    <row r="96" spans="1:8" ht="4.5" customHeight="1" thickBot="1">
      <c r="A96" s="1871"/>
      <c r="B96" s="1872"/>
      <c r="C96" s="1872"/>
      <c r="D96" s="1872"/>
      <c r="E96" s="1873"/>
      <c r="F96" s="1873"/>
      <c r="G96" s="1873"/>
      <c r="H96" s="1441"/>
    </row>
    <row r="97" spans="1:8" ht="12.75" customHeight="1">
      <c r="A97" s="1981" t="s">
        <v>544</v>
      </c>
      <c r="B97" s="1355"/>
      <c r="C97" s="1443"/>
      <c r="D97" s="1443"/>
      <c r="E97" s="1443"/>
      <c r="F97" s="1443"/>
      <c r="G97" s="1443"/>
      <c r="H97" s="1440"/>
    </row>
    <row r="98" spans="1:8" ht="12.75" customHeight="1">
      <c r="A98" s="1442" t="s">
        <v>654</v>
      </c>
      <c r="B98" s="1365"/>
      <c r="C98" s="1398"/>
      <c r="D98" s="1444"/>
      <c r="E98" s="1443"/>
      <c r="F98" s="1443"/>
      <c r="G98" s="1443"/>
      <c r="H98" s="1353"/>
    </row>
    <row r="99" spans="1:8" ht="12.75" hidden="1" customHeight="1">
      <c r="B99" s="931"/>
      <c r="C99" s="1445"/>
      <c r="D99" s="1393"/>
      <c r="E99" s="1393"/>
      <c r="F99" s="1393"/>
      <c r="G99" s="1393"/>
      <c r="H99" s="1445"/>
    </row>
    <row r="100" spans="1:8" ht="12.75" hidden="1" customHeight="1">
      <c r="B100" s="931"/>
      <c r="C100" s="1445"/>
      <c r="D100" s="1393"/>
      <c r="E100" s="1393"/>
      <c r="F100" s="1393"/>
      <c r="G100" s="1393"/>
      <c r="H100" s="1445"/>
    </row>
    <row r="101" spans="1:8" ht="12.75" hidden="1" customHeight="1">
      <c r="B101" s="931"/>
      <c r="C101" s="1445"/>
      <c r="D101" s="1393"/>
      <c r="E101" s="1393"/>
      <c r="F101" s="1393"/>
      <c r="G101" s="1393"/>
      <c r="H101" s="1445"/>
    </row>
    <row r="102" spans="1:8" ht="12.75" hidden="1" customHeight="1"/>
    <row r="103" spans="1:8" ht="12.75" customHeight="1">
      <c r="A103" s="4"/>
      <c r="B103" s="4"/>
      <c r="C103" s="4"/>
      <c r="D103" s="4"/>
      <c r="E103" s="4"/>
      <c r="F103" s="4"/>
      <c r="G103" s="4"/>
      <c r="H103" s="4"/>
    </row>
    <row r="104" spans="1:8" ht="12.75" customHeight="1"/>
    <row r="105" spans="1:8" ht="12.75" customHeight="1"/>
    <row r="106" spans="1:8" ht="12.75" customHeight="1"/>
    <row r="107" spans="1:8" ht="12.75" customHeight="1"/>
    <row r="108" spans="1:8" ht="12.75" customHeight="1"/>
    <row r="109" spans="1:8" ht="12.75" customHeight="1"/>
    <row r="110" spans="1:8" ht="12.75" customHeight="1"/>
    <row r="111" spans="1:8" ht="12.75" customHeight="1"/>
    <row r="112" spans="1:8"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sheetData>
  <phoneticPr fontId="0" type="noConversion"/>
  <printOptions horizontalCentered="1"/>
  <pageMargins left="0.55000000000000004" right="0.05" top="0.45" bottom="0" header="0" footer="0"/>
  <pageSetup scale="62"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H319"/>
  <sheetViews>
    <sheetView zoomScaleNormal="100" workbookViewId="0">
      <pane ySplit="11" topLeftCell="A26" activePane="bottomLeft" state="frozen"/>
      <selection activeCell="S32" sqref="S32"/>
      <selection pane="bottomLeft" activeCell="A40" sqref="A40"/>
    </sheetView>
  </sheetViews>
  <sheetFormatPr defaultRowHeight="15"/>
  <cols>
    <col min="1" max="1" width="22.109375" customWidth="1"/>
    <col min="2" max="2" width="14.77734375" bestFit="1" customWidth="1"/>
    <col min="3" max="3" width="11.109375" customWidth="1"/>
    <col min="4" max="4" width="11.33203125" bestFit="1" customWidth="1"/>
    <col min="5" max="6" width="10.21875" bestFit="1" customWidth="1"/>
    <col min="7" max="7" width="9.88671875" bestFit="1" customWidth="1"/>
    <col min="8" max="8" width="14.88671875" bestFit="1" customWidth="1"/>
  </cols>
  <sheetData>
    <row r="1" spans="1:8" ht="13.35" customHeight="1" thickBot="1">
      <c r="A1" s="1221" t="str">
        <f>'Data sheet'!A61</f>
        <v>Annual Report of Veolia Water New York, Inc.                                                                       Year Ended  December 31, 2023</v>
      </c>
      <c r="B1" s="86"/>
      <c r="C1" s="86"/>
      <c r="D1" s="86"/>
      <c r="E1" s="86"/>
      <c r="F1" s="86"/>
      <c r="G1" s="86"/>
      <c r="H1" s="86"/>
    </row>
    <row r="2" spans="1:8" ht="12.75" customHeight="1">
      <c r="A2" s="2496" t="s">
        <v>3399</v>
      </c>
      <c r="B2" s="2497"/>
      <c r="C2" s="2497"/>
      <c r="D2" s="2497"/>
      <c r="E2" s="2497"/>
      <c r="F2" s="2497"/>
      <c r="G2" s="2497"/>
      <c r="H2" s="2498"/>
    </row>
    <row r="3" spans="1:8" ht="9.75" customHeight="1">
      <c r="A3" s="2499"/>
      <c r="B3" s="2500"/>
      <c r="C3" s="2501"/>
      <c r="D3" s="2502"/>
      <c r="E3" s="2500"/>
      <c r="F3" s="2500"/>
      <c r="G3" s="2500"/>
      <c r="H3" s="2503"/>
    </row>
    <row r="4" spans="1:8" ht="9.75" customHeight="1">
      <c r="A4" s="2504"/>
      <c r="B4" s="2505"/>
      <c r="C4" s="2505"/>
      <c r="D4" s="2505"/>
      <c r="E4" s="2505"/>
      <c r="F4" s="2505"/>
      <c r="G4" s="2505"/>
      <c r="H4" s="2506"/>
    </row>
    <row r="5" spans="1:8" ht="10.5" customHeight="1">
      <c r="A5" s="2504"/>
      <c r="B5" s="2505"/>
      <c r="C5" s="2505"/>
      <c r="D5" s="2505"/>
      <c r="E5" s="2505"/>
      <c r="F5" s="2505"/>
      <c r="G5" s="2505"/>
      <c r="H5" s="2506"/>
    </row>
    <row r="6" spans="1:8" ht="12.75" customHeight="1">
      <c r="A6" s="2504"/>
      <c r="B6" s="2505"/>
      <c r="C6" s="2505"/>
      <c r="D6" s="2505"/>
      <c r="E6" s="2505"/>
      <c r="F6" s="2505"/>
      <c r="G6" s="2505"/>
      <c r="H6" s="2506"/>
    </row>
    <row r="7" spans="1:8" ht="12.75" customHeight="1">
      <c r="A7" s="2507"/>
      <c r="B7" s="2508"/>
      <c r="C7" s="2508"/>
      <c r="D7" s="2508"/>
      <c r="E7" s="2508"/>
      <c r="F7" s="2508"/>
      <c r="G7" s="2508"/>
      <c r="H7" s="2509"/>
    </row>
    <row r="8" spans="1:8" ht="12.75" customHeight="1">
      <c r="A8" s="2510" t="s">
        <v>3055</v>
      </c>
      <c r="B8" s="2511" t="s">
        <v>2570</v>
      </c>
      <c r="C8" s="2512" t="s">
        <v>1552</v>
      </c>
      <c r="D8" s="2512" t="s">
        <v>390</v>
      </c>
      <c r="E8" s="2512" t="s">
        <v>1551</v>
      </c>
      <c r="F8" s="2512" t="s">
        <v>391</v>
      </c>
      <c r="G8" s="2512" t="s">
        <v>392</v>
      </c>
      <c r="H8" s="2513" t="s">
        <v>393</v>
      </c>
    </row>
    <row r="9" spans="1:8" ht="12.75" customHeight="1">
      <c r="A9" s="2510" t="s">
        <v>2185</v>
      </c>
      <c r="B9" s="2512"/>
      <c r="C9" s="2512" t="s">
        <v>394</v>
      </c>
      <c r="D9" s="2512" t="s">
        <v>395</v>
      </c>
      <c r="E9" s="2512" t="s">
        <v>395</v>
      </c>
      <c r="F9" s="2512" t="s">
        <v>395</v>
      </c>
      <c r="G9" s="2512" t="s">
        <v>396</v>
      </c>
      <c r="H9" s="2513"/>
    </row>
    <row r="10" spans="1:8" ht="12.75" customHeight="1">
      <c r="A10" s="2510" t="s">
        <v>1843</v>
      </c>
      <c r="B10" s="2512"/>
      <c r="C10" s="2512" t="s">
        <v>1844</v>
      </c>
      <c r="D10" s="2512"/>
      <c r="E10" s="2512" t="s">
        <v>1845</v>
      </c>
      <c r="F10" s="2512" t="s">
        <v>3068</v>
      </c>
      <c r="G10" s="2512" t="s">
        <v>1846</v>
      </c>
      <c r="H10" s="2506"/>
    </row>
    <row r="11" spans="1:8" ht="12.75" customHeight="1">
      <c r="A11" s="2514" t="s">
        <v>3279</v>
      </c>
      <c r="B11" s="2515" t="s">
        <v>1611</v>
      </c>
      <c r="C11" s="2515" t="s">
        <v>1612</v>
      </c>
      <c r="D11" s="2515" t="s">
        <v>1613</v>
      </c>
      <c r="E11" s="2515" t="s">
        <v>721</v>
      </c>
      <c r="F11" s="2515" t="s">
        <v>722</v>
      </c>
      <c r="G11" s="2515" t="s">
        <v>723</v>
      </c>
      <c r="H11" s="2516" t="s">
        <v>335</v>
      </c>
    </row>
    <row r="12" spans="1:8" ht="12.75" customHeight="1" thickBot="1">
      <c r="A12" s="2708" t="s">
        <v>5175</v>
      </c>
      <c r="B12" s="2505"/>
      <c r="C12" s="2518"/>
      <c r="D12" s="2518"/>
      <c r="E12" s="2518"/>
      <c r="F12" s="2518"/>
      <c r="G12" s="2518"/>
      <c r="H12" s="2519"/>
    </row>
    <row r="13" spans="1:8" ht="12.75" customHeight="1">
      <c r="A13" s="2504" t="s">
        <v>5176</v>
      </c>
      <c r="B13" s="2505" t="s">
        <v>1518</v>
      </c>
      <c r="C13" s="2518" t="s">
        <v>3379</v>
      </c>
      <c r="D13" s="2518"/>
      <c r="E13" s="2518"/>
      <c r="F13" s="2518"/>
      <c r="G13" s="2518"/>
      <c r="H13" s="2519" t="s">
        <v>1305</v>
      </c>
    </row>
    <row r="14" spans="1:8" ht="12.75" customHeight="1">
      <c r="A14" s="2520"/>
      <c r="B14" s="2505" t="s">
        <v>4959</v>
      </c>
      <c r="C14" s="2518" t="s">
        <v>3379</v>
      </c>
      <c r="D14" s="2518"/>
      <c r="E14" s="2518"/>
      <c r="F14" s="2518"/>
      <c r="G14" s="2518"/>
      <c r="H14" s="2519" t="s">
        <v>1305</v>
      </c>
    </row>
    <row r="15" spans="1:8" ht="12.75" customHeight="1">
      <c r="A15" s="2521"/>
      <c r="B15" s="2505" t="s">
        <v>1527</v>
      </c>
      <c r="C15" s="2518" t="s">
        <v>3379</v>
      </c>
      <c r="D15" s="2518"/>
      <c r="E15" s="2518"/>
      <c r="F15" s="2518"/>
      <c r="G15" s="2518"/>
      <c r="H15" s="2519" t="s">
        <v>1305</v>
      </c>
    </row>
    <row r="16" spans="1:8" ht="12.75" customHeight="1">
      <c r="A16" s="2707" t="s">
        <v>5177</v>
      </c>
      <c r="B16" s="2505" t="s">
        <v>1518</v>
      </c>
      <c r="C16" s="2518" t="s">
        <v>3379</v>
      </c>
      <c r="D16" s="2518"/>
      <c r="E16" s="2518"/>
      <c r="F16" s="2518"/>
      <c r="G16" s="2518"/>
      <c r="H16" s="2519" t="s">
        <v>1305</v>
      </c>
    </row>
    <row r="17" spans="1:8" ht="12.75" customHeight="1">
      <c r="A17" s="2521" t="s">
        <v>5178</v>
      </c>
      <c r="B17" s="2505" t="s">
        <v>1518</v>
      </c>
      <c r="C17" s="2518" t="s">
        <v>3379</v>
      </c>
      <c r="D17" s="2518"/>
      <c r="E17" s="2518"/>
      <c r="F17" s="2518"/>
      <c r="G17" s="2518"/>
      <c r="H17" s="2519" t="s">
        <v>1305</v>
      </c>
    </row>
    <row r="18" spans="1:8" ht="12.75" customHeight="1">
      <c r="A18" s="2521" t="s">
        <v>5179</v>
      </c>
      <c r="B18" s="2505" t="s">
        <v>1518</v>
      </c>
      <c r="C18" s="2518" t="s">
        <v>3379</v>
      </c>
      <c r="D18" s="2518"/>
      <c r="E18" s="2518"/>
      <c r="F18" s="2518"/>
      <c r="G18" s="2518"/>
      <c r="H18" s="2519" t="s">
        <v>1305</v>
      </c>
    </row>
    <row r="19" spans="1:8" ht="12.75" customHeight="1">
      <c r="A19" s="2521" t="s">
        <v>5180</v>
      </c>
      <c r="B19" s="2505" t="s">
        <v>1518</v>
      </c>
      <c r="C19" s="2518" t="s">
        <v>3379</v>
      </c>
      <c r="D19" s="2518"/>
      <c r="E19" s="2518"/>
      <c r="F19" s="2518"/>
      <c r="G19" s="2518"/>
      <c r="H19" s="2519" t="s">
        <v>1305</v>
      </c>
    </row>
    <row r="20" spans="1:8" ht="12.75" customHeight="1">
      <c r="A20" s="2573" t="s">
        <v>5181</v>
      </c>
      <c r="B20" s="2505" t="s">
        <v>1518</v>
      </c>
      <c r="C20" s="2518" t="s">
        <v>3379</v>
      </c>
      <c r="D20" s="2518"/>
      <c r="E20" s="2518"/>
      <c r="F20" s="2518"/>
      <c r="G20" s="2518"/>
      <c r="H20" s="2519" t="s">
        <v>1305</v>
      </c>
    </row>
    <row r="21" spans="1:8" ht="12.75" customHeight="1">
      <c r="A21" s="2521" t="s">
        <v>5182</v>
      </c>
      <c r="B21" s="2505" t="s">
        <v>1518</v>
      </c>
      <c r="C21" s="2518" t="s">
        <v>3379</v>
      </c>
      <c r="D21" s="2518"/>
      <c r="E21" s="2518"/>
      <c r="F21" s="2518"/>
      <c r="G21" s="2518"/>
      <c r="H21" s="2519" t="s">
        <v>1305</v>
      </c>
    </row>
    <row r="22" spans="1:8" ht="12.75" customHeight="1">
      <c r="A22" s="2521"/>
      <c r="B22" s="2505" t="s">
        <v>1527</v>
      </c>
      <c r="C22" s="2518">
        <v>2020</v>
      </c>
      <c r="D22" s="2518"/>
      <c r="E22" s="2518"/>
      <c r="F22" s="2518"/>
      <c r="G22" s="2518"/>
      <c r="H22" s="2519" t="s">
        <v>1305</v>
      </c>
    </row>
    <row r="23" spans="1:8" ht="12.75" customHeight="1">
      <c r="A23" s="2521"/>
      <c r="B23" s="2505"/>
      <c r="C23" s="2518"/>
      <c r="D23" s="2518"/>
      <c r="E23" s="2518"/>
      <c r="F23" s="2518"/>
      <c r="G23" s="2518"/>
      <c r="H23" s="2519"/>
    </row>
    <row r="24" spans="1:8" ht="12.75" customHeight="1" thickBot="1">
      <c r="A24" s="2709" t="s">
        <v>5183</v>
      </c>
      <c r="B24" s="2505"/>
      <c r="C24" s="2518"/>
      <c r="D24" s="2518"/>
      <c r="E24" s="2518"/>
      <c r="F24" s="2518"/>
      <c r="G24" s="2518"/>
      <c r="H24" s="2519"/>
    </row>
    <row r="25" spans="1:8" ht="12.75" customHeight="1">
      <c r="A25" s="2573" t="s">
        <v>5184</v>
      </c>
      <c r="B25" s="2505" t="s">
        <v>1518</v>
      </c>
      <c r="C25" s="2518" t="s">
        <v>3379</v>
      </c>
      <c r="D25" s="2518"/>
      <c r="E25" s="2518"/>
      <c r="F25" s="2518"/>
      <c r="G25" s="2518"/>
      <c r="H25" s="2519" t="s">
        <v>1305</v>
      </c>
    </row>
    <row r="26" spans="1:8" ht="12.75" customHeight="1">
      <c r="A26" s="2573" t="s">
        <v>5185</v>
      </c>
      <c r="B26" s="2505" t="s">
        <v>1518</v>
      </c>
      <c r="C26" s="2518" t="s">
        <v>3379</v>
      </c>
      <c r="D26" s="2518"/>
      <c r="E26" s="2518"/>
      <c r="F26" s="2518"/>
      <c r="G26" s="2518"/>
      <c r="H26" s="2519" t="s">
        <v>1305</v>
      </c>
    </row>
    <row r="27" spans="1:8" ht="12.75" customHeight="1">
      <c r="A27" s="2573" t="s">
        <v>5186</v>
      </c>
      <c r="B27" s="2505" t="s">
        <v>1518</v>
      </c>
      <c r="C27" s="2518" t="s">
        <v>3379</v>
      </c>
      <c r="D27" s="2518"/>
      <c r="E27" s="2518"/>
      <c r="F27" s="2518"/>
      <c r="G27" s="2518"/>
      <c r="H27" s="2519" t="s">
        <v>1305</v>
      </c>
    </row>
    <row r="28" spans="1:8" ht="12.75" customHeight="1">
      <c r="A28" s="2521"/>
      <c r="B28" s="2505" t="s">
        <v>4959</v>
      </c>
      <c r="C28" s="2518" t="s">
        <v>3379</v>
      </c>
      <c r="D28" s="2518"/>
      <c r="E28" s="2518"/>
      <c r="F28" s="2518"/>
      <c r="G28" s="2518"/>
      <c r="H28" s="2519" t="s">
        <v>1305</v>
      </c>
    </row>
    <row r="29" spans="1:8" ht="12.75" customHeight="1">
      <c r="A29" s="2573"/>
      <c r="B29" s="2505" t="s">
        <v>1527</v>
      </c>
      <c r="C29" s="2518" t="s">
        <v>3379</v>
      </c>
      <c r="D29" s="2518"/>
      <c r="E29" s="2518"/>
      <c r="F29" s="2518"/>
      <c r="G29" s="2518"/>
      <c r="H29" s="2519" t="s">
        <v>1305</v>
      </c>
    </row>
    <row r="30" spans="1:8" ht="12.75" customHeight="1">
      <c r="A30" s="2573"/>
      <c r="B30" s="2505"/>
      <c r="C30" s="2518"/>
      <c r="D30" s="2518"/>
      <c r="E30" s="2518"/>
      <c r="F30" s="2518"/>
      <c r="G30" s="2518"/>
      <c r="H30" s="2519"/>
    </row>
    <row r="31" spans="1:8" ht="12.75" customHeight="1">
      <c r="A31" s="2573"/>
      <c r="B31" s="2505"/>
      <c r="C31" s="2518"/>
      <c r="D31" s="2518"/>
      <c r="E31" s="2518"/>
      <c r="F31" s="2518"/>
      <c r="G31" s="2518"/>
      <c r="H31" s="2519"/>
    </row>
    <row r="32" spans="1:8" ht="12.75" customHeight="1" thickBot="1">
      <c r="A32" s="2709" t="s">
        <v>5187</v>
      </c>
      <c r="B32" s="2505"/>
      <c r="C32" s="2518"/>
      <c r="D32" s="2518"/>
      <c r="E32" s="2518"/>
      <c r="F32" s="2518"/>
      <c r="G32" s="2518"/>
      <c r="H32" s="2519"/>
    </row>
    <row r="33" spans="1:8" ht="12.75" customHeight="1">
      <c r="A33" s="2573" t="s">
        <v>5188</v>
      </c>
      <c r="B33" s="2505" t="s">
        <v>1518</v>
      </c>
      <c r="C33" s="2518" t="s">
        <v>3379</v>
      </c>
      <c r="D33" s="2518"/>
      <c r="E33" s="2518"/>
      <c r="F33" s="2518"/>
      <c r="G33" s="2518"/>
      <c r="H33" s="2519" t="s">
        <v>1305</v>
      </c>
    </row>
    <row r="34" spans="1:8" ht="12.75" customHeight="1">
      <c r="A34" s="2573" t="s">
        <v>5189</v>
      </c>
      <c r="B34" s="2505" t="s">
        <v>1518</v>
      </c>
      <c r="C34" s="2518" t="s">
        <v>3379</v>
      </c>
      <c r="D34" s="2518"/>
      <c r="E34" s="2518"/>
      <c r="F34" s="2518"/>
      <c r="G34" s="2518"/>
      <c r="H34" s="2519" t="s">
        <v>1305</v>
      </c>
    </row>
    <row r="35" spans="1:8" ht="12.75" customHeight="1">
      <c r="A35" s="2573"/>
      <c r="B35" s="2505"/>
      <c r="C35" s="2518"/>
      <c r="D35" s="2518"/>
      <c r="E35" s="2518"/>
      <c r="F35" s="2518"/>
      <c r="G35" s="2518"/>
      <c r="H35" s="2519"/>
    </row>
    <row r="36" spans="1:8" ht="12.75" customHeight="1" thickBot="1">
      <c r="A36" s="2710" t="s">
        <v>5190</v>
      </c>
      <c r="B36" s="2524"/>
      <c r="C36" s="2518"/>
      <c r="D36" s="2478"/>
      <c r="E36" s="2518"/>
      <c r="F36" s="2518"/>
      <c r="G36" s="2518"/>
      <c r="H36" s="2519"/>
    </row>
    <row r="37" spans="1:8" ht="12.75" customHeight="1">
      <c r="A37" s="2573" t="s">
        <v>5191</v>
      </c>
      <c r="B37" s="2505" t="s">
        <v>1518</v>
      </c>
      <c r="C37" s="2518" t="s">
        <v>3379</v>
      </c>
      <c r="D37" s="2518"/>
      <c r="E37" s="2518"/>
      <c r="F37" s="2518"/>
      <c r="G37" s="2518"/>
      <c r="H37" s="2519" t="s">
        <v>1305</v>
      </c>
    </row>
    <row r="38" spans="1:8" ht="12.75" customHeight="1">
      <c r="A38" s="2521"/>
      <c r="B38" s="2505"/>
      <c r="C38" s="2518"/>
      <c r="D38" s="2518"/>
      <c r="E38" s="2518"/>
      <c r="F38" s="2518"/>
      <c r="G38" s="2518"/>
      <c r="H38" s="2519"/>
    </row>
    <row r="39" spans="1:8" ht="12.75" customHeight="1">
      <c r="A39" s="2573"/>
      <c r="B39" s="2505"/>
      <c r="C39" s="2518"/>
      <c r="D39" s="2518"/>
      <c r="E39" s="2518"/>
      <c r="F39" s="2518"/>
      <c r="G39" s="2518"/>
      <c r="H39" s="2519"/>
    </row>
    <row r="40" spans="1:8" ht="12.75" customHeight="1" thickBot="1">
      <c r="A40" s="2710" t="s">
        <v>5434</v>
      </c>
      <c r="B40" s="2505"/>
      <c r="C40" s="2518"/>
      <c r="D40" s="2518"/>
      <c r="E40" s="2518"/>
      <c r="F40" s="2518"/>
      <c r="G40" s="2518"/>
      <c r="H40" s="2519"/>
    </row>
    <row r="41" spans="1:8" ht="12.75" customHeight="1">
      <c r="A41" s="2573" t="s">
        <v>5435</v>
      </c>
      <c r="B41" s="2505" t="s">
        <v>1518</v>
      </c>
      <c r="C41" s="2518" t="s">
        <v>3379</v>
      </c>
      <c r="D41" s="2518"/>
      <c r="E41" s="2518"/>
      <c r="F41" s="2518"/>
      <c r="G41" s="2518"/>
      <c r="H41" s="2519" t="s">
        <v>1305</v>
      </c>
    </row>
    <row r="42" spans="1:8" ht="12.75" customHeight="1">
      <c r="A42" s="2573" t="s">
        <v>5436</v>
      </c>
      <c r="B42" s="2505" t="s">
        <v>1518</v>
      </c>
      <c r="C42" s="2518" t="s">
        <v>3379</v>
      </c>
      <c r="D42" s="2518"/>
      <c r="E42" s="2518"/>
      <c r="F42" s="2518"/>
      <c r="G42" s="2518"/>
      <c r="H42" s="2519" t="s">
        <v>1305</v>
      </c>
    </row>
    <row r="43" spans="1:8" ht="12.75" customHeight="1">
      <c r="A43" s="2573" t="s">
        <v>5437</v>
      </c>
      <c r="B43" s="2505" t="s">
        <v>1518</v>
      </c>
      <c r="C43" s="2518" t="s">
        <v>3379</v>
      </c>
      <c r="D43" s="2518"/>
      <c r="E43" s="2518"/>
      <c r="F43" s="2518"/>
      <c r="G43" s="2518"/>
      <c r="H43" s="2519" t="s">
        <v>1305</v>
      </c>
    </row>
    <row r="44" spans="1:8" ht="12.75" customHeight="1">
      <c r="A44" s="2573"/>
      <c r="B44" s="2505"/>
      <c r="C44" s="2518"/>
      <c r="D44" s="2518"/>
      <c r="E44" s="2518"/>
      <c r="F44" s="2518"/>
      <c r="G44" s="2518"/>
      <c r="H44" s="2519"/>
    </row>
    <row r="45" spans="1:8" ht="12.75" customHeight="1" thickBot="1">
      <c r="A45" s="2710" t="s">
        <v>5438</v>
      </c>
      <c r="B45" s="2505"/>
      <c r="C45" s="2518"/>
      <c r="D45" s="2518"/>
      <c r="E45" s="2518"/>
      <c r="F45" s="2518"/>
      <c r="G45" s="2518"/>
      <c r="H45" s="2519"/>
    </row>
    <row r="46" spans="1:8" ht="12.75" customHeight="1">
      <c r="A46" s="2573" t="s">
        <v>5439</v>
      </c>
      <c r="B46" s="2524" t="s">
        <v>1518</v>
      </c>
      <c r="C46" s="2518" t="s">
        <v>3379</v>
      </c>
      <c r="D46" s="2478"/>
      <c r="E46" s="2518"/>
      <c r="F46" s="2518"/>
      <c r="G46" s="2518"/>
      <c r="H46" s="2519" t="s">
        <v>1305</v>
      </c>
    </row>
    <row r="47" spans="1:8" ht="12.75" customHeight="1">
      <c r="A47" s="2573" t="s">
        <v>5436</v>
      </c>
      <c r="B47" s="2505" t="s">
        <v>1518</v>
      </c>
      <c r="C47" s="2518" t="s">
        <v>3379</v>
      </c>
      <c r="D47" s="2518"/>
      <c r="E47" s="2518"/>
      <c r="F47" s="2518"/>
      <c r="G47" s="2518"/>
      <c r="H47" s="2519" t="s">
        <v>1305</v>
      </c>
    </row>
    <row r="48" spans="1:8" ht="12.75" customHeight="1">
      <c r="A48" s="2521"/>
      <c r="B48" s="2505"/>
      <c r="C48" s="2518"/>
      <c r="D48" s="2478"/>
      <c r="E48" s="2478"/>
      <c r="F48" s="2478"/>
      <c r="G48" s="2478"/>
      <c r="H48" s="2519"/>
    </row>
    <row r="49" spans="1:8" ht="12.75" customHeight="1">
      <c r="A49" s="2707"/>
      <c r="B49" s="2505"/>
      <c r="C49" s="2518"/>
      <c r="D49" s="2478"/>
      <c r="E49" s="2478"/>
      <c r="F49" s="2478"/>
      <c r="G49" s="2478"/>
      <c r="H49" s="2519"/>
    </row>
    <row r="50" spans="1:8" ht="12.75" customHeight="1">
      <c r="A50" s="2456"/>
      <c r="B50" s="2505"/>
      <c r="C50" s="2518"/>
      <c r="D50" s="2525"/>
      <c r="E50" s="2525"/>
      <c r="F50" s="2525"/>
      <c r="G50" s="2525"/>
      <c r="H50" s="2519"/>
    </row>
    <row r="51" spans="1:8" ht="12.75" customHeight="1">
      <c r="A51" s="2456"/>
      <c r="B51" s="2505"/>
      <c r="C51" s="2518"/>
      <c r="D51" s="2525"/>
      <c r="E51" s="2525"/>
      <c r="F51" s="2525"/>
      <c r="G51" s="2525"/>
      <c r="H51" s="2519"/>
    </row>
    <row r="52" spans="1:8" ht="12.75" customHeight="1">
      <c r="A52" s="2456"/>
      <c r="B52" s="2524"/>
      <c r="C52" s="2518"/>
      <c r="D52" s="2525"/>
      <c r="E52" s="2525"/>
      <c r="F52" s="2525"/>
      <c r="G52" s="2525"/>
      <c r="H52" s="2519"/>
    </row>
    <row r="53" spans="1:8" ht="12.75" customHeight="1">
      <c r="A53" s="2456"/>
      <c r="B53" s="2505"/>
      <c r="C53" s="2518"/>
      <c r="D53" s="2525"/>
      <c r="E53" s="2525"/>
      <c r="F53" s="2525"/>
      <c r="G53" s="2525"/>
      <c r="H53" s="2519"/>
    </row>
    <row r="54" spans="1:8" ht="12.75" customHeight="1">
      <c r="A54" s="2456"/>
      <c r="B54" s="2505"/>
      <c r="C54" s="2518"/>
      <c r="D54" s="2525"/>
      <c r="E54" s="2526"/>
      <c r="F54" s="2525"/>
      <c r="G54" s="2525"/>
      <c r="H54" s="2519"/>
    </row>
    <row r="55" spans="1:8" ht="12.75" customHeight="1">
      <c r="A55" s="2456"/>
      <c r="B55" s="2505"/>
      <c r="C55" s="2518"/>
      <c r="D55" s="2525"/>
      <c r="E55" s="2525"/>
      <c r="F55" s="2525"/>
      <c r="G55" s="2525"/>
      <c r="H55" s="2519"/>
    </row>
    <row r="56" spans="1:8" ht="12.75" customHeight="1">
      <c r="A56" s="2456"/>
      <c r="B56" s="2505"/>
      <c r="C56" s="2518"/>
      <c r="D56" s="2525"/>
      <c r="E56" s="2525"/>
      <c r="F56" s="2525"/>
      <c r="G56" s="2525"/>
      <c r="H56" s="2519"/>
    </row>
    <row r="57" spans="1:8" ht="12.75" customHeight="1">
      <c r="A57" s="2456"/>
      <c r="B57" s="2505"/>
      <c r="C57" s="2518"/>
      <c r="D57" s="2525"/>
      <c r="E57" s="2525"/>
      <c r="F57" s="2525"/>
      <c r="G57" s="2525"/>
      <c r="H57" s="2519"/>
    </row>
    <row r="58" spans="1:8" ht="12.75" customHeight="1">
      <c r="A58" s="2456"/>
      <c r="B58" s="2505"/>
      <c r="C58" s="2518"/>
      <c r="D58" s="2525"/>
      <c r="E58" s="2525"/>
      <c r="F58" s="2525"/>
      <c r="G58" s="2525"/>
      <c r="H58" s="2519"/>
    </row>
    <row r="59" spans="1:8" ht="12.75" customHeight="1">
      <c r="A59" s="2456"/>
      <c r="B59" s="2505"/>
      <c r="C59" s="2518"/>
      <c r="D59" s="2525"/>
      <c r="E59" s="2525"/>
      <c r="F59" s="2525"/>
      <c r="G59" s="2525"/>
      <c r="H59" s="2519"/>
    </row>
    <row r="60" spans="1:8" ht="12.75" customHeight="1">
      <c r="A60" s="2456"/>
      <c r="B60" s="2505"/>
      <c r="C60" s="2518"/>
      <c r="D60" s="2525"/>
      <c r="E60" s="2525"/>
      <c r="F60" s="2525"/>
      <c r="G60" s="2525"/>
      <c r="H60" s="2519"/>
    </row>
    <row r="61" spans="1:8" ht="12.75" customHeight="1">
      <c r="A61" s="2456"/>
      <c r="B61" s="2505"/>
      <c r="C61" s="2518"/>
      <c r="D61" s="2525"/>
      <c r="E61" s="2525"/>
      <c r="F61" s="2525"/>
      <c r="G61" s="2525"/>
      <c r="H61" s="2519"/>
    </row>
    <row r="62" spans="1:8" ht="12.75" customHeight="1">
      <c r="A62" s="2456"/>
      <c r="B62" s="2505"/>
      <c r="C62" s="2518"/>
      <c r="D62" s="2525"/>
      <c r="E62" s="2525"/>
      <c r="F62" s="2525"/>
      <c r="G62" s="2525"/>
      <c r="H62" s="2519"/>
    </row>
    <row r="63" spans="1:8" ht="12.75" customHeight="1">
      <c r="A63" s="2520"/>
      <c r="B63" s="2505"/>
      <c r="C63" s="2518"/>
      <c r="D63" s="2525"/>
      <c r="E63" s="2525"/>
      <c r="F63" s="2525"/>
      <c r="G63" s="2525"/>
      <c r="H63" s="2519"/>
    </row>
    <row r="64" spans="1:8" ht="12.75" customHeight="1">
      <c r="A64" s="2456"/>
      <c r="B64" s="2505"/>
      <c r="C64" s="2518"/>
      <c r="D64" s="2525"/>
      <c r="E64" s="2525"/>
      <c r="F64" s="2525"/>
      <c r="G64" s="2525"/>
      <c r="H64" s="2519"/>
    </row>
    <row r="65" spans="1:8" ht="12.75" customHeight="1">
      <c r="A65" s="2456"/>
      <c r="B65" s="2505"/>
      <c r="C65" s="2518"/>
      <c r="D65" s="2525"/>
      <c r="E65" s="2525"/>
      <c r="F65" s="2525"/>
      <c r="G65" s="2525"/>
      <c r="H65" s="2519"/>
    </row>
    <row r="66" spans="1:8" ht="12.75" customHeight="1">
      <c r="A66" s="2456"/>
      <c r="B66" s="2505"/>
      <c r="C66" s="2518"/>
      <c r="D66" s="2525"/>
      <c r="E66" s="2525"/>
      <c r="F66" s="2525"/>
      <c r="G66" s="2525"/>
      <c r="H66" s="2519"/>
    </row>
    <row r="67" spans="1:8" ht="12.75" customHeight="1">
      <c r="A67" s="2456"/>
      <c r="B67" s="2505"/>
      <c r="C67" s="2518"/>
      <c r="D67" s="2525"/>
      <c r="E67" s="2525"/>
      <c r="F67" s="2525"/>
      <c r="G67" s="2525"/>
      <c r="H67" s="2519"/>
    </row>
    <row r="68" spans="1:8" ht="12.75" customHeight="1">
      <c r="A68" s="2456"/>
      <c r="B68" s="2505"/>
      <c r="C68" s="2518"/>
      <c r="D68" s="2525"/>
      <c r="E68" s="2525"/>
      <c r="F68" s="2525"/>
      <c r="G68" s="2525"/>
      <c r="H68" s="2519"/>
    </row>
    <row r="69" spans="1:8" ht="12.75" customHeight="1">
      <c r="A69" s="2456"/>
      <c r="B69" s="2505"/>
      <c r="C69" s="2518"/>
      <c r="D69" s="2525"/>
      <c r="E69" s="2525"/>
      <c r="F69" s="2525"/>
      <c r="G69" s="2525"/>
      <c r="H69" s="2519"/>
    </row>
    <row r="70" spans="1:8" ht="12.75" customHeight="1">
      <c r="A70" s="2456"/>
      <c r="B70" s="2505"/>
      <c r="C70" s="2518"/>
      <c r="D70" s="2525"/>
      <c r="E70" s="2525"/>
      <c r="F70" s="2525"/>
      <c r="G70" s="2525"/>
      <c r="H70" s="2519"/>
    </row>
    <row r="71" spans="1:8" ht="12.75" customHeight="1">
      <c r="A71" s="2477" t="s">
        <v>2212</v>
      </c>
      <c r="B71" s="2505"/>
      <c r="C71" s="2518"/>
      <c r="D71" s="2525"/>
      <c r="E71" s="2478"/>
      <c r="F71" s="2525"/>
      <c r="G71" s="2527"/>
      <c r="H71" s="2519"/>
    </row>
    <row r="72" spans="1:8" ht="12.75" customHeight="1">
      <c r="A72" s="2456" t="s">
        <v>2429</v>
      </c>
      <c r="B72" s="2505"/>
      <c r="C72" s="2518"/>
      <c r="D72" s="2525"/>
      <c r="E72" s="2525"/>
      <c r="F72" s="2525"/>
      <c r="G72" s="2525"/>
      <c r="H72" s="2519"/>
    </row>
    <row r="73" spans="1:8" ht="12.75" customHeight="1">
      <c r="A73" s="2456" t="s">
        <v>1241</v>
      </c>
      <c r="B73" s="2505"/>
      <c r="C73" s="2518"/>
      <c r="D73" s="2525"/>
      <c r="E73" s="2525"/>
      <c r="F73" s="2525"/>
      <c r="G73" s="2525"/>
      <c r="H73" s="2519"/>
    </row>
    <row r="74" spans="1:8" ht="12.75" customHeight="1">
      <c r="A74" s="2456" t="s">
        <v>4654</v>
      </c>
      <c r="B74" s="2505" t="s">
        <v>1397</v>
      </c>
      <c r="C74" s="2518"/>
      <c r="D74" s="2525"/>
      <c r="E74" s="2525"/>
      <c r="F74" s="2525"/>
      <c r="G74" s="2525"/>
      <c r="H74" s="2519"/>
    </row>
    <row r="75" spans="1:8" ht="12.75" customHeight="1">
      <c r="A75" s="2456" t="s">
        <v>168</v>
      </c>
      <c r="B75" s="2505"/>
      <c r="C75" s="2518"/>
      <c r="D75" s="2525"/>
      <c r="E75" s="2525"/>
      <c r="F75" s="2525"/>
      <c r="G75" s="2525"/>
      <c r="H75" s="2519"/>
    </row>
    <row r="76" spans="1:8" ht="12.75" customHeight="1">
      <c r="A76" s="2456" t="s">
        <v>169</v>
      </c>
      <c r="B76" s="2505"/>
      <c r="C76" s="2518"/>
      <c r="D76" s="2525"/>
      <c r="E76" s="2525"/>
      <c r="F76" s="2525"/>
      <c r="G76" s="2525"/>
      <c r="H76" s="2519"/>
    </row>
    <row r="77" spans="1:8" ht="12.75" customHeight="1">
      <c r="A77" s="2456" t="s">
        <v>4911</v>
      </c>
      <c r="B77" s="2505"/>
      <c r="C77" s="2518"/>
      <c r="D77" s="2525"/>
      <c r="E77" s="2525"/>
      <c r="F77" s="2525"/>
      <c r="G77" s="2525"/>
      <c r="H77" s="2519"/>
    </row>
    <row r="78" spans="1:8" ht="12.75" customHeight="1">
      <c r="A78" s="2456" t="s">
        <v>4912</v>
      </c>
      <c r="B78" s="2505"/>
      <c r="C78" s="2518"/>
      <c r="D78" s="2525"/>
      <c r="E78" s="2525"/>
      <c r="F78" s="2525"/>
      <c r="G78" s="2525"/>
      <c r="H78" s="2519"/>
    </row>
    <row r="79" spans="1:8" ht="12.75" customHeight="1">
      <c r="A79" s="2477"/>
      <c r="B79" s="2505"/>
      <c r="C79" s="2518"/>
      <c r="D79" s="2525"/>
      <c r="E79" s="2525"/>
      <c r="F79" s="2525"/>
      <c r="G79" s="2525"/>
      <c r="H79" s="2519"/>
    </row>
    <row r="80" spans="1:8" ht="4.5" customHeight="1" thickBot="1">
      <c r="A80" s="1871"/>
      <c r="B80" s="1872"/>
      <c r="C80" s="1872"/>
      <c r="D80" s="1872"/>
      <c r="E80" s="1873"/>
      <c r="F80" s="1873"/>
      <c r="G80" s="1873"/>
      <c r="H80" s="1441"/>
    </row>
    <row r="81" spans="1:8" ht="12.75" customHeight="1">
      <c r="A81" s="1981" t="s">
        <v>544</v>
      </c>
      <c r="B81" s="1355"/>
      <c r="C81" s="1443"/>
      <c r="D81" s="1443"/>
      <c r="E81" s="1443"/>
      <c r="F81" s="1443"/>
      <c r="G81" s="1443"/>
      <c r="H81" s="1440"/>
    </row>
    <row r="82" spans="1:8" ht="12.75" customHeight="1">
      <c r="A82" s="1442" t="s">
        <v>1530</v>
      </c>
      <c r="B82" s="1365"/>
      <c r="C82" s="1398"/>
      <c r="D82" s="1444"/>
      <c r="E82" s="1443"/>
      <c r="F82" s="1443"/>
      <c r="G82" s="1443"/>
      <c r="H82" s="1353"/>
    </row>
    <row r="83" spans="1:8" ht="12.75" hidden="1" customHeight="1">
      <c r="B83" s="931"/>
      <c r="C83" s="1445"/>
      <c r="D83" s="1393"/>
      <c r="E83" s="1393"/>
      <c r="F83" s="1393"/>
      <c r="G83" s="1393"/>
      <c r="H83" s="1445"/>
    </row>
    <row r="84" spans="1:8" ht="12.75" hidden="1" customHeight="1">
      <c r="B84" s="931"/>
      <c r="C84" s="1445"/>
      <c r="D84" s="1393"/>
      <c r="E84" s="1393"/>
      <c r="F84" s="1393"/>
      <c r="G84" s="1393"/>
      <c r="H84" s="1445"/>
    </row>
    <row r="85" spans="1:8" ht="12.75" hidden="1" customHeight="1">
      <c r="B85" s="931"/>
      <c r="C85" s="1445"/>
      <c r="D85" s="1393"/>
      <c r="E85" s="1393"/>
      <c r="F85" s="1393"/>
      <c r="G85" s="1393"/>
      <c r="H85" s="1445"/>
    </row>
    <row r="86" spans="1:8" ht="12.75" hidden="1" customHeight="1"/>
    <row r="87" spans="1:8" ht="12.75" customHeight="1">
      <c r="A87" s="4"/>
      <c r="B87" s="4"/>
      <c r="C87" s="4"/>
      <c r="D87" s="4"/>
      <c r="E87" s="4"/>
      <c r="F87" s="4"/>
      <c r="G87" s="4"/>
      <c r="H87" s="4"/>
    </row>
    <row r="88" spans="1:8" ht="12.75" customHeight="1"/>
    <row r="89" spans="1:8" ht="12.75" customHeight="1"/>
    <row r="90" spans="1:8" ht="12.75" customHeight="1"/>
    <row r="91" spans="1:8" ht="12.75" customHeight="1"/>
    <row r="92" spans="1:8" ht="12.75" customHeight="1"/>
    <row r="93" spans="1:8" ht="12.75" customHeight="1"/>
    <row r="94" spans="1:8" ht="12.75" customHeight="1"/>
    <row r="95" spans="1:8" ht="12.75" customHeight="1"/>
    <row r="96" spans="1:8" ht="12.75" customHeight="1"/>
    <row r="97" customFormat="1" ht="12.75" customHeight="1"/>
    <row r="98" customFormat="1" ht="12.75" customHeight="1"/>
    <row r="99" customFormat="1" ht="12.75" customHeight="1"/>
    <row r="100" customFormat="1" ht="12.75" customHeight="1"/>
    <row r="101" customFormat="1" ht="12.75" customHeight="1"/>
    <row r="102" customFormat="1" ht="12.75" customHeight="1"/>
    <row r="103" customFormat="1" ht="12.75" customHeight="1"/>
    <row r="104" customFormat="1" ht="12.75" customHeight="1"/>
    <row r="105" customFormat="1" ht="12.75" customHeight="1"/>
    <row r="106" customFormat="1" ht="12.75" customHeight="1"/>
    <row r="107" customFormat="1" ht="12.75" customHeight="1"/>
    <row r="108" customFormat="1" ht="12.75" customHeight="1"/>
    <row r="109" customFormat="1" ht="12.75" customHeight="1"/>
    <row r="110" customFormat="1" ht="12.75" customHeight="1"/>
    <row r="111" customFormat="1" ht="12.75" customHeight="1"/>
    <row r="112" customFormat="1" ht="12.75" customHeight="1"/>
    <row r="113" customFormat="1" ht="12.75" customHeight="1"/>
    <row r="114" customFormat="1" ht="12.75" customHeight="1"/>
    <row r="115" customFormat="1" ht="12.75" customHeight="1"/>
    <row r="116" customFormat="1" ht="12.75" customHeight="1"/>
    <row r="117" customFormat="1" ht="12.75" customHeight="1"/>
    <row r="118" customFormat="1" ht="12.75" customHeight="1"/>
    <row r="119" customFormat="1" ht="12.75" customHeight="1"/>
    <row r="120" customFormat="1" ht="12.75" customHeight="1"/>
    <row r="121" customFormat="1" ht="12.75" customHeight="1"/>
    <row r="122" customFormat="1" ht="12.75" customHeight="1"/>
    <row r="123" customFormat="1" ht="12.75" customHeight="1"/>
    <row r="124" customFormat="1" ht="12.75" customHeight="1"/>
    <row r="125" customFormat="1" ht="12.75" customHeight="1"/>
    <row r="126" customFormat="1" ht="12.75" customHeight="1"/>
    <row r="127" customFormat="1" ht="12.75" customHeight="1"/>
    <row r="128" customFormat="1" ht="12.75" customHeight="1"/>
    <row r="129" customFormat="1" ht="12.75" customHeight="1"/>
    <row r="130" customFormat="1" ht="12.75" customHeight="1"/>
    <row r="131" customFormat="1" ht="12.75" customHeight="1"/>
    <row r="132" customFormat="1" ht="12.75" customHeight="1"/>
    <row r="133" customFormat="1" ht="12.75" customHeight="1"/>
    <row r="134" customFormat="1" ht="12.75" customHeight="1"/>
    <row r="135" customFormat="1" ht="12.75" customHeight="1"/>
    <row r="136" customFormat="1" ht="12.75" customHeight="1"/>
    <row r="137" customFormat="1" ht="12.75" customHeight="1"/>
    <row r="138" customFormat="1" ht="12.75" customHeight="1"/>
    <row r="139" customFormat="1" ht="12.75" customHeight="1"/>
    <row r="140" customFormat="1" ht="12.75" customHeight="1"/>
    <row r="141" customFormat="1" ht="12.75" customHeight="1"/>
    <row r="142" customFormat="1" ht="12.75" customHeight="1"/>
    <row r="143" customFormat="1" ht="12.75" customHeight="1"/>
    <row r="144" customFormat="1" ht="12.75" customHeight="1"/>
    <row r="145" customFormat="1" ht="12.75" customHeight="1"/>
    <row r="146" customFormat="1" ht="12.75" customHeight="1"/>
    <row r="147" customFormat="1" ht="12.75" customHeight="1"/>
    <row r="148" customFormat="1" ht="12.75" customHeight="1"/>
    <row r="149" customFormat="1" ht="12.75" customHeight="1"/>
    <row r="150" customFormat="1" ht="12.75" customHeight="1"/>
    <row r="151" customFormat="1" ht="12.75" customHeight="1"/>
    <row r="152" customFormat="1" ht="12.75" customHeight="1"/>
    <row r="153" customFormat="1" ht="12.75" customHeight="1"/>
    <row r="154" customFormat="1" ht="12.75" customHeight="1"/>
    <row r="155" customFormat="1" ht="12.75" customHeight="1"/>
    <row r="156" customFormat="1" ht="12.75" customHeight="1"/>
    <row r="157" customFormat="1" ht="12.75" customHeight="1"/>
    <row r="158" customFormat="1" ht="12.75" customHeight="1"/>
    <row r="159" customFormat="1" ht="12.75" customHeight="1"/>
    <row r="160" customFormat="1" ht="12.75" customHeight="1"/>
    <row r="161" customFormat="1" ht="12.75" customHeight="1"/>
    <row r="162" customFormat="1" ht="12.75" customHeight="1"/>
    <row r="163" customFormat="1" ht="12.75" customHeight="1"/>
    <row r="164" customFormat="1" ht="12.75" customHeight="1"/>
    <row r="165" customFormat="1" ht="12.75" customHeight="1"/>
    <row r="166" customFormat="1" ht="12.75" customHeight="1"/>
    <row r="167" customFormat="1" ht="12.75" customHeight="1"/>
    <row r="168" customFormat="1" ht="12.75" customHeight="1"/>
    <row r="169" customFormat="1" ht="12.75" customHeight="1"/>
    <row r="170" customFormat="1" ht="12.75" customHeight="1"/>
    <row r="171" customFormat="1" ht="12.75" customHeight="1"/>
    <row r="172" customFormat="1" ht="12.75" customHeight="1"/>
    <row r="173" customFormat="1" ht="12.75" customHeight="1"/>
    <row r="174" customFormat="1" ht="12.75" customHeight="1"/>
    <row r="175" customFormat="1" ht="12.75" customHeight="1"/>
    <row r="176" customFormat="1" ht="12.75" customHeight="1"/>
    <row r="177" customFormat="1" ht="12.75" customHeight="1"/>
    <row r="178" customFormat="1" ht="12.75" customHeight="1"/>
    <row r="179" customFormat="1" ht="12.75" customHeight="1"/>
    <row r="180" customFormat="1" ht="12.75" customHeight="1"/>
    <row r="181" customFormat="1" ht="12.75" customHeight="1"/>
    <row r="182" customFormat="1" ht="12.75" customHeight="1"/>
    <row r="183" customFormat="1" ht="12.75" customHeight="1"/>
    <row r="184" customFormat="1" ht="12.75" customHeight="1"/>
    <row r="185" customFormat="1" ht="12.75" customHeight="1"/>
    <row r="186" customFormat="1" ht="12.75" customHeight="1"/>
    <row r="187" customFormat="1" ht="12.75" customHeight="1"/>
    <row r="188" customFormat="1" ht="12.75" customHeight="1"/>
    <row r="189" customFormat="1" ht="12.75" customHeight="1"/>
    <row r="190" customFormat="1" ht="12.75" customHeight="1"/>
    <row r="191" customFormat="1" ht="12.75" customHeight="1"/>
    <row r="192" customFormat="1" ht="12.75" customHeight="1"/>
    <row r="193" customFormat="1" ht="12.75" customHeight="1"/>
    <row r="194" customFormat="1" ht="12.75" customHeight="1"/>
    <row r="195" customFormat="1" ht="12.75" customHeight="1"/>
    <row r="196" customFormat="1" ht="12.75" customHeight="1"/>
    <row r="197" customFormat="1" ht="12.75" customHeight="1"/>
    <row r="198" customFormat="1" ht="12.75" customHeight="1"/>
    <row r="199" customFormat="1" ht="12.75" customHeight="1"/>
    <row r="200" customFormat="1" ht="12.75" customHeight="1"/>
    <row r="201" customFormat="1" ht="12.75" customHeight="1"/>
    <row r="202" customFormat="1" ht="12.75" customHeight="1"/>
    <row r="203" customFormat="1" ht="12.75" customHeight="1"/>
    <row r="204" customFormat="1" ht="12.75" customHeight="1"/>
    <row r="205" customFormat="1" ht="12.75" customHeight="1"/>
    <row r="206" customFormat="1" ht="12.75" customHeight="1"/>
    <row r="207" customFormat="1" ht="12.75" customHeight="1"/>
    <row r="208" customFormat="1" ht="12.75" customHeight="1"/>
    <row r="209" customFormat="1" ht="12.75" customHeight="1"/>
    <row r="210" customFormat="1" ht="12.75" customHeight="1"/>
    <row r="211" customFormat="1" ht="12.75" customHeight="1"/>
    <row r="212" customFormat="1" ht="12.75" customHeight="1"/>
    <row r="213" customFormat="1" ht="12.75" customHeight="1"/>
    <row r="214" customFormat="1" ht="12.75" customHeight="1"/>
    <row r="215" customFormat="1" ht="12.75" customHeight="1"/>
    <row r="216" customFormat="1" ht="12.75" customHeight="1"/>
    <row r="217" customFormat="1" ht="12.75" customHeight="1"/>
    <row r="218" customFormat="1" ht="12.75" customHeight="1"/>
    <row r="219" customFormat="1" ht="12.75" customHeight="1"/>
    <row r="220" customFormat="1" ht="12.75" customHeight="1"/>
    <row r="221" customFormat="1" ht="12.75" customHeight="1"/>
    <row r="222" customFormat="1" ht="12.75" customHeight="1"/>
    <row r="223" customFormat="1" ht="12.75" customHeight="1"/>
    <row r="224" customFormat="1" ht="12.75" customHeight="1"/>
    <row r="225" customFormat="1" ht="12.75" customHeight="1"/>
    <row r="226" customFormat="1" ht="12.75" customHeight="1"/>
    <row r="227" customFormat="1" ht="12.75" customHeight="1"/>
    <row r="228" customFormat="1" ht="12.75" customHeight="1"/>
    <row r="229" customFormat="1" ht="12.75" customHeight="1"/>
    <row r="230" customFormat="1" ht="12.75" customHeight="1"/>
    <row r="231" customFormat="1" ht="12.75" customHeight="1"/>
    <row r="232" customFormat="1" ht="12.75" customHeight="1"/>
    <row r="233" customFormat="1" ht="12.75" customHeight="1"/>
    <row r="234" customFormat="1" ht="12.75" customHeight="1"/>
    <row r="235" customFormat="1" ht="12.75" customHeight="1"/>
    <row r="236" customFormat="1" ht="12.75" customHeight="1"/>
    <row r="237" customFormat="1" ht="12.75" customHeight="1"/>
    <row r="238" customFormat="1" ht="12.75" customHeight="1"/>
    <row r="239" customFormat="1" ht="12.75" customHeight="1"/>
    <row r="240" customFormat="1" ht="12.75" customHeight="1"/>
    <row r="241" customFormat="1" ht="12.75" customHeight="1"/>
    <row r="242" customFormat="1" ht="12.75" customHeight="1"/>
    <row r="243" customFormat="1" ht="12.75" customHeight="1"/>
    <row r="244" customFormat="1" ht="12.75" customHeight="1"/>
    <row r="245" customFormat="1" ht="12.75" customHeight="1"/>
    <row r="246" customFormat="1" ht="12.75" customHeight="1"/>
    <row r="247" customFormat="1" ht="12.75" customHeight="1"/>
    <row r="248" customFormat="1" ht="12.75" customHeight="1"/>
    <row r="249" customFormat="1" ht="12.75" customHeight="1"/>
    <row r="250" customFormat="1" ht="12.75" customHeight="1"/>
    <row r="251" customFormat="1" ht="12.75" customHeight="1"/>
    <row r="252" customFormat="1" ht="12.75" customHeight="1"/>
    <row r="253" customFormat="1" ht="12.75" customHeight="1"/>
    <row r="254" customFormat="1" ht="12.75" customHeight="1"/>
    <row r="255" customFormat="1" ht="12.75" customHeight="1"/>
    <row r="256" customFormat="1" ht="12.75" customHeight="1"/>
    <row r="257" customFormat="1" ht="12.75" customHeight="1"/>
    <row r="258" customFormat="1" ht="12.75" customHeight="1"/>
    <row r="259" customFormat="1" ht="12.75" customHeight="1"/>
    <row r="260" customFormat="1" ht="12.75" customHeight="1"/>
    <row r="261" customFormat="1" ht="12.75" customHeight="1"/>
    <row r="262" customFormat="1" ht="12.75" customHeight="1"/>
    <row r="263" customFormat="1" ht="12.75" customHeight="1"/>
    <row r="264" customFormat="1" ht="12.75" customHeight="1"/>
    <row r="265" customFormat="1" ht="12.75" customHeight="1"/>
    <row r="266" customFormat="1" ht="12.75" customHeight="1"/>
    <row r="267" customFormat="1" ht="12.75" customHeight="1"/>
    <row r="268" customFormat="1" ht="12.75" customHeight="1"/>
    <row r="269" customFormat="1" ht="12.75" customHeight="1"/>
    <row r="270" customFormat="1" ht="12.75" customHeight="1"/>
    <row r="271" customFormat="1" ht="12.75" customHeight="1"/>
    <row r="272" customFormat="1" ht="12.75" customHeight="1"/>
    <row r="273" customFormat="1" ht="12.75" customHeight="1"/>
    <row r="274" customFormat="1" ht="12.75" customHeight="1"/>
    <row r="275" customFormat="1" ht="12.75" customHeight="1"/>
    <row r="276" customFormat="1" ht="12.75" customHeight="1"/>
    <row r="277" customFormat="1" ht="12.75" customHeight="1"/>
    <row r="278" customFormat="1" ht="12.75" customHeight="1"/>
    <row r="279" customFormat="1" ht="12.75" customHeight="1"/>
    <row r="280" customFormat="1" ht="12.75" customHeight="1"/>
    <row r="281" customFormat="1" ht="12.75" customHeight="1"/>
    <row r="282" customFormat="1" ht="12.75" customHeight="1"/>
    <row r="283" customFormat="1" ht="12.75" customHeight="1"/>
    <row r="284" customFormat="1" ht="12.75" customHeight="1"/>
    <row r="285" customFormat="1" ht="12.75" customHeight="1"/>
    <row r="286" customFormat="1" ht="12.75" customHeight="1"/>
    <row r="287" customFormat="1" ht="12.75" customHeight="1"/>
    <row r="288" customFormat="1" ht="12.75" customHeight="1"/>
    <row r="289" customFormat="1" ht="12.75" customHeight="1"/>
    <row r="290" customFormat="1" ht="12.75" customHeight="1"/>
    <row r="291" customFormat="1" ht="12.75" customHeight="1"/>
    <row r="292" customFormat="1" ht="12.75" customHeight="1"/>
    <row r="293" customFormat="1" ht="12.75" customHeight="1"/>
    <row r="294" customFormat="1" ht="12.75" customHeight="1"/>
    <row r="295" customFormat="1" ht="12.75" customHeight="1"/>
    <row r="296" customFormat="1" ht="12.75" customHeight="1"/>
    <row r="297" customFormat="1" ht="12.75" customHeight="1"/>
    <row r="298" customFormat="1" ht="12.75" customHeight="1"/>
    <row r="299" customFormat="1" ht="12.75" customHeight="1"/>
    <row r="300" customFormat="1" ht="12.75" customHeight="1"/>
    <row r="301" customFormat="1" ht="12.75" customHeight="1"/>
    <row r="302" customFormat="1" ht="12.75" customHeight="1"/>
    <row r="303" customFormat="1" ht="12.75" customHeight="1"/>
    <row r="304" customFormat="1" ht="12.75" customHeight="1"/>
    <row r="305" customFormat="1" ht="12.75" customHeight="1"/>
    <row r="306" customFormat="1" ht="12.75" customHeight="1"/>
    <row r="307" customFormat="1" ht="12.75" customHeight="1"/>
    <row r="308" customFormat="1" ht="12.75" customHeight="1"/>
    <row r="309" customFormat="1" ht="12.75" customHeight="1"/>
    <row r="310" customFormat="1" ht="12.75" customHeight="1"/>
    <row r="311" customFormat="1" ht="12.75" customHeight="1"/>
    <row r="312" customFormat="1" ht="12.75" customHeight="1"/>
    <row r="313" customFormat="1" ht="12.75" customHeight="1"/>
    <row r="314" customFormat="1" ht="12.75" customHeight="1"/>
    <row r="315" customFormat="1" ht="12.75" customHeight="1"/>
    <row r="316" customFormat="1" ht="12.75" customHeight="1"/>
    <row r="317" customFormat="1" ht="12.75" customHeight="1"/>
    <row r="318" customFormat="1" ht="12.75" customHeight="1"/>
    <row r="319" customFormat="1" ht="12.75" customHeight="1"/>
  </sheetData>
  <printOptions horizontalCentered="1"/>
  <pageMargins left="0.55000000000000004" right="0.05" top="0.45" bottom="0" header="0" footer="0"/>
  <pageSetup scale="62"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06"/>
  <dimension ref="A1:I72"/>
  <sheetViews>
    <sheetView zoomScaleNormal="100" workbookViewId="0">
      <pane xSplit="1" ySplit="4" topLeftCell="B52" activePane="bottomRight" state="frozen"/>
      <selection activeCell="S32" sqref="S32"/>
      <selection pane="topRight" activeCell="S32" sqref="S32"/>
      <selection pane="bottomLeft" activeCell="S32" sqref="S32"/>
      <selection pane="bottomRight" activeCell="B69" sqref="B69"/>
    </sheetView>
  </sheetViews>
  <sheetFormatPr defaultRowHeight="15"/>
  <cols>
    <col min="1" max="1" width="34.6640625" customWidth="1"/>
    <col min="2" max="2" width="11.77734375" customWidth="1"/>
    <col min="3" max="3" width="17.6640625" bestFit="1" customWidth="1"/>
    <col min="4" max="4" width="8" customWidth="1"/>
    <col min="5" max="5" width="9.77734375" customWidth="1"/>
    <col min="6" max="6" width="10.88671875" customWidth="1"/>
  </cols>
  <sheetData>
    <row r="1" spans="1:9" ht="15.75" thickBot="1">
      <c r="A1" s="86" t="str">
        <f>'Data sheet'!A57</f>
        <v>Annual Report of Veolia Water New York, Inc.                                              Year Ended  December 31, 2023</v>
      </c>
      <c r="B1" s="86"/>
      <c r="C1" s="86"/>
      <c r="D1" s="86"/>
      <c r="E1" s="86"/>
      <c r="F1" s="86"/>
      <c r="G1" s="86"/>
      <c r="H1" s="86"/>
      <c r="I1" s="86"/>
    </row>
    <row r="2" spans="1:9">
      <c r="A2" s="1446"/>
      <c r="B2" s="1447" t="s">
        <v>655</v>
      </c>
      <c r="C2" s="1447"/>
      <c r="D2" s="1447"/>
      <c r="E2" s="1447" t="s">
        <v>2922</v>
      </c>
      <c r="F2" s="1448" t="s">
        <v>656</v>
      </c>
    </row>
    <row r="3" spans="1:9">
      <c r="A3" s="1438"/>
      <c r="B3" s="1327" t="s">
        <v>657</v>
      </c>
      <c r="C3" s="1327" t="s">
        <v>1516</v>
      </c>
      <c r="D3" s="1327" t="s">
        <v>931</v>
      </c>
      <c r="E3" s="1327" t="s">
        <v>1167</v>
      </c>
      <c r="F3" s="1439" t="s">
        <v>1517</v>
      </c>
    </row>
    <row r="4" spans="1:9">
      <c r="A4" s="1449"/>
      <c r="B4" s="1337" t="s">
        <v>1611</v>
      </c>
      <c r="C4" s="1337" t="s">
        <v>1612</v>
      </c>
      <c r="D4" s="1337" t="s">
        <v>1613</v>
      </c>
      <c r="E4" s="1337" t="s">
        <v>721</v>
      </c>
      <c r="F4" s="1450" t="s">
        <v>722</v>
      </c>
    </row>
    <row r="5" spans="1:9">
      <c r="A5" s="1657" t="s">
        <v>2872</v>
      </c>
      <c r="B5" s="1658"/>
      <c r="C5" s="1545"/>
      <c r="D5" s="1658"/>
      <c r="E5" s="1591"/>
      <c r="F5" s="2031"/>
    </row>
    <row r="6" spans="1:9">
      <c r="A6" s="1660" t="s">
        <v>4480</v>
      </c>
      <c r="B6" s="1902">
        <v>34562</v>
      </c>
      <c r="C6" s="1661" t="s">
        <v>1518</v>
      </c>
      <c r="D6" s="1662" t="s">
        <v>4481</v>
      </c>
      <c r="E6" s="1890">
        <v>457</v>
      </c>
      <c r="F6" s="2032">
        <v>457</v>
      </c>
      <c r="I6" s="2214"/>
    </row>
    <row r="7" spans="1:9">
      <c r="A7" s="1660"/>
      <c r="B7" s="1902"/>
      <c r="C7" s="1661" t="s">
        <v>1527</v>
      </c>
      <c r="D7" s="1662" t="s">
        <v>4481</v>
      </c>
      <c r="E7" s="1890">
        <v>65</v>
      </c>
      <c r="F7" s="2032">
        <v>832</v>
      </c>
      <c r="I7" s="2214"/>
    </row>
    <row r="8" spans="1:9">
      <c r="A8" s="1660" t="s">
        <v>4482</v>
      </c>
      <c r="B8" s="1902">
        <v>63575</v>
      </c>
      <c r="C8" s="1661" t="s">
        <v>1518</v>
      </c>
      <c r="D8" s="1662" t="s">
        <v>4481</v>
      </c>
      <c r="E8" s="1890">
        <v>792</v>
      </c>
      <c r="F8" s="2032">
        <v>792</v>
      </c>
      <c r="I8" s="2214"/>
    </row>
    <row r="9" spans="1:9">
      <c r="A9" s="1660"/>
      <c r="B9" s="1902"/>
      <c r="C9" s="1661" t="s">
        <v>1527</v>
      </c>
      <c r="D9" s="1662" t="s">
        <v>4481</v>
      </c>
      <c r="E9" s="1890">
        <v>70</v>
      </c>
      <c r="F9" s="2032">
        <v>896</v>
      </c>
      <c r="I9" s="2214"/>
    </row>
    <row r="10" spans="1:9">
      <c r="A10" s="1660" t="s">
        <v>3626</v>
      </c>
      <c r="B10" s="1902">
        <v>99757</v>
      </c>
      <c r="C10" s="1661" t="s">
        <v>1518</v>
      </c>
      <c r="D10" s="1662" t="s">
        <v>4481</v>
      </c>
      <c r="E10" s="1890">
        <v>905</v>
      </c>
      <c r="F10" s="2032">
        <v>905</v>
      </c>
      <c r="I10" s="2214"/>
    </row>
    <row r="11" spans="1:9">
      <c r="A11" s="1660"/>
      <c r="B11" s="1902"/>
      <c r="C11" s="1661" t="s">
        <v>1527</v>
      </c>
      <c r="D11" s="1662" t="s">
        <v>4481</v>
      </c>
      <c r="E11" s="1890">
        <v>70</v>
      </c>
      <c r="F11" s="2032">
        <v>896</v>
      </c>
      <c r="I11" s="2214"/>
    </row>
    <row r="12" spans="1:9">
      <c r="A12" s="1660" t="s">
        <v>3634</v>
      </c>
      <c r="B12" s="1906">
        <v>172518</v>
      </c>
      <c r="C12" s="1661" t="s">
        <v>1518</v>
      </c>
      <c r="D12" s="1662" t="s">
        <v>4481</v>
      </c>
      <c r="E12" s="1890">
        <v>1656</v>
      </c>
      <c r="F12" s="2032">
        <v>1656</v>
      </c>
      <c r="I12" s="2214"/>
    </row>
    <row r="13" spans="1:9">
      <c r="A13" s="1660"/>
      <c r="B13" s="1902"/>
      <c r="C13" s="1661" t="s">
        <v>1527</v>
      </c>
      <c r="D13" s="1662" t="s">
        <v>4481</v>
      </c>
      <c r="E13" s="1890">
        <v>35</v>
      </c>
      <c r="F13" s="2032">
        <v>448</v>
      </c>
      <c r="I13" s="2214"/>
    </row>
    <row r="14" spans="1:9">
      <c r="A14" s="1660" t="s">
        <v>1796</v>
      </c>
      <c r="B14" s="1902">
        <v>79942</v>
      </c>
      <c r="C14" s="1661" t="s">
        <v>1518</v>
      </c>
      <c r="D14" s="1662" t="s">
        <v>4481</v>
      </c>
      <c r="E14" s="1890">
        <v>894</v>
      </c>
      <c r="F14" s="2032">
        <v>894</v>
      </c>
      <c r="I14" s="2214"/>
    </row>
    <row r="15" spans="1:9">
      <c r="A15" s="1660"/>
      <c r="B15" s="1902"/>
      <c r="C15" s="1661" t="s">
        <v>1527</v>
      </c>
      <c r="D15" s="1662" t="s">
        <v>4481</v>
      </c>
      <c r="E15" s="1890">
        <v>89</v>
      </c>
      <c r="F15" s="2032">
        <v>1139.2</v>
      </c>
      <c r="I15" s="2214"/>
    </row>
    <row r="16" spans="1:9">
      <c r="A16" s="1660" t="s">
        <v>973</v>
      </c>
      <c r="B16" s="1902">
        <v>312270</v>
      </c>
      <c r="C16" s="1661" t="s">
        <v>1518</v>
      </c>
      <c r="D16" s="1662" t="s">
        <v>4481</v>
      </c>
      <c r="E16" s="1890">
        <v>405</v>
      </c>
      <c r="F16" s="2032">
        <v>405</v>
      </c>
      <c r="I16" s="2214"/>
    </row>
    <row r="17" spans="1:9">
      <c r="A17" s="1663"/>
      <c r="B17" s="1902"/>
      <c r="C17" s="1661" t="s">
        <v>1527</v>
      </c>
      <c r="D17" s="1662" t="s">
        <v>4481</v>
      </c>
      <c r="E17" s="1890">
        <v>135</v>
      </c>
      <c r="F17" s="2032">
        <v>1728</v>
      </c>
      <c r="I17" s="2214"/>
    </row>
    <row r="18" spans="1:9">
      <c r="A18" s="1660" t="s">
        <v>972</v>
      </c>
      <c r="B18" s="1902">
        <v>61334</v>
      </c>
      <c r="C18" s="1661" t="s">
        <v>1518</v>
      </c>
      <c r="D18" s="1662" t="s">
        <v>4481</v>
      </c>
      <c r="E18" s="1890">
        <v>1963</v>
      </c>
      <c r="F18" s="2032">
        <v>25126.400000000001</v>
      </c>
      <c r="I18" s="2214"/>
    </row>
    <row r="19" spans="1:9">
      <c r="A19" s="1660"/>
      <c r="B19" s="1902"/>
      <c r="C19" s="1661" t="s">
        <v>1527</v>
      </c>
      <c r="D19" s="1662" t="s">
        <v>4481</v>
      </c>
      <c r="E19" s="1890">
        <v>55</v>
      </c>
      <c r="F19" s="2032">
        <v>704</v>
      </c>
      <c r="I19" s="2214"/>
    </row>
    <row r="20" spans="1:9">
      <c r="A20" s="1660" t="s">
        <v>3635</v>
      </c>
      <c r="B20" s="1902">
        <v>166856</v>
      </c>
      <c r="C20" s="1661" t="s">
        <v>1518</v>
      </c>
      <c r="D20" s="1662" t="s">
        <v>4481</v>
      </c>
      <c r="E20" s="1890">
        <v>1797</v>
      </c>
      <c r="F20" s="2032">
        <v>1797</v>
      </c>
      <c r="I20" s="2214"/>
    </row>
    <row r="21" spans="1:9">
      <c r="A21" s="1660"/>
      <c r="B21" s="1902"/>
      <c r="C21" s="1661" t="s">
        <v>1527</v>
      </c>
      <c r="D21" s="1662" t="s">
        <v>4481</v>
      </c>
      <c r="E21" s="1890">
        <v>100</v>
      </c>
      <c r="F21" s="2032">
        <v>1280</v>
      </c>
      <c r="I21" s="2214"/>
    </row>
    <row r="22" spans="1:9">
      <c r="A22" s="1664" t="s">
        <v>1792</v>
      </c>
      <c r="B22" s="1906">
        <v>157779</v>
      </c>
      <c r="C22" s="1661" t="s">
        <v>1518</v>
      </c>
      <c r="D22" s="1662" t="s">
        <v>4481</v>
      </c>
      <c r="E22" s="1890">
        <v>1509</v>
      </c>
      <c r="F22" s="2032">
        <v>1509</v>
      </c>
      <c r="I22" s="2214"/>
    </row>
    <row r="23" spans="1:9">
      <c r="A23" s="1660"/>
      <c r="B23" s="1902"/>
      <c r="C23" s="1661" t="s">
        <v>1527</v>
      </c>
      <c r="D23" s="1662" t="s">
        <v>4481</v>
      </c>
      <c r="E23" s="1890">
        <v>139</v>
      </c>
      <c r="F23" s="2032">
        <v>1779.2</v>
      </c>
      <c r="I23" s="2214"/>
    </row>
    <row r="24" spans="1:9">
      <c r="A24" s="1660" t="s">
        <v>3636</v>
      </c>
      <c r="B24" s="1902">
        <v>27895</v>
      </c>
      <c r="C24" s="1661" t="s">
        <v>1518</v>
      </c>
      <c r="D24" s="1662" t="s">
        <v>4481</v>
      </c>
      <c r="E24" s="1890">
        <v>422</v>
      </c>
      <c r="F24" s="2032">
        <v>422</v>
      </c>
      <c r="I24" s="2214"/>
    </row>
    <row r="25" spans="1:9">
      <c r="A25" s="1660"/>
      <c r="B25" s="1902"/>
      <c r="C25" s="1661" t="s">
        <v>1527</v>
      </c>
      <c r="D25" s="1662" t="s">
        <v>4481</v>
      </c>
      <c r="E25" s="1890">
        <v>90</v>
      </c>
      <c r="F25" s="2032">
        <v>1152</v>
      </c>
      <c r="I25" s="2214"/>
    </row>
    <row r="26" spans="1:9">
      <c r="A26" s="1660" t="s">
        <v>3637</v>
      </c>
      <c r="B26" s="1902">
        <v>184047</v>
      </c>
      <c r="C26" s="1661" t="s">
        <v>1518</v>
      </c>
      <c r="D26" s="1662" t="s">
        <v>4481</v>
      </c>
      <c r="E26" s="1890">
        <v>1872</v>
      </c>
      <c r="F26" s="2032">
        <v>1872</v>
      </c>
      <c r="I26" s="2214"/>
    </row>
    <row r="27" spans="1:9">
      <c r="A27" s="1660"/>
      <c r="B27" s="1902"/>
      <c r="C27" s="1661" t="s">
        <v>1527</v>
      </c>
      <c r="D27" s="1662" t="s">
        <v>4481</v>
      </c>
      <c r="E27" s="1890">
        <v>195</v>
      </c>
      <c r="F27" s="2032">
        <v>2496</v>
      </c>
      <c r="I27" s="2214"/>
    </row>
    <row r="28" spans="1:9">
      <c r="A28" s="1660" t="s">
        <v>4483</v>
      </c>
      <c r="B28" s="1906">
        <v>114023</v>
      </c>
      <c r="C28" s="1661" t="s">
        <v>1518</v>
      </c>
      <c r="D28" s="1662" t="s">
        <v>4481</v>
      </c>
      <c r="E28" s="1890">
        <v>1370</v>
      </c>
      <c r="F28" s="2032">
        <v>1370</v>
      </c>
      <c r="I28" s="2214"/>
    </row>
    <row r="29" spans="1:9">
      <c r="A29" s="1660"/>
      <c r="B29" s="1902"/>
      <c r="C29" s="1661" t="s">
        <v>1527</v>
      </c>
      <c r="D29" s="1662" t="s">
        <v>4481</v>
      </c>
      <c r="E29" s="1890">
        <v>105</v>
      </c>
      <c r="F29" s="2032">
        <v>1344</v>
      </c>
      <c r="I29" s="2214"/>
    </row>
    <row r="30" spans="1:9">
      <c r="A30" s="1664" t="s">
        <v>1793</v>
      </c>
      <c r="B30" s="1902">
        <v>0</v>
      </c>
      <c r="C30" s="1661" t="s">
        <v>1518</v>
      </c>
      <c r="D30" s="1662" t="s">
        <v>4481</v>
      </c>
      <c r="E30" s="1890">
        <v>0</v>
      </c>
      <c r="F30" s="2032">
        <v>0</v>
      </c>
      <c r="I30" s="2214"/>
    </row>
    <row r="31" spans="1:9">
      <c r="A31" s="1660"/>
      <c r="B31" s="1902"/>
      <c r="C31" s="1661" t="s">
        <v>1527</v>
      </c>
      <c r="D31" s="1662" t="s">
        <v>4481</v>
      </c>
      <c r="E31" s="1890">
        <v>0</v>
      </c>
      <c r="F31" s="2032">
        <v>0</v>
      </c>
      <c r="I31" s="2214"/>
    </row>
    <row r="32" spans="1:9">
      <c r="A32" s="1665" t="s">
        <v>4712</v>
      </c>
      <c r="B32" s="1906"/>
      <c r="C32" s="1343" t="s">
        <v>1518</v>
      </c>
      <c r="D32" s="1341" t="s">
        <v>4481</v>
      </c>
      <c r="E32" s="1890"/>
      <c r="F32" s="2032">
        <v>0</v>
      </c>
      <c r="I32" s="2214"/>
    </row>
    <row r="33" spans="1:9">
      <c r="A33" s="1665"/>
      <c r="B33" s="1907"/>
      <c r="C33" s="1343" t="s">
        <v>1527</v>
      </c>
      <c r="D33" s="1341" t="s">
        <v>4481</v>
      </c>
      <c r="E33" s="1890"/>
      <c r="F33" s="2032">
        <v>0</v>
      </c>
      <c r="I33" s="2214"/>
    </row>
    <row r="34" spans="1:9">
      <c r="A34" s="1666" t="s">
        <v>2861</v>
      </c>
      <c r="B34" s="1902"/>
      <c r="C34" s="1661"/>
      <c r="D34" s="1662"/>
      <c r="E34" s="1890"/>
      <c r="F34" s="2032"/>
      <c r="I34" s="2214"/>
    </row>
    <row r="35" spans="1:9">
      <c r="A35" s="1870"/>
      <c r="B35" s="1902"/>
      <c r="C35" s="1661"/>
      <c r="D35" s="1662"/>
      <c r="E35" s="1890"/>
      <c r="F35" s="2032"/>
      <c r="I35" s="2214"/>
    </row>
    <row r="36" spans="1:9">
      <c r="A36" s="1660" t="s">
        <v>4484</v>
      </c>
      <c r="B36" s="1902">
        <v>88281</v>
      </c>
      <c r="C36" s="1661" t="s">
        <v>1518</v>
      </c>
      <c r="D36" s="1662" t="s">
        <v>4481</v>
      </c>
      <c r="E36" s="1890">
        <v>925</v>
      </c>
      <c r="F36" s="2032">
        <v>925</v>
      </c>
      <c r="I36" s="2214"/>
    </row>
    <row r="37" spans="1:9">
      <c r="A37" s="1660"/>
      <c r="B37" s="1902"/>
      <c r="C37" s="1661" t="s">
        <v>1527</v>
      </c>
      <c r="D37" s="1662" t="s">
        <v>4481</v>
      </c>
      <c r="E37" s="1890">
        <v>113</v>
      </c>
      <c r="F37" s="2032">
        <v>1446.4</v>
      </c>
      <c r="I37" s="2214"/>
    </row>
    <row r="38" spans="1:9">
      <c r="A38" s="1870" t="s">
        <v>1770</v>
      </c>
      <c r="B38" s="1902">
        <v>0</v>
      </c>
      <c r="C38" s="1874" t="s">
        <v>1518</v>
      </c>
      <c r="D38" s="1662" t="s">
        <v>4481</v>
      </c>
      <c r="E38" s="1890">
        <v>0</v>
      </c>
      <c r="F38" s="2032">
        <v>0</v>
      </c>
      <c r="I38" s="2214"/>
    </row>
    <row r="39" spans="1:9">
      <c r="A39" s="1870"/>
      <c r="B39" s="1902"/>
      <c r="C39" s="1661" t="s">
        <v>1527</v>
      </c>
      <c r="D39" s="1662" t="s">
        <v>4481</v>
      </c>
      <c r="E39" s="1890">
        <v>0</v>
      </c>
      <c r="F39" s="2032">
        <v>0</v>
      </c>
      <c r="I39" s="2214"/>
    </row>
    <row r="40" spans="1:9">
      <c r="A40" s="1870" t="s">
        <v>1684</v>
      </c>
      <c r="B40" s="1902">
        <v>0</v>
      </c>
      <c r="C40" s="1874" t="s">
        <v>1518</v>
      </c>
      <c r="D40" s="1662" t="s">
        <v>4481</v>
      </c>
      <c r="E40" s="1890">
        <v>0</v>
      </c>
      <c r="F40" s="2032">
        <v>0</v>
      </c>
      <c r="I40" s="2214"/>
    </row>
    <row r="41" spans="1:9">
      <c r="A41" s="1870"/>
      <c r="B41" s="1902"/>
      <c r="C41" s="1661" t="s">
        <v>1527</v>
      </c>
      <c r="D41" s="1662" t="s">
        <v>4481</v>
      </c>
      <c r="E41" s="1890">
        <v>0</v>
      </c>
      <c r="F41" s="2032">
        <v>0</v>
      </c>
      <c r="I41" s="2214"/>
    </row>
    <row r="42" spans="1:9">
      <c r="A42" s="1870" t="s">
        <v>4485</v>
      </c>
      <c r="B42" s="1908">
        <v>49903</v>
      </c>
      <c r="C42" s="1874" t="s">
        <v>1518</v>
      </c>
      <c r="D42" s="1875" t="s">
        <v>4481</v>
      </c>
      <c r="E42" s="1890">
        <v>480</v>
      </c>
      <c r="F42" s="2032">
        <v>480</v>
      </c>
      <c r="I42" s="2214"/>
    </row>
    <row r="43" spans="1:9">
      <c r="A43" s="1870"/>
      <c r="B43" s="1908"/>
      <c r="C43" s="1874" t="s">
        <v>1527</v>
      </c>
      <c r="D43" s="1875" t="s">
        <v>4481</v>
      </c>
      <c r="E43" s="1890">
        <v>25</v>
      </c>
      <c r="F43" s="2032">
        <v>320</v>
      </c>
      <c r="I43" s="2214"/>
    </row>
    <row r="44" spans="1:9">
      <c r="A44" s="1870" t="s">
        <v>4287</v>
      </c>
      <c r="B44" s="1908">
        <v>116840</v>
      </c>
      <c r="C44" s="1874" t="s">
        <v>1518</v>
      </c>
      <c r="D44" s="1875" t="s">
        <v>4481</v>
      </c>
      <c r="E44" s="1890">
        <v>963</v>
      </c>
      <c r="F44" s="2032">
        <v>963</v>
      </c>
      <c r="I44" s="2214"/>
    </row>
    <row r="45" spans="1:9">
      <c r="A45" s="1870"/>
      <c r="B45" s="1908"/>
      <c r="C45" s="1874" t="s">
        <v>1527</v>
      </c>
      <c r="D45" s="1875" t="s">
        <v>4481</v>
      </c>
      <c r="E45" s="1890">
        <v>140</v>
      </c>
      <c r="F45" s="2032">
        <v>1792</v>
      </c>
      <c r="I45" s="2214"/>
    </row>
    <row r="46" spans="1:9">
      <c r="A46" s="1660" t="s">
        <v>4288</v>
      </c>
      <c r="B46" s="1902">
        <v>153008</v>
      </c>
      <c r="C46" s="1661" t="s">
        <v>1518</v>
      </c>
      <c r="D46" s="1662" t="s">
        <v>4481</v>
      </c>
      <c r="E46" s="1890">
        <v>2045</v>
      </c>
      <c r="F46" s="2032">
        <v>2045</v>
      </c>
      <c r="I46" s="2214"/>
    </row>
    <row r="47" spans="1:9">
      <c r="A47" s="1660"/>
      <c r="B47" s="1902"/>
      <c r="C47" s="1661" t="s">
        <v>1527</v>
      </c>
      <c r="D47" s="1667" t="s">
        <v>4481</v>
      </c>
      <c r="E47" s="1890">
        <v>45</v>
      </c>
      <c r="F47" s="2032">
        <v>576</v>
      </c>
      <c r="I47" s="2214"/>
    </row>
    <row r="48" spans="1:9">
      <c r="A48" s="1660" t="s">
        <v>4289</v>
      </c>
      <c r="B48" s="1902">
        <v>50622</v>
      </c>
      <c r="C48" s="1661" t="s">
        <v>1518</v>
      </c>
      <c r="D48" s="1667" t="s">
        <v>4481</v>
      </c>
      <c r="E48" s="1890">
        <v>646</v>
      </c>
      <c r="F48" s="2032">
        <v>646</v>
      </c>
      <c r="I48" s="2214"/>
    </row>
    <row r="49" spans="1:9">
      <c r="A49" s="1660"/>
      <c r="B49" s="1909"/>
      <c r="C49" s="1661" t="s">
        <v>1527</v>
      </c>
      <c r="D49" s="1668" t="s">
        <v>4481</v>
      </c>
      <c r="E49" s="1890">
        <v>110</v>
      </c>
      <c r="F49" s="2032">
        <v>1408</v>
      </c>
      <c r="I49" s="2214"/>
    </row>
    <row r="50" spans="1:9">
      <c r="A50" s="1660" t="s">
        <v>4292</v>
      </c>
      <c r="B50" s="1909">
        <v>10798</v>
      </c>
      <c r="C50" s="1661" t="s">
        <v>1518</v>
      </c>
      <c r="D50" s="1668" t="s">
        <v>4481</v>
      </c>
      <c r="E50" s="1890">
        <v>75</v>
      </c>
      <c r="F50" s="2032">
        <v>75</v>
      </c>
      <c r="I50" s="2214"/>
    </row>
    <row r="51" spans="1:9">
      <c r="A51" s="1870"/>
      <c r="B51" s="1902"/>
      <c r="C51" s="1661" t="s">
        <v>1527</v>
      </c>
      <c r="D51" s="1546" t="s">
        <v>4481</v>
      </c>
      <c r="E51" s="1890">
        <v>0</v>
      </c>
      <c r="F51" s="2032">
        <v>0</v>
      </c>
      <c r="I51" s="2214"/>
    </row>
    <row r="52" spans="1:9">
      <c r="A52" s="1870" t="s">
        <v>4293</v>
      </c>
      <c r="B52" s="1902">
        <v>155757</v>
      </c>
      <c r="C52" s="1545" t="s">
        <v>1518</v>
      </c>
      <c r="D52" s="1546" t="s">
        <v>4481</v>
      </c>
      <c r="E52" s="1890">
        <v>1283</v>
      </c>
      <c r="F52" s="2032">
        <v>1283</v>
      </c>
      <c r="I52" s="2214"/>
    </row>
    <row r="53" spans="1:9">
      <c r="A53" s="1870"/>
      <c r="B53" s="1902"/>
      <c r="C53" s="1545" t="s">
        <v>1527</v>
      </c>
      <c r="D53" s="1546" t="s">
        <v>4481</v>
      </c>
      <c r="E53" s="1890">
        <v>106</v>
      </c>
      <c r="F53" s="2032">
        <v>1356.8000000000002</v>
      </c>
      <c r="I53" s="2214"/>
    </row>
    <row r="54" spans="1:9">
      <c r="A54" s="1870" t="s">
        <v>1771</v>
      </c>
      <c r="B54" s="1902">
        <v>27531</v>
      </c>
      <c r="C54" s="1545" t="s">
        <v>1518</v>
      </c>
      <c r="D54" s="1546" t="s">
        <v>4481</v>
      </c>
      <c r="E54" s="1890">
        <v>403</v>
      </c>
      <c r="F54" s="2032">
        <v>403</v>
      </c>
      <c r="I54" s="2214"/>
    </row>
    <row r="55" spans="1:9">
      <c r="A55" s="1870"/>
      <c r="B55" s="1902"/>
      <c r="C55" s="1545" t="s">
        <v>1527</v>
      </c>
      <c r="D55" s="1546" t="s">
        <v>4481</v>
      </c>
      <c r="E55" s="1890">
        <v>40</v>
      </c>
      <c r="F55" s="2032">
        <v>512</v>
      </c>
      <c r="I55" s="2214"/>
    </row>
    <row r="56" spans="1:9">
      <c r="A56" s="1870" t="s">
        <v>4486</v>
      </c>
      <c r="B56" s="1902">
        <v>41279</v>
      </c>
      <c r="C56" s="1545" t="s">
        <v>1518</v>
      </c>
      <c r="D56" s="1546" t="s">
        <v>4481</v>
      </c>
      <c r="E56" s="1890">
        <v>110</v>
      </c>
      <c r="F56" s="2032">
        <v>1408</v>
      </c>
      <c r="I56" s="2214"/>
    </row>
    <row r="57" spans="1:9">
      <c r="A57" s="1870"/>
      <c r="B57" s="1907"/>
      <c r="C57" s="1669" t="s">
        <v>1527</v>
      </c>
      <c r="D57" s="1670" t="s">
        <v>4481</v>
      </c>
      <c r="E57" s="1891">
        <v>0</v>
      </c>
      <c r="F57" s="2032">
        <v>0</v>
      </c>
      <c r="G57" t="s">
        <v>218</v>
      </c>
      <c r="I57" s="2214"/>
    </row>
    <row r="58" spans="1:9">
      <c r="A58" s="1870" t="s">
        <v>4487</v>
      </c>
      <c r="B58" s="1908">
        <v>2099315000</v>
      </c>
      <c r="C58" s="1876" t="s">
        <v>4488</v>
      </c>
      <c r="D58" s="1877" t="s">
        <v>4489</v>
      </c>
      <c r="E58" s="1892">
        <v>257</v>
      </c>
      <c r="F58" s="2032">
        <v>118991</v>
      </c>
      <c r="I58" s="2214"/>
    </row>
    <row r="59" spans="1:9">
      <c r="A59" s="1870"/>
      <c r="B59" s="1908"/>
      <c r="C59" s="1876" t="s">
        <v>1518</v>
      </c>
      <c r="D59" s="1877" t="s">
        <v>4481</v>
      </c>
      <c r="E59" s="1892">
        <v>103740</v>
      </c>
      <c r="F59" s="2032">
        <v>103740</v>
      </c>
      <c r="I59" s="2214"/>
    </row>
    <row r="60" spans="1:9">
      <c r="A60" s="1870"/>
      <c r="B60" s="1908"/>
      <c r="C60" s="1876" t="s">
        <v>1528</v>
      </c>
      <c r="D60" s="2367" t="s">
        <v>4490</v>
      </c>
      <c r="E60" s="1892">
        <v>0</v>
      </c>
      <c r="F60" s="2033">
        <v>0</v>
      </c>
      <c r="I60" s="2214"/>
    </row>
    <row r="61" spans="1:9">
      <c r="A61" s="1870"/>
      <c r="B61" s="1908"/>
      <c r="C61" s="1876" t="s">
        <v>4491</v>
      </c>
      <c r="D61" s="1877" t="s">
        <v>4490</v>
      </c>
      <c r="E61" s="1892">
        <v>26771</v>
      </c>
      <c r="F61" s="2033">
        <v>53006.58</v>
      </c>
      <c r="I61" s="2214"/>
    </row>
    <row r="62" spans="1:9">
      <c r="A62" s="1870"/>
      <c r="B62" s="1908"/>
      <c r="C62" s="1876" t="s">
        <v>4492</v>
      </c>
      <c r="D62" s="1877" t="s">
        <v>4490</v>
      </c>
      <c r="E62" s="1892">
        <v>1054697</v>
      </c>
      <c r="F62" s="2033">
        <v>126563.64</v>
      </c>
      <c r="I62" s="2214"/>
    </row>
    <row r="63" spans="1:9">
      <c r="A63" s="1870"/>
      <c r="B63" s="1908"/>
      <c r="C63" s="1876" t="s">
        <v>1529</v>
      </c>
      <c r="D63" s="1877" t="s">
        <v>4489</v>
      </c>
      <c r="E63" s="1892">
        <v>124</v>
      </c>
      <c r="F63" s="2033">
        <v>68355</v>
      </c>
      <c r="I63" s="2214"/>
    </row>
    <row r="64" spans="1:9">
      <c r="A64" s="1870"/>
      <c r="B64" s="1908"/>
      <c r="C64" s="1876" t="s">
        <v>1527</v>
      </c>
      <c r="D64" s="1877" t="s">
        <v>4481</v>
      </c>
      <c r="E64" s="1892">
        <v>4933</v>
      </c>
      <c r="F64" s="2032">
        <v>62550.439999999995</v>
      </c>
      <c r="I64" s="2214"/>
    </row>
    <row r="65" spans="1:9">
      <c r="A65" s="1870" t="s">
        <v>4493</v>
      </c>
      <c r="B65" s="1908" t="s">
        <v>3379</v>
      </c>
      <c r="C65" s="1876" t="s">
        <v>5597</v>
      </c>
      <c r="D65" s="1877" t="s">
        <v>4490</v>
      </c>
      <c r="E65" s="1892">
        <v>60000</v>
      </c>
      <c r="F65" s="2034">
        <v>118073.2</v>
      </c>
      <c r="I65" s="2214"/>
    </row>
    <row r="66" spans="1:9" ht="15.75" thickBot="1">
      <c r="A66" s="1973"/>
      <c r="B66" s="1974"/>
      <c r="C66" s="1975" t="s">
        <v>4655</v>
      </c>
      <c r="D66" s="1974" t="s">
        <v>4481</v>
      </c>
      <c r="E66" s="2212">
        <v>13824</v>
      </c>
      <c r="F66" s="2213">
        <v>268125</v>
      </c>
      <c r="I66" s="2214"/>
    </row>
    <row r="67" spans="1:9">
      <c r="A67" s="2775" t="s">
        <v>2024</v>
      </c>
      <c r="B67" s="1690"/>
      <c r="C67" s="1690"/>
      <c r="D67" s="1690"/>
      <c r="E67" s="1690"/>
      <c r="F67" s="1960"/>
    </row>
    <row r="68" spans="1:9">
      <c r="A68" s="1960"/>
      <c r="B68" s="1671"/>
      <c r="C68" s="1443" t="s">
        <v>1531</v>
      </c>
      <c r="D68" s="1671"/>
      <c r="F68" s="1972"/>
    </row>
    <row r="69" spans="1:9">
      <c r="A69" s="1960"/>
      <c r="B69" s="1961">
        <f>SUM(B6:B64)</f>
        <v>2101483577</v>
      </c>
      <c r="C69" s="1960"/>
      <c r="D69" s="1960"/>
      <c r="E69" s="1960"/>
      <c r="F69" s="1962">
        <f>SUM(F5:F66)</f>
        <v>986943.85999999987</v>
      </c>
    </row>
    <row r="70" spans="1:9">
      <c r="A70" s="1960"/>
      <c r="B70" s="1960"/>
      <c r="C70" s="1960"/>
      <c r="D70" s="1960"/>
      <c r="E70" s="1960"/>
      <c r="F70" s="1960"/>
    </row>
    <row r="71" spans="1:9" hidden="1">
      <c r="A71" s="1960" t="s">
        <v>1738</v>
      </c>
      <c r="B71" s="1960">
        <f>SUM(B6:B70)</f>
        <v>4202967154</v>
      </c>
      <c r="C71" s="1960"/>
      <c r="D71" s="1960"/>
      <c r="E71" s="1960"/>
      <c r="F71" s="1960">
        <f>SUM(F6:F70)</f>
        <v>1973887.7199999997</v>
      </c>
    </row>
    <row r="72" spans="1:9">
      <c r="A72" s="1960"/>
      <c r="B72" s="1960"/>
      <c r="C72" s="1960"/>
      <c r="D72" s="1960"/>
      <c r="E72" s="1960"/>
      <c r="F72" s="1960"/>
      <c r="G72" s="1960"/>
    </row>
  </sheetData>
  <phoneticPr fontId="0" type="noConversion"/>
  <pageMargins left="0.5" right="0.25" top="0.5" bottom="0.25" header="0" footer="0"/>
  <pageSetup scale="73"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07"/>
  <dimension ref="A1:G73"/>
  <sheetViews>
    <sheetView zoomScaleNormal="100" workbookViewId="0">
      <pane xSplit="1" ySplit="4" topLeftCell="B40" activePane="bottomRight" state="frozen"/>
      <selection activeCell="S32" sqref="S32"/>
      <selection pane="topRight" activeCell="S32" sqref="S32"/>
      <selection pane="bottomLeft" activeCell="S32" sqref="S32"/>
      <selection pane="bottomRight" activeCell="F60" sqref="F59:F60"/>
    </sheetView>
  </sheetViews>
  <sheetFormatPr defaultRowHeight="15"/>
  <cols>
    <col min="1" max="1" width="35.33203125" customWidth="1"/>
    <col min="2" max="2" width="11.33203125" style="600" bestFit="1" customWidth="1"/>
    <col min="3" max="3" width="14.21875" bestFit="1" customWidth="1"/>
    <col min="4" max="4" width="6.21875" customWidth="1"/>
    <col min="5" max="5" width="7.77734375" bestFit="1" customWidth="1"/>
    <col min="6" max="6" width="9.88671875" style="213" bestFit="1" customWidth="1"/>
  </cols>
  <sheetData>
    <row r="1" spans="1:7" ht="15.75" thickBot="1">
      <c r="A1" s="86" t="str">
        <f>'Data sheet'!A55</f>
        <v>Annual Report of Veolia Water New York, Inc.                                  Year Ended  December 31, 2023</v>
      </c>
      <c r="B1" s="94"/>
      <c r="C1" s="86"/>
      <c r="D1" s="86"/>
      <c r="E1" s="86"/>
      <c r="F1" s="405"/>
      <c r="G1" s="86"/>
    </row>
    <row r="2" spans="1:7">
      <c r="A2" s="1446"/>
      <c r="B2" s="1451" t="s">
        <v>655</v>
      </c>
      <c r="C2" s="1452"/>
      <c r="D2" s="1447"/>
      <c r="E2" s="1447" t="s">
        <v>2922</v>
      </c>
      <c r="F2" s="2240" t="s">
        <v>656</v>
      </c>
      <c r="G2" s="938"/>
    </row>
    <row r="3" spans="1:7">
      <c r="A3" s="1438"/>
      <c r="B3" s="1327" t="s">
        <v>657</v>
      </c>
      <c r="C3" s="1327" t="s">
        <v>1516</v>
      </c>
      <c r="D3" s="1327" t="s">
        <v>931</v>
      </c>
      <c r="E3" s="1327" t="s">
        <v>1167</v>
      </c>
      <c r="F3" s="2241" t="s">
        <v>1517</v>
      </c>
      <c r="G3" s="938"/>
    </row>
    <row r="4" spans="1:7">
      <c r="A4" s="1833"/>
      <c r="B4" s="1834" t="s">
        <v>1611</v>
      </c>
      <c r="C4" s="1835" t="s">
        <v>1612</v>
      </c>
      <c r="D4" s="1834" t="s">
        <v>1613</v>
      </c>
      <c r="E4" s="1834" t="s">
        <v>721</v>
      </c>
      <c r="F4" s="2242"/>
      <c r="G4" s="938"/>
    </row>
    <row r="5" spans="1:7">
      <c r="A5" s="1657" t="s">
        <v>1649</v>
      </c>
      <c r="B5" s="1901"/>
      <c r="C5" s="1658"/>
      <c r="D5" s="1658"/>
      <c r="E5" s="1658"/>
      <c r="F5" s="2238"/>
      <c r="G5" s="1649"/>
    </row>
    <row r="6" spans="1:7">
      <c r="A6" s="1660" t="s">
        <v>4494</v>
      </c>
      <c r="B6" s="1674" t="s">
        <v>3379</v>
      </c>
      <c r="C6" s="1874" t="s">
        <v>1518</v>
      </c>
      <c r="D6" s="1662" t="s">
        <v>4481</v>
      </c>
      <c r="E6" s="1890">
        <v>0</v>
      </c>
      <c r="F6" s="2239">
        <v>0</v>
      </c>
      <c r="G6" s="1649"/>
    </row>
    <row r="7" spans="1:7">
      <c r="A7" s="1660"/>
      <c r="B7" s="1674"/>
      <c r="C7" s="1661" t="s">
        <v>1527</v>
      </c>
      <c r="D7" s="1662" t="s">
        <v>4481</v>
      </c>
      <c r="E7" s="1890">
        <v>0</v>
      </c>
      <c r="F7" s="2239">
        <v>0</v>
      </c>
      <c r="G7" s="1649"/>
    </row>
    <row r="8" spans="1:7">
      <c r="A8" s="1660" t="s">
        <v>3640</v>
      </c>
      <c r="B8" s="1902">
        <v>50326</v>
      </c>
      <c r="C8" s="1874" t="s">
        <v>1518</v>
      </c>
      <c r="D8" s="1662" t="s">
        <v>4481</v>
      </c>
      <c r="E8" s="1890">
        <v>75</v>
      </c>
      <c r="F8" s="2239">
        <v>75</v>
      </c>
      <c r="G8" s="1649"/>
    </row>
    <row r="9" spans="1:7">
      <c r="A9" s="1660"/>
      <c r="B9" s="1902"/>
      <c r="C9" s="1661" t="s">
        <v>1527</v>
      </c>
      <c r="D9" s="1662" t="s">
        <v>4481</v>
      </c>
      <c r="E9" s="1890">
        <v>0</v>
      </c>
      <c r="F9" s="2035">
        <v>0</v>
      </c>
      <c r="G9" s="1649"/>
    </row>
    <row r="10" spans="1:7">
      <c r="A10" s="1660" t="s">
        <v>4495</v>
      </c>
      <c r="B10" s="1903">
        <v>78562</v>
      </c>
      <c r="C10" s="1673" t="s">
        <v>1518</v>
      </c>
      <c r="D10" s="1662" t="s">
        <v>4481</v>
      </c>
      <c r="E10" s="1890">
        <v>1007</v>
      </c>
      <c r="F10" s="2035">
        <v>1007</v>
      </c>
      <c r="G10" s="1649"/>
    </row>
    <row r="11" spans="1:7">
      <c r="A11" s="1660"/>
      <c r="B11" s="1903"/>
      <c r="C11" s="1673" t="s">
        <v>1527</v>
      </c>
      <c r="D11" s="1662" t="s">
        <v>4481</v>
      </c>
      <c r="E11" s="1890">
        <v>65</v>
      </c>
      <c r="F11" s="2035">
        <v>824.19999999999993</v>
      </c>
      <c r="G11" s="1649"/>
    </row>
    <row r="12" spans="1:7">
      <c r="A12" s="1660" t="s">
        <v>4496</v>
      </c>
      <c r="B12" s="1903" t="s">
        <v>4411</v>
      </c>
      <c r="C12" s="1673" t="s">
        <v>1518</v>
      </c>
      <c r="D12" s="1662" t="s">
        <v>4481</v>
      </c>
      <c r="E12" s="1890">
        <v>0</v>
      </c>
      <c r="F12" s="2035" t="s">
        <v>3379</v>
      </c>
      <c r="G12" s="1649"/>
    </row>
    <row r="13" spans="1:7">
      <c r="A13" s="1660"/>
      <c r="B13" s="1903"/>
      <c r="C13" s="1673" t="s">
        <v>1527</v>
      </c>
      <c r="D13" s="1662" t="s">
        <v>4481</v>
      </c>
      <c r="E13" s="1890">
        <v>0</v>
      </c>
      <c r="F13" s="2035" t="s">
        <v>3379</v>
      </c>
      <c r="G13" s="1649"/>
    </row>
    <row r="14" spans="1:7">
      <c r="A14" s="1660" t="s">
        <v>3642</v>
      </c>
      <c r="B14" s="1903">
        <v>0</v>
      </c>
      <c r="C14" s="1673" t="s">
        <v>1518</v>
      </c>
      <c r="D14" s="1662" t="s">
        <v>4481</v>
      </c>
      <c r="E14" s="1890">
        <v>30</v>
      </c>
      <c r="F14" s="2035">
        <v>30</v>
      </c>
      <c r="G14" s="1649"/>
    </row>
    <row r="15" spans="1:7">
      <c r="A15" s="1660"/>
      <c r="B15" s="1903"/>
      <c r="C15" s="1673" t="s">
        <v>1527</v>
      </c>
      <c r="D15" s="1662" t="s">
        <v>4481</v>
      </c>
      <c r="E15" s="1890">
        <v>0</v>
      </c>
      <c r="F15" s="2035">
        <v>0</v>
      </c>
      <c r="G15" s="1649"/>
    </row>
    <row r="16" spans="1:7">
      <c r="A16" s="1660" t="s">
        <v>4497</v>
      </c>
      <c r="B16" s="1903" t="s">
        <v>4283</v>
      </c>
      <c r="C16" s="1890" t="s">
        <v>3379</v>
      </c>
      <c r="D16" s="1662" t="s">
        <v>3379</v>
      </c>
      <c r="E16" s="1963" t="s">
        <v>3379</v>
      </c>
      <c r="F16" s="2035" t="s">
        <v>3379</v>
      </c>
      <c r="G16" s="1649"/>
    </row>
    <row r="17" spans="1:7">
      <c r="A17" s="1660" t="s">
        <v>4498</v>
      </c>
      <c r="B17" s="1903">
        <v>42075</v>
      </c>
      <c r="C17" s="1673" t="s">
        <v>1518</v>
      </c>
      <c r="D17" s="1662" t="s">
        <v>4481</v>
      </c>
      <c r="E17" s="1890" t="s">
        <v>3379</v>
      </c>
      <c r="F17" s="2035" t="s">
        <v>3379</v>
      </c>
      <c r="G17" s="1649"/>
    </row>
    <row r="18" spans="1:7">
      <c r="A18" s="1660"/>
      <c r="B18" s="1903"/>
      <c r="C18" s="1673" t="s">
        <v>1527</v>
      </c>
      <c r="D18" s="1662" t="s">
        <v>4481</v>
      </c>
      <c r="E18" s="1890" t="s">
        <v>3379</v>
      </c>
      <c r="F18" s="2035" t="s">
        <v>3379</v>
      </c>
      <c r="G18" s="1649"/>
    </row>
    <row r="19" spans="1:7">
      <c r="A19" s="1660" t="s">
        <v>4499</v>
      </c>
      <c r="B19" s="1903"/>
      <c r="C19" s="1673" t="s">
        <v>1518</v>
      </c>
      <c r="D19" s="1662" t="s">
        <v>4481</v>
      </c>
      <c r="E19" s="1890">
        <v>1466</v>
      </c>
      <c r="F19" s="2035">
        <v>65</v>
      </c>
      <c r="G19" s="1649"/>
    </row>
    <row r="20" spans="1:7">
      <c r="A20" s="1660"/>
      <c r="B20" s="1903"/>
      <c r="C20" s="1673" t="s">
        <v>1527</v>
      </c>
      <c r="D20" s="1662" t="s">
        <v>4481</v>
      </c>
      <c r="E20" s="1890" t="s">
        <v>3379</v>
      </c>
      <c r="F20" s="2035" t="s">
        <v>3379</v>
      </c>
      <c r="G20" s="1649"/>
    </row>
    <row r="21" spans="1:7">
      <c r="A21" s="1657" t="s">
        <v>1778</v>
      </c>
      <c r="B21" s="1903"/>
      <c r="C21" s="1673"/>
      <c r="D21" s="1662"/>
      <c r="E21" s="1890"/>
      <c r="F21" s="2035"/>
      <c r="G21" s="1649"/>
    </row>
    <row r="22" spans="1:7">
      <c r="A22" s="1660" t="s">
        <v>4500</v>
      </c>
      <c r="B22" s="1903" t="s">
        <v>4283</v>
      </c>
      <c r="C22" s="1890" t="s">
        <v>3379</v>
      </c>
      <c r="D22" s="1662" t="s">
        <v>3379</v>
      </c>
      <c r="E22" s="1963" t="s">
        <v>3379</v>
      </c>
      <c r="F22" s="2035" t="s">
        <v>3379</v>
      </c>
      <c r="G22" s="1649"/>
    </row>
    <row r="23" spans="1:7">
      <c r="A23" s="1665" t="s">
        <v>4501</v>
      </c>
      <c r="B23" s="1904" t="s">
        <v>3379</v>
      </c>
      <c r="C23" s="1675" t="s">
        <v>1518</v>
      </c>
      <c r="D23" s="1341" t="s">
        <v>4481</v>
      </c>
      <c r="E23" s="1890" t="s">
        <v>3379</v>
      </c>
      <c r="F23" s="2035" t="s">
        <v>3379</v>
      </c>
      <c r="G23" s="1649"/>
    </row>
    <row r="24" spans="1:7">
      <c r="A24" s="1660" t="s">
        <v>4502</v>
      </c>
      <c r="B24" s="1903" t="s">
        <v>3379</v>
      </c>
      <c r="C24" s="1673" t="s">
        <v>1518</v>
      </c>
      <c r="D24" s="1662" t="s">
        <v>4481</v>
      </c>
      <c r="E24" s="1890" t="s">
        <v>3379</v>
      </c>
      <c r="F24" s="2035" t="s">
        <v>3379</v>
      </c>
      <c r="G24" s="1649"/>
    </row>
    <row r="25" spans="1:7">
      <c r="A25" s="1660"/>
      <c r="B25" s="1903"/>
      <c r="C25" s="1673"/>
      <c r="D25" s="1662"/>
      <c r="E25" s="1890"/>
      <c r="F25" s="2035"/>
      <c r="G25" s="1649"/>
    </row>
    <row r="26" spans="1:7">
      <c r="A26" s="1657" t="s">
        <v>1346</v>
      </c>
      <c r="B26" s="1903"/>
      <c r="C26" s="1673"/>
      <c r="D26" s="1662"/>
      <c r="E26" s="1890"/>
      <c r="F26" s="2035"/>
      <c r="G26" s="1649"/>
    </row>
    <row r="27" spans="1:7">
      <c r="A27" s="1660" t="s">
        <v>4503</v>
      </c>
      <c r="B27" s="1903">
        <v>0</v>
      </c>
      <c r="C27" s="1673" t="s">
        <v>1518</v>
      </c>
      <c r="D27" s="1662" t="s">
        <v>4481</v>
      </c>
      <c r="E27" s="1890">
        <v>0</v>
      </c>
      <c r="F27" s="2035" t="s">
        <v>3379</v>
      </c>
      <c r="G27" s="1649"/>
    </row>
    <row r="28" spans="1:7">
      <c r="A28" s="1660" t="s">
        <v>4504</v>
      </c>
      <c r="B28" s="1903">
        <v>0</v>
      </c>
      <c r="C28" s="1673" t="s">
        <v>1518</v>
      </c>
      <c r="D28" s="1662" t="s">
        <v>4481</v>
      </c>
      <c r="E28" s="1890">
        <v>0</v>
      </c>
      <c r="F28" s="2035" t="s">
        <v>3379</v>
      </c>
      <c r="G28" s="1649"/>
    </row>
    <row r="29" spans="1:7">
      <c r="A29" s="1660"/>
      <c r="B29" s="1903"/>
      <c r="C29" s="1673" t="s">
        <v>1527</v>
      </c>
      <c r="D29" s="1662" t="s">
        <v>4481</v>
      </c>
      <c r="E29" s="1890" t="s">
        <v>3379</v>
      </c>
      <c r="F29" s="2035" t="s">
        <v>3379</v>
      </c>
      <c r="G29" s="1649"/>
    </row>
    <row r="30" spans="1:7">
      <c r="A30" s="1660" t="s">
        <v>4505</v>
      </c>
      <c r="B30" s="1903">
        <v>0</v>
      </c>
      <c r="C30" s="1890" t="s">
        <v>3379</v>
      </c>
      <c r="D30" s="1662" t="s">
        <v>3379</v>
      </c>
      <c r="E30" s="1963" t="s">
        <v>3379</v>
      </c>
      <c r="F30" s="2035" t="s">
        <v>3379</v>
      </c>
      <c r="G30" s="1649"/>
    </row>
    <row r="31" spans="1:7">
      <c r="A31" s="1665" t="s">
        <v>4506</v>
      </c>
      <c r="B31" s="1904">
        <v>74536</v>
      </c>
      <c r="C31" s="1675" t="s">
        <v>1518</v>
      </c>
      <c r="D31" s="1341" t="s">
        <v>4481</v>
      </c>
      <c r="E31" s="1890">
        <v>819</v>
      </c>
      <c r="F31" s="2035">
        <v>819</v>
      </c>
      <c r="G31" s="1649"/>
    </row>
    <row r="32" spans="1:7">
      <c r="A32" s="1665"/>
      <c r="B32" s="1904"/>
      <c r="C32" s="1675" t="s">
        <v>1527</v>
      </c>
      <c r="D32" s="1341" t="s">
        <v>4481</v>
      </c>
      <c r="E32" s="1890">
        <v>0</v>
      </c>
      <c r="F32" s="2035">
        <v>0</v>
      </c>
      <c r="G32" s="1649"/>
    </row>
    <row r="33" spans="1:7">
      <c r="A33" s="1660"/>
      <c r="B33" s="1903"/>
      <c r="C33" s="1673"/>
      <c r="D33" s="1662"/>
      <c r="E33" s="1890"/>
      <c r="F33" s="2035"/>
      <c r="G33" s="1649"/>
    </row>
    <row r="34" spans="1:7">
      <c r="A34" s="1657"/>
      <c r="B34" s="1903"/>
      <c r="C34" s="1673"/>
      <c r="D34" s="1662"/>
      <c r="E34" s="1890"/>
      <c r="F34" s="2035"/>
      <c r="G34" s="1649"/>
    </row>
    <row r="35" spans="1:7">
      <c r="A35" s="1676" t="s">
        <v>2872</v>
      </c>
      <c r="B35" s="1903"/>
      <c r="C35" s="1673"/>
      <c r="D35" s="1662"/>
      <c r="E35" s="1890"/>
      <c r="F35" s="2035"/>
      <c r="G35" s="1649"/>
    </row>
    <row r="36" spans="1:7">
      <c r="A36" s="1660" t="s">
        <v>4507</v>
      </c>
      <c r="B36" s="1903">
        <v>471987</v>
      </c>
      <c r="C36" s="1673" t="s">
        <v>1518</v>
      </c>
      <c r="D36" s="1662" t="s">
        <v>4481</v>
      </c>
      <c r="E36" s="1890">
        <v>5777</v>
      </c>
      <c r="F36" s="2035">
        <v>358174</v>
      </c>
      <c r="G36" s="1649"/>
    </row>
    <row r="37" spans="1:7">
      <c r="A37" s="1660"/>
      <c r="B37" s="1903"/>
      <c r="C37" s="1673" t="s">
        <v>1527</v>
      </c>
      <c r="D37" s="1662" t="s">
        <v>4481</v>
      </c>
      <c r="E37" s="1890">
        <v>957</v>
      </c>
      <c r="F37" s="2035">
        <v>12134.76</v>
      </c>
      <c r="G37" s="1649"/>
    </row>
    <row r="38" spans="1:7">
      <c r="A38" s="1660"/>
      <c r="B38" s="1903"/>
      <c r="C38" s="1673"/>
      <c r="D38" s="1662"/>
      <c r="E38" s="1890"/>
      <c r="F38" s="2035"/>
      <c r="G38" s="1649"/>
    </row>
    <row r="39" spans="1:7">
      <c r="A39" s="1677" t="s">
        <v>1772</v>
      </c>
      <c r="B39" s="1903">
        <v>328964</v>
      </c>
      <c r="C39" s="1673" t="s">
        <v>1518</v>
      </c>
      <c r="D39" s="1662" t="s">
        <v>4481</v>
      </c>
      <c r="E39" s="1890">
        <v>3222</v>
      </c>
      <c r="F39" s="2035">
        <v>3222</v>
      </c>
      <c r="G39" s="1649"/>
    </row>
    <row r="40" spans="1:7">
      <c r="A40" s="1870"/>
      <c r="B40" s="1903"/>
      <c r="C40" s="1673" t="s">
        <v>1527</v>
      </c>
      <c r="D40" s="1662" t="s">
        <v>4481</v>
      </c>
      <c r="E40" s="1890">
        <v>346</v>
      </c>
      <c r="F40" s="2035">
        <v>4387.28</v>
      </c>
    </row>
    <row r="41" spans="1:7">
      <c r="A41" s="1870" t="s">
        <v>3625</v>
      </c>
      <c r="B41" s="1903">
        <v>95607</v>
      </c>
      <c r="C41" s="1673" t="s">
        <v>1518</v>
      </c>
      <c r="D41" s="1662" t="s">
        <v>4481</v>
      </c>
      <c r="E41" s="1890">
        <v>893</v>
      </c>
      <c r="F41" s="2035">
        <v>893</v>
      </c>
    </row>
    <row r="42" spans="1:7">
      <c r="A42" s="1870"/>
      <c r="B42" s="1903"/>
      <c r="C42" s="1673" t="s">
        <v>1527</v>
      </c>
      <c r="D42" s="1662" t="s">
        <v>4481</v>
      </c>
      <c r="E42" s="1890">
        <v>300</v>
      </c>
      <c r="F42" s="2035">
        <v>3804</v>
      </c>
    </row>
    <row r="43" spans="1:7">
      <c r="A43" s="1870" t="s">
        <v>1794</v>
      </c>
      <c r="B43" s="1905">
        <v>375231</v>
      </c>
      <c r="C43" s="1878" t="s">
        <v>1518</v>
      </c>
      <c r="D43" s="1875" t="s">
        <v>4481</v>
      </c>
      <c r="E43" s="1890">
        <v>4125</v>
      </c>
      <c r="F43" s="2035">
        <v>4125</v>
      </c>
    </row>
    <row r="44" spans="1:7">
      <c r="A44" s="1870"/>
      <c r="B44" s="1905"/>
      <c r="C44" s="1878" t="s">
        <v>1527</v>
      </c>
      <c r="D44" s="1875" t="s">
        <v>4481</v>
      </c>
      <c r="E44" s="1890">
        <v>238</v>
      </c>
      <c r="F44" s="2035">
        <v>3017.84</v>
      </c>
      <c r="G44" s="1649"/>
    </row>
    <row r="45" spans="1:7">
      <c r="A45" s="1870" t="s">
        <v>4508</v>
      </c>
      <c r="B45" s="1905">
        <v>402324</v>
      </c>
      <c r="C45" s="1878" t="s">
        <v>1518</v>
      </c>
      <c r="D45" s="1875" t="s">
        <v>4481</v>
      </c>
      <c r="E45" s="1890">
        <v>4350</v>
      </c>
      <c r="F45" s="2035">
        <v>4350</v>
      </c>
      <c r="G45" s="1651"/>
    </row>
    <row r="46" spans="1:7">
      <c r="A46" s="1870"/>
      <c r="B46" s="1905"/>
      <c r="C46" s="1878" t="s">
        <v>1527</v>
      </c>
      <c r="D46" s="1875" t="s">
        <v>4481</v>
      </c>
      <c r="E46" s="1890">
        <v>285</v>
      </c>
      <c r="F46" s="2035">
        <v>3613.7999999999997</v>
      </c>
      <c r="G46" s="1678"/>
    </row>
    <row r="47" spans="1:7">
      <c r="A47" s="1660" t="s">
        <v>1795</v>
      </c>
      <c r="B47" s="1903">
        <v>83270</v>
      </c>
      <c r="C47" s="1673" t="s">
        <v>1518</v>
      </c>
      <c r="D47" s="1662" t="s">
        <v>4481</v>
      </c>
      <c r="E47" s="1890">
        <v>1871</v>
      </c>
      <c r="F47" s="2035">
        <v>0</v>
      </c>
      <c r="G47" s="1678"/>
    </row>
    <row r="48" spans="1:7">
      <c r="A48" s="1660"/>
      <c r="B48" s="1903"/>
      <c r="C48" s="1667" t="s">
        <v>1527</v>
      </c>
      <c r="D48" s="1667" t="s">
        <v>4481</v>
      </c>
      <c r="E48" s="1890">
        <v>40</v>
      </c>
      <c r="F48" s="2035">
        <v>0</v>
      </c>
      <c r="G48" s="1678"/>
    </row>
    <row r="49" spans="1:7">
      <c r="A49" s="1660" t="s">
        <v>3631</v>
      </c>
      <c r="B49" s="1903">
        <v>103618</v>
      </c>
      <c r="C49" s="1667" t="s">
        <v>1518</v>
      </c>
      <c r="D49" s="1667" t="s">
        <v>4481</v>
      </c>
      <c r="E49" s="1890">
        <v>994</v>
      </c>
      <c r="F49" s="2035">
        <v>994</v>
      </c>
      <c r="G49" s="1678"/>
    </row>
    <row r="50" spans="1:7">
      <c r="A50" s="1660"/>
      <c r="B50" s="1662"/>
      <c r="C50" s="1667" t="s">
        <v>1527</v>
      </c>
      <c r="D50" s="1667" t="s">
        <v>4481</v>
      </c>
      <c r="E50" s="1890">
        <v>71</v>
      </c>
      <c r="F50" s="2035">
        <v>900.28</v>
      </c>
      <c r="G50" s="1678"/>
    </row>
    <row r="51" spans="1:7">
      <c r="A51" s="1660"/>
      <c r="B51" s="1662"/>
      <c r="C51" s="1667"/>
      <c r="D51" s="1667"/>
      <c r="E51" s="1890"/>
      <c r="F51" s="1895"/>
      <c r="G51" s="1678"/>
    </row>
    <row r="52" spans="1:7">
      <c r="A52" s="1660"/>
      <c r="B52" s="1662"/>
      <c r="C52" s="1667"/>
      <c r="D52" s="1667"/>
      <c r="E52" s="1890"/>
      <c r="F52" s="1895"/>
      <c r="G52" s="1678"/>
    </row>
    <row r="53" spans="1:7">
      <c r="A53" s="1660"/>
      <c r="B53" s="1662"/>
      <c r="C53" s="1667"/>
      <c r="D53" s="1667"/>
      <c r="E53" s="1890"/>
      <c r="F53" s="1895"/>
      <c r="G53" s="1678"/>
    </row>
    <row r="54" spans="1:7">
      <c r="A54" s="1660"/>
      <c r="B54" s="1662"/>
      <c r="C54" s="1667"/>
      <c r="D54" s="1667"/>
      <c r="E54" s="1890"/>
      <c r="F54" s="1895"/>
      <c r="G54" s="1684"/>
    </row>
    <row r="55" spans="1:7" ht="15.75" thickBot="1">
      <c r="A55" s="1685"/>
      <c r="B55" s="1898"/>
      <c r="C55" s="1686"/>
      <c r="D55" s="1687"/>
      <c r="E55" s="1686"/>
      <c r="F55" s="2243"/>
      <c r="G55" s="1651"/>
    </row>
    <row r="56" spans="1:7">
      <c r="A56" s="2775" t="s">
        <v>2024</v>
      </c>
      <c r="B56" s="1690"/>
      <c r="C56" s="1691"/>
      <c r="D56" s="1690"/>
      <c r="E56" s="1690"/>
      <c r="F56" s="2244"/>
      <c r="G56" s="1678"/>
    </row>
    <row r="57" spans="1:7">
      <c r="A57" s="1440"/>
      <c r="B57" s="1443" t="s">
        <v>4390</v>
      </c>
      <c r="D57" s="1671"/>
      <c r="E57" s="1671"/>
      <c r="F57" s="2244"/>
    </row>
    <row r="58" spans="1:7">
      <c r="B58" s="1899"/>
      <c r="C58" s="1575"/>
      <c r="D58" s="1692"/>
      <c r="E58" s="1692"/>
      <c r="F58" s="2245"/>
    </row>
    <row r="59" spans="1:7">
      <c r="B59" s="1899"/>
      <c r="C59" s="1575"/>
      <c r="D59" s="1575"/>
      <c r="E59" s="1575"/>
      <c r="F59" s="2246"/>
      <c r="G59" s="1575"/>
    </row>
    <row r="60" spans="1:7">
      <c r="A60" t="s">
        <v>1738</v>
      </c>
      <c r="B60" s="1899">
        <f>SUM(B5:B55)</f>
        <v>2106500</v>
      </c>
      <c r="C60" s="1575"/>
      <c r="D60" s="1575"/>
      <c r="E60" s="1575"/>
      <c r="F60" s="2246">
        <f>SUM(F6:F55)</f>
        <v>402436.16000000009</v>
      </c>
    </row>
    <row r="61" spans="1:7">
      <c r="B61" s="1900"/>
      <c r="C61" s="1575"/>
      <c r="D61" s="1575"/>
      <c r="E61" s="1575"/>
      <c r="F61" s="2246"/>
    </row>
    <row r="62" spans="1:7">
      <c r="B62" s="1899"/>
      <c r="C62" s="1575"/>
      <c r="D62" s="1575"/>
      <c r="E62" s="1575"/>
      <c r="F62" s="2246"/>
    </row>
    <row r="63" spans="1:7">
      <c r="B63" s="1899"/>
      <c r="C63" s="1575"/>
      <c r="D63" s="1575"/>
      <c r="E63" s="1575"/>
      <c r="F63" s="2246"/>
    </row>
    <row r="64" spans="1:7">
      <c r="B64" s="1899"/>
      <c r="C64" s="1575"/>
      <c r="D64" s="1575"/>
      <c r="E64" s="1575"/>
      <c r="F64" s="2246"/>
    </row>
    <row r="65" spans="2:6">
      <c r="B65" s="1899"/>
      <c r="C65" s="1575"/>
      <c r="D65" s="1575"/>
      <c r="E65" s="1575"/>
      <c r="F65" s="2246"/>
    </row>
    <row r="66" spans="2:6">
      <c r="B66" s="1899"/>
      <c r="C66" s="1575"/>
      <c r="D66" s="1575"/>
      <c r="E66" s="1575"/>
      <c r="F66" s="2246"/>
    </row>
    <row r="67" spans="2:6">
      <c r="B67" s="1899"/>
      <c r="C67" s="1575"/>
      <c r="D67" s="1575"/>
      <c r="E67" s="1575"/>
      <c r="F67" s="2246"/>
    </row>
    <row r="68" spans="2:6">
      <c r="B68" s="1899"/>
      <c r="C68" s="1575"/>
      <c r="D68" s="1575"/>
      <c r="E68" s="1575"/>
      <c r="F68" s="2246"/>
    </row>
    <row r="69" spans="2:6">
      <c r="B69" s="1899"/>
      <c r="C69" s="1575"/>
      <c r="D69" s="1575"/>
      <c r="E69" s="1575"/>
      <c r="F69" s="2246"/>
    </row>
    <row r="70" spans="2:6">
      <c r="B70" s="1899"/>
      <c r="C70" s="1575"/>
      <c r="D70" s="1575"/>
      <c r="E70" s="1575"/>
      <c r="F70" s="2246"/>
    </row>
    <row r="71" spans="2:6">
      <c r="B71" s="1899"/>
      <c r="C71" s="1575"/>
      <c r="D71" s="1575"/>
      <c r="E71" s="1575"/>
      <c r="F71" s="2246"/>
    </row>
    <row r="72" spans="2:6">
      <c r="B72" s="1899"/>
      <c r="C72" s="1575"/>
      <c r="D72" s="1575"/>
      <c r="E72" s="1575"/>
      <c r="F72" s="2246"/>
    </row>
    <row r="73" spans="2:6">
      <c r="B73" s="1899"/>
      <c r="C73" s="1575"/>
      <c r="D73" s="1575"/>
      <c r="E73" s="1575"/>
      <c r="F73" s="2246"/>
    </row>
  </sheetData>
  <phoneticPr fontId="0" type="noConversion"/>
  <pageMargins left="0.75" right="0.3" top="0.7" bottom="0.25" header="0" footer="0"/>
  <pageSetup scale="82"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28"/>
  <dimension ref="A1:J84"/>
  <sheetViews>
    <sheetView zoomScaleNormal="100" workbookViewId="0">
      <pane xSplit="1" ySplit="4" topLeftCell="B23" activePane="bottomRight" state="frozen"/>
      <selection activeCell="S32" sqref="S32"/>
      <selection pane="topRight" activeCell="S32" sqref="S32"/>
      <selection pane="bottomLeft" activeCell="S32" sqref="S32"/>
      <selection pane="bottomRight" activeCell="A44" sqref="A44"/>
    </sheetView>
  </sheetViews>
  <sheetFormatPr defaultRowHeight="15" outlineLevelRow="1"/>
  <cols>
    <col min="1" max="1" width="35.33203125" customWidth="1"/>
    <col min="2" max="2" width="13.5546875" style="600" bestFit="1" customWidth="1"/>
    <col min="3" max="3" width="19.5546875" bestFit="1" customWidth="1"/>
    <col min="4" max="4" width="6.21875" customWidth="1"/>
    <col min="5" max="5" width="7.77734375" bestFit="1" customWidth="1"/>
    <col min="6" max="6" width="12.33203125" bestFit="1" customWidth="1"/>
    <col min="8" max="8" width="11.88671875" bestFit="1" customWidth="1"/>
    <col min="9" max="9" width="17.21875" bestFit="1" customWidth="1"/>
    <col min="10" max="10" width="13.5546875" bestFit="1" customWidth="1"/>
    <col min="11" max="11" width="10.77734375" bestFit="1" customWidth="1"/>
    <col min="12" max="12" width="10.109375" bestFit="1" customWidth="1"/>
  </cols>
  <sheetData>
    <row r="1" spans="1:9" ht="15.75" thickBot="1">
      <c r="A1" s="86" t="str">
        <f>'Data sheet'!A57</f>
        <v>Annual Report of Veolia Water New York, Inc.                                              Year Ended  December 31, 2023</v>
      </c>
      <c r="B1" s="94"/>
      <c r="C1" s="86"/>
      <c r="D1" s="86"/>
      <c r="E1" s="86"/>
      <c r="F1" s="86"/>
      <c r="G1" s="86"/>
      <c r="H1" s="86"/>
      <c r="I1" s="86"/>
    </row>
    <row r="2" spans="1:9">
      <c r="A2" s="1446"/>
      <c r="B2" s="1451" t="s">
        <v>655</v>
      </c>
      <c r="C2" s="1452"/>
      <c r="D2" s="1447"/>
      <c r="E2" s="1447" t="s">
        <v>2922</v>
      </c>
      <c r="F2" s="1448" t="s">
        <v>656</v>
      </c>
      <c r="G2" s="938"/>
    </row>
    <row r="3" spans="1:9">
      <c r="A3" s="1438"/>
      <c r="B3" s="1327" t="s">
        <v>657</v>
      </c>
      <c r="C3" s="1327" t="s">
        <v>1516</v>
      </c>
      <c r="D3" s="1327" t="s">
        <v>931</v>
      </c>
      <c r="E3" s="1327" t="s">
        <v>1167</v>
      </c>
      <c r="F3" s="1439" t="s">
        <v>1517</v>
      </c>
      <c r="G3" s="938"/>
    </row>
    <row r="4" spans="1:9">
      <c r="A4" s="1833"/>
      <c r="B4" s="1834" t="s">
        <v>1611</v>
      </c>
      <c r="C4" s="1835" t="s">
        <v>1612</v>
      </c>
      <c r="D4" s="1834" t="s">
        <v>1613</v>
      </c>
      <c r="E4" s="1834" t="s">
        <v>721</v>
      </c>
      <c r="F4" s="1836"/>
      <c r="G4" s="938"/>
    </row>
    <row r="5" spans="1:9">
      <c r="A5" s="1660"/>
      <c r="B5" s="1546"/>
      <c r="C5" s="1658"/>
      <c r="D5" s="1658"/>
      <c r="E5" s="1658"/>
      <c r="F5" s="1672"/>
      <c r="G5" s="1649"/>
    </row>
    <row r="6" spans="1:9">
      <c r="A6" s="1657" t="s">
        <v>4382</v>
      </c>
      <c r="B6" s="1662"/>
      <c r="C6" s="1673"/>
      <c r="D6" s="1662"/>
      <c r="E6" s="1893"/>
      <c r="F6" s="1894"/>
      <c r="G6" s="1649"/>
    </row>
    <row r="7" spans="1:9">
      <c r="A7" s="1910" t="s">
        <v>4509</v>
      </c>
      <c r="B7" s="1911">
        <v>26194</v>
      </c>
      <c r="C7" s="1874" t="s">
        <v>1518</v>
      </c>
      <c r="D7" s="1662" t="s">
        <v>4481</v>
      </c>
      <c r="E7" s="1591">
        <v>1024</v>
      </c>
      <c r="F7" s="2239">
        <v>1024</v>
      </c>
      <c r="G7" s="1649"/>
    </row>
    <row r="8" spans="1:9">
      <c r="A8" s="1910"/>
      <c r="B8" s="1911"/>
      <c r="C8" s="1661" t="s">
        <v>4379</v>
      </c>
      <c r="D8" s="1662" t="s">
        <v>4510</v>
      </c>
      <c r="E8" s="1591">
        <v>2305</v>
      </c>
      <c r="F8" s="2239">
        <v>1245.8900000000001</v>
      </c>
      <c r="G8" s="1649"/>
    </row>
    <row r="9" spans="1:9">
      <c r="A9" s="1910"/>
      <c r="B9" s="1912"/>
      <c r="C9" s="1673" t="s">
        <v>4511</v>
      </c>
      <c r="D9" s="1662" t="s">
        <v>4481</v>
      </c>
      <c r="E9" s="1662">
        <v>1695</v>
      </c>
      <c r="F9" s="2239">
        <v>2345</v>
      </c>
      <c r="G9" s="1649"/>
    </row>
    <row r="10" spans="1:9">
      <c r="A10" s="1910"/>
      <c r="B10" s="1912"/>
      <c r="C10" s="1673" t="s">
        <v>4512</v>
      </c>
      <c r="D10" s="1662" t="s">
        <v>4510</v>
      </c>
      <c r="E10" s="1662">
        <v>395</v>
      </c>
      <c r="F10" s="2035">
        <v>495.36</v>
      </c>
      <c r="G10" s="1649"/>
    </row>
    <row r="11" spans="1:9">
      <c r="A11" s="1910"/>
      <c r="B11" s="1912"/>
      <c r="C11" s="1673" t="s">
        <v>4513</v>
      </c>
      <c r="D11" s="1662" t="s">
        <v>4510</v>
      </c>
      <c r="E11" s="1662">
        <v>37</v>
      </c>
      <c r="F11" s="2035">
        <v>16.170000000000002</v>
      </c>
      <c r="G11" s="1649"/>
    </row>
    <row r="12" spans="1:9">
      <c r="A12" s="1910"/>
      <c r="B12" s="1912"/>
      <c r="C12" s="1673"/>
      <c r="D12" s="1662"/>
      <c r="E12" s="1662" t="s">
        <v>4678</v>
      </c>
      <c r="F12" s="2035"/>
      <c r="G12" s="1649"/>
    </row>
    <row r="13" spans="1:9">
      <c r="A13" s="1910" t="s">
        <v>4514</v>
      </c>
      <c r="B13" s="1912">
        <v>71432</v>
      </c>
      <c r="C13" s="1874" t="s">
        <v>1518</v>
      </c>
      <c r="D13" s="1662" t="s">
        <v>4481</v>
      </c>
      <c r="E13" s="1591">
        <v>2314</v>
      </c>
      <c r="F13" s="2035">
        <v>2314</v>
      </c>
      <c r="G13" s="1649"/>
    </row>
    <row r="14" spans="1:9">
      <c r="A14" s="1910"/>
      <c r="B14" s="1912"/>
      <c r="C14" s="1661" t="s">
        <v>4379</v>
      </c>
      <c r="D14" s="1662" t="s">
        <v>4510</v>
      </c>
      <c r="E14" s="1591">
        <v>3005</v>
      </c>
      <c r="F14" s="2035">
        <v>2842</v>
      </c>
      <c r="G14" s="1649"/>
    </row>
    <row r="15" spans="1:9">
      <c r="A15" s="1910"/>
      <c r="B15" s="1912"/>
      <c r="C15" s="1673" t="s">
        <v>4511</v>
      </c>
      <c r="D15" s="1662" t="s">
        <v>4481</v>
      </c>
      <c r="E15" s="1591">
        <f>3104+5118+228+456</f>
        <v>8906</v>
      </c>
      <c r="F15" s="2035">
        <f>4283+61754.73</f>
        <v>66037.73000000001</v>
      </c>
      <c r="G15" s="1649"/>
    </row>
    <row r="16" spans="1:9">
      <c r="A16" s="1910"/>
      <c r="B16" s="1912"/>
      <c r="C16" s="1673" t="s">
        <v>4515</v>
      </c>
      <c r="D16" s="1662" t="s">
        <v>4510</v>
      </c>
      <c r="E16" s="1591">
        <f>54+520</f>
        <v>574</v>
      </c>
      <c r="F16" s="2035">
        <f>208+2853.6</f>
        <v>3061.6</v>
      </c>
      <c r="G16" s="1649"/>
    </row>
    <row r="17" spans="1:9">
      <c r="A17" s="1910"/>
      <c r="B17" s="1912"/>
      <c r="C17" s="1673" t="s">
        <v>4512</v>
      </c>
      <c r="D17" s="1662" t="s">
        <v>4510</v>
      </c>
      <c r="E17" s="1591">
        <f>602+1400</f>
        <v>2002</v>
      </c>
      <c r="F17" s="2035">
        <f>905+5229.42</f>
        <v>6134.42</v>
      </c>
      <c r="G17" s="1649"/>
    </row>
    <row r="18" spans="1:9">
      <c r="A18" s="1910"/>
      <c r="B18" s="1912"/>
      <c r="C18" s="1673"/>
      <c r="D18" s="1662"/>
      <c r="E18" s="1662"/>
      <c r="F18" s="2035"/>
      <c r="G18" s="1649"/>
    </row>
    <row r="19" spans="1:9">
      <c r="A19" s="1910" t="s">
        <v>4516</v>
      </c>
      <c r="B19" s="1912">
        <v>7248</v>
      </c>
      <c r="C19" s="1874" t="s">
        <v>1518</v>
      </c>
      <c r="D19" s="1662" t="s">
        <v>4481</v>
      </c>
      <c r="E19" s="1662">
        <v>102</v>
      </c>
      <c r="F19" s="2035">
        <v>102</v>
      </c>
      <c r="G19" s="1649"/>
    </row>
    <row r="20" spans="1:9">
      <c r="A20" s="1910"/>
      <c r="B20" s="1912"/>
      <c r="C20" s="1661" t="s">
        <v>4379</v>
      </c>
      <c r="D20" s="1662" t="s">
        <v>4510</v>
      </c>
      <c r="E20" s="1662">
        <v>85</v>
      </c>
      <c r="F20" s="2035">
        <v>105.01</v>
      </c>
      <c r="G20" s="1649"/>
    </row>
    <row r="21" spans="1:9">
      <c r="A21" s="1660"/>
      <c r="B21" s="1912"/>
      <c r="C21" s="1673" t="s">
        <v>4512</v>
      </c>
      <c r="D21" s="1662" t="s">
        <v>4510</v>
      </c>
      <c r="E21" s="1662">
        <v>168</v>
      </c>
      <c r="F21" s="2035">
        <v>394.15</v>
      </c>
      <c r="G21" s="1649"/>
    </row>
    <row r="22" spans="1:9">
      <c r="A22" s="1660"/>
      <c r="B22" s="1912"/>
      <c r="C22" s="1673" t="s">
        <v>4511</v>
      </c>
      <c r="D22" s="1662" t="s">
        <v>4481</v>
      </c>
      <c r="E22" s="1341">
        <v>45</v>
      </c>
      <c r="F22" s="2035">
        <v>205.86</v>
      </c>
      <c r="G22" s="1649"/>
    </row>
    <row r="23" spans="1:9">
      <c r="A23" s="1660"/>
      <c r="B23" s="1912"/>
      <c r="C23" s="1673"/>
      <c r="D23" s="1662"/>
      <c r="E23" s="1662"/>
      <c r="F23" s="2035"/>
      <c r="G23" s="1649"/>
    </row>
    <row r="24" spans="1:9">
      <c r="A24" s="1910"/>
      <c r="B24" s="1912"/>
      <c r="C24" s="1673"/>
      <c r="D24" s="1662"/>
      <c r="E24" s="1662"/>
      <c r="F24" s="2035"/>
      <c r="G24" s="1649"/>
    </row>
    <row r="25" spans="1:9">
      <c r="A25" s="1910" t="s">
        <v>4517</v>
      </c>
      <c r="B25" s="1903" t="s">
        <v>4465</v>
      </c>
      <c r="C25" s="1874" t="s">
        <v>1518</v>
      </c>
      <c r="D25" s="1662" t="s">
        <v>4481</v>
      </c>
      <c r="E25" s="1662" t="s">
        <v>4465</v>
      </c>
      <c r="F25" s="2035" t="s">
        <v>4465</v>
      </c>
      <c r="G25" s="1649"/>
    </row>
    <row r="26" spans="1:9">
      <c r="A26" s="1910"/>
      <c r="B26" s="1912"/>
      <c r="C26" s="1661" t="s">
        <v>4379</v>
      </c>
      <c r="D26" s="1662" t="s">
        <v>4510</v>
      </c>
      <c r="E26" s="1662" t="s">
        <v>4465</v>
      </c>
      <c r="F26" s="2035" t="s">
        <v>4465</v>
      </c>
      <c r="G26" s="1649"/>
    </row>
    <row r="27" spans="1:9">
      <c r="A27" s="1910"/>
      <c r="B27" s="1912"/>
      <c r="C27" s="1673"/>
      <c r="D27" s="1662"/>
      <c r="E27" s="1662"/>
      <c r="F27" s="2035"/>
      <c r="G27" s="1649"/>
    </row>
    <row r="28" spans="1:9">
      <c r="A28" s="1910" t="s">
        <v>4518</v>
      </c>
      <c r="B28" s="1913">
        <v>878</v>
      </c>
      <c r="C28" s="1874" t="s">
        <v>1518</v>
      </c>
      <c r="D28" s="1662" t="s">
        <v>4481</v>
      </c>
      <c r="E28" s="1591">
        <v>13.2</v>
      </c>
      <c r="F28" s="2035">
        <v>9.5039999999999996</v>
      </c>
      <c r="G28" s="1649"/>
    </row>
    <row r="29" spans="1:9">
      <c r="A29" s="1910"/>
      <c r="B29" s="1912"/>
      <c r="C29" s="1661"/>
      <c r="D29" s="1662"/>
      <c r="E29" s="1662"/>
      <c r="F29" s="2035"/>
      <c r="G29" s="1649"/>
    </row>
    <row r="30" spans="1:9">
      <c r="A30" s="1910"/>
      <c r="B30" s="1912"/>
      <c r="C30" s="1673"/>
      <c r="D30" s="1662"/>
      <c r="E30" s="1662"/>
      <c r="F30" s="2035"/>
      <c r="G30" s="1649"/>
      <c r="I30" s="1592"/>
    </row>
    <row r="31" spans="1:9">
      <c r="A31" s="1910"/>
      <c r="B31" s="1912"/>
      <c r="C31" s="1673"/>
      <c r="D31" s="1662"/>
      <c r="E31" s="1662"/>
      <c r="F31" s="2035"/>
      <c r="G31" s="1649"/>
      <c r="I31" s="1592"/>
    </row>
    <row r="32" spans="1:9">
      <c r="A32" s="2574" t="s">
        <v>4908</v>
      </c>
      <c r="B32" s="1912">
        <v>232</v>
      </c>
      <c r="C32" s="1673" t="s">
        <v>4930</v>
      </c>
      <c r="D32" s="1662" t="s">
        <v>4481</v>
      </c>
      <c r="E32" s="1890">
        <v>2688</v>
      </c>
      <c r="F32" s="2035">
        <f>5901-4331</f>
        <v>1570</v>
      </c>
      <c r="G32" s="1649"/>
      <c r="I32" s="1592"/>
    </row>
    <row r="33" spans="1:9">
      <c r="A33" s="1910"/>
      <c r="B33" s="1912"/>
      <c r="C33" s="1673"/>
      <c r="D33" s="1662"/>
      <c r="E33" s="1662"/>
      <c r="F33" s="2035"/>
      <c r="G33" s="1649"/>
      <c r="I33" s="1592"/>
    </row>
    <row r="34" spans="1:9">
      <c r="A34" s="1910"/>
      <c r="B34" s="1912"/>
      <c r="C34" s="1673"/>
      <c r="D34" s="1662"/>
      <c r="E34" s="1662"/>
      <c r="F34" s="2035"/>
      <c r="G34" s="1649"/>
    </row>
    <row r="35" spans="1:9">
      <c r="A35" s="2574" t="s">
        <v>4758</v>
      </c>
      <c r="B35" s="1912">
        <v>1688.5</v>
      </c>
      <c r="C35" s="1673" t="s">
        <v>4930</v>
      </c>
      <c r="D35" s="1662" t="s">
        <v>4960</v>
      </c>
      <c r="E35" s="1890">
        <v>2222</v>
      </c>
      <c r="F35" s="2035">
        <v>22755.63</v>
      </c>
      <c r="G35" s="1649"/>
    </row>
    <row r="36" spans="1:9">
      <c r="A36" s="1660"/>
      <c r="B36" s="1912"/>
      <c r="C36" s="1667"/>
      <c r="D36" s="1667"/>
      <c r="E36" s="1890"/>
      <c r="F36" s="2035"/>
      <c r="G36" s="1649"/>
    </row>
    <row r="37" spans="1:9">
      <c r="A37" s="2574"/>
      <c r="B37" s="1662"/>
      <c r="C37" s="1667"/>
      <c r="D37" s="1667"/>
      <c r="E37" s="1890"/>
      <c r="F37" s="2035"/>
      <c r="G37" s="1649"/>
    </row>
    <row r="38" spans="1:9">
      <c r="A38" s="2574" t="s">
        <v>5079</v>
      </c>
      <c r="B38" s="1662"/>
      <c r="C38" s="1667"/>
      <c r="D38" s="1667"/>
      <c r="E38" s="1890"/>
      <c r="F38" s="2035"/>
      <c r="G38" s="1649"/>
    </row>
    <row r="39" spans="1:9">
      <c r="A39" s="1910"/>
      <c r="B39" s="1912">
        <v>880</v>
      </c>
      <c r="C39" s="1673" t="s">
        <v>5080</v>
      </c>
      <c r="D39" s="1875" t="s">
        <v>4960</v>
      </c>
      <c r="E39" s="1890">
        <v>660</v>
      </c>
      <c r="F39" s="2035">
        <v>3115</v>
      </c>
      <c r="G39" s="1649"/>
    </row>
    <row r="40" spans="1:9">
      <c r="A40" s="1910"/>
      <c r="B40" s="1912">
        <v>1500</v>
      </c>
      <c r="C40" s="1673" t="s">
        <v>5081</v>
      </c>
      <c r="D40" s="1662" t="s">
        <v>4961</v>
      </c>
      <c r="E40" s="1890">
        <v>1300</v>
      </c>
      <c r="F40" s="2658">
        <v>1950</v>
      </c>
    </row>
    <row r="41" spans="1:9">
      <c r="A41" s="1910"/>
      <c r="B41" s="1912"/>
      <c r="C41" s="1673"/>
      <c r="D41" s="1662"/>
      <c r="E41" s="1662"/>
      <c r="F41" s="2035"/>
      <c r="G41" s="1649"/>
    </row>
    <row r="42" spans="1:9">
      <c r="A42" s="1910" t="s">
        <v>5594</v>
      </c>
      <c r="B42" s="1912"/>
      <c r="C42" s="1673" t="s">
        <v>5595</v>
      </c>
      <c r="D42" s="1662" t="s">
        <v>5596</v>
      </c>
      <c r="E42" s="1662">
        <v>150</v>
      </c>
      <c r="F42" s="2035">
        <f>73755.07+11443.22</f>
        <v>85198.290000000008</v>
      </c>
    </row>
    <row r="43" spans="1:9">
      <c r="A43" s="1910"/>
      <c r="B43" s="1912"/>
      <c r="C43" s="1673"/>
      <c r="D43" s="1662"/>
      <c r="E43" s="1662"/>
      <c r="F43" s="2035"/>
    </row>
    <row r="44" spans="1:9">
      <c r="A44" s="1910"/>
      <c r="B44" s="1912"/>
      <c r="C44" s="1673"/>
      <c r="D44" s="1662"/>
      <c r="E44" s="1662"/>
      <c r="F44" s="2035"/>
      <c r="G44" s="1649"/>
    </row>
    <row r="45" spans="1:9">
      <c r="A45" s="1910"/>
      <c r="B45" s="1912"/>
      <c r="C45" s="1673"/>
      <c r="D45" s="1662"/>
      <c r="E45" s="1662"/>
      <c r="F45" s="2035"/>
      <c r="G45" s="1651"/>
    </row>
    <row r="46" spans="1:9">
      <c r="A46" s="1910"/>
      <c r="B46" s="2557"/>
      <c r="C46" s="1878"/>
      <c r="D46" s="1875"/>
      <c r="E46" s="1890"/>
      <c r="F46" s="2035"/>
      <c r="G46" s="1651"/>
    </row>
    <row r="47" spans="1:9">
      <c r="A47" s="1910"/>
      <c r="B47" s="1912"/>
      <c r="C47" s="1667"/>
      <c r="D47" s="1667"/>
      <c r="E47" s="1890"/>
      <c r="F47" s="2035"/>
      <c r="G47" s="1678"/>
    </row>
    <row r="48" spans="1:9">
      <c r="A48" s="1910"/>
      <c r="B48" s="1912"/>
      <c r="C48" s="1673"/>
      <c r="D48" s="1662"/>
      <c r="E48" s="1890"/>
      <c r="F48" s="2035"/>
      <c r="G48" s="1678"/>
    </row>
    <row r="49" spans="1:10">
      <c r="A49" s="1910"/>
      <c r="B49" s="1912"/>
      <c r="C49" s="1667"/>
      <c r="D49" s="1667"/>
      <c r="E49" s="1890"/>
      <c r="F49" s="2035"/>
      <c r="G49" s="1678"/>
    </row>
    <row r="50" spans="1:10">
      <c r="A50" s="1910"/>
      <c r="B50" s="1662"/>
      <c r="C50" s="1667"/>
      <c r="D50" s="1667"/>
      <c r="E50" s="1890"/>
      <c r="F50" s="2035"/>
      <c r="G50" s="1678"/>
    </row>
    <row r="51" spans="1:10">
      <c r="A51" s="1910"/>
      <c r="B51" s="1912"/>
      <c r="C51" s="1673"/>
      <c r="D51" s="1875"/>
      <c r="E51" s="1890"/>
      <c r="F51" s="2035"/>
      <c r="G51" s="1678"/>
    </row>
    <row r="52" spans="1:10">
      <c r="A52" s="1910"/>
      <c r="B52" s="1912"/>
      <c r="C52" s="1673"/>
      <c r="D52" s="1662"/>
      <c r="E52" s="1890"/>
      <c r="F52" s="2658"/>
      <c r="G52" s="1649"/>
    </row>
    <row r="53" spans="1:10">
      <c r="A53" s="1910"/>
      <c r="B53" s="1912"/>
      <c r="C53" s="1673"/>
      <c r="D53" s="1662"/>
      <c r="E53" s="1662"/>
      <c r="F53" s="2658"/>
      <c r="G53" s="1649"/>
    </row>
    <row r="54" spans="1:10">
      <c r="A54" s="1910" t="s">
        <v>5082</v>
      </c>
      <c r="B54" s="1912"/>
      <c r="C54" s="1673"/>
      <c r="D54" s="1662"/>
      <c r="E54" s="1662"/>
      <c r="F54" s="2658">
        <f>-42945+4331+45983.3659999999</f>
        <v>7369.3659999998999</v>
      </c>
      <c r="G54" s="1649"/>
    </row>
    <row r="55" spans="1:10">
      <c r="A55" s="1910" t="s">
        <v>4666</v>
      </c>
      <c r="B55" s="1912"/>
      <c r="C55" s="1673"/>
      <c r="D55" s="1662"/>
      <c r="E55" s="1662"/>
      <c r="F55" s="2658">
        <v>-331225</v>
      </c>
      <c r="G55" s="1678"/>
    </row>
    <row r="56" spans="1:10">
      <c r="A56" s="1660"/>
      <c r="B56" s="1896"/>
      <c r="C56" s="1679"/>
      <c r="D56" s="1679"/>
      <c r="E56" s="1679"/>
      <c r="F56" s="1680"/>
      <c r="G56" s="1678"/>
    </row>
    <row r="57" spans="1:10">
      <c r="A57" s="1681" t="s">
        <v>1614</v>
      </c>
      <c r="B57" s="1897">
        <f>+'405d'!B69+'405e'!B60+'405f'!B63</f>
        <v>2103700129.5</v>
      </c>
      <c r="C57" s="1682"/>
      <c r="D57" s="1683"/>
      <c r="E57" s="1682"/>
      <c r="F57" s="2725">
        <f>'405d'!F69+'405e'!F60+'405f'!F63</f>
        <v>1266446</v>
      </c>
      <c r="G57" s="1684" t="str">
        <f>IF(ROUND(F57,2)=ROUND('307309'!D56,2),"ok","error")</f>
        <v>ok</v>
      </c>
      <c r="H57" s="2753"/>
      <c r="I57" s="2754"/>
      <c r="J57" s="2841"/>
    </row>
    <row r="58" spans="1:10" ht="15.75" thickBot="1">
      <c r="A58" s="1685"/>
      <c r="B58" s="1898"/>
      <c r="C58" s="1686"/>
      <c r="D58" s="1687"/>
      <c r="E58" s="1686"/>
      <c r="F58" s="1688"/>
      <c r="G58" s="1651"/>
    </row>
    <row r="59" spans="1:10">
      <c r="A59" s="1689" t="s">
        <v>2024</v>
      </c>
      <c r="B59" s="1690"/>
      <c r="C59" s="1691"/>
      <c r="D59" s="1690"/>
      <c r="E59" s="1690"/>
      <c r="F59" s="1440"/>
      <c r="G59" s="2368"/>
      <c r="J59" s="198"/>
    </row>
    <row r="60" spans="1:10">
      <c r="A60" s="1440"/>
      <c r="B60" s="1443" t="s">
        <v>4391</v>
      </c>
      <c r="D60" s="1671"/>
      <c r="E60" s="1671"/>
      <c r="F60" s="1440"/>
      <c r="J60" s="1575"/>
    </row>
    <row r="61" spans="1:10">
      <c r="B61" s="1899"/>
      <c r="C61" s="1575"/>
      <c r="D61" s="1692"/>
      <c r="E61" s="1692"/>
      <c r="F61" s="1692"/>
      <c r="J61" s="1576"/>
    </row>
    <row r="62" spans="1:10">
      <c r="B62" s="1899"/>
      <c r="C62" s="1575"/>
      <c r="D62" s="1575"/>
      <c r="E62" s="1575"/>
      <c r="F62" s="1575"/>
      <c r="J62" s="198"/>
    </row>
    <row r="63" spans="1:10">
      <c r="A63" t="s">
        <v>1738</v>
      </c>
      <c r="B63" s="1899">
        <f>SUM(B6:B53)</f>
        <v>110052.5</v>
      </c>
      <c r="C63" s="1575"/>
      <c r="D63" s="1575"/>
      <c r="E63" s="1575"/>
      <c r="F63" s="1576">
        <f>SUM(F6:F55)</f>
        <v>-122934.02000000011</v>
      </c>
    </row>
    <row r="64" spans="1:10">
      <c r="B64" s="1900"/>
      <c r="C64" s="1575"/>
      <c r="D64" s="1575"/>
      <c r="E64" s="1575"/>
      <c r="F64" s="1576"/>
    </row>
    <row r="65" spans="1:8">
      <c r="B65" s="1899"/>
      <c r="C65" s="1575"/>
      <c r="D65" s="1575"/>
      <c r="E65" s="1575"/>
      <c r="F65" s="1576"/>
    </row>
    <row r="66" spans="1:8">
      <c r="B66" s="2656">
        <f>+'405d'!B69+'405e'!B60+SUM(B6:B53)</f>
        <v>2103700129.5</v>
      </c>
      <c r="C66" s="1575"/>
      <c r="D66" s="1575"/>
      <c r="E66" s="1575"/>
      <c r="F66" s="1576">
        <f>+'405d'!F69+'405e'!F60+SUM(F7:F54)</f>
        <v>1597671</v>
      </c>
      <c r="G66" t="s">
        <v>4679</v>
      </c>
    </row>
    <row r="67" spans="1:8">
      <c r="B67" s="1899"/>
      <c r="C67" s="1575"/>
      <c r="D67" s="1575"/>
      <c r="E67" s="1575"/>
      <c r="F67" s="1576"/>
    </row>
    <row r="68" spans="1:8" outlineLevel="1">
      <c r="A68" s="2711"/>
      <c r="B68" s="2712"/>
      <c r="C68" s="2713"/>
      <c r="D68" s="2713"/>
      <c r="E68" s="2713"/>
      <c r="F68" s="2713"/>
      <c r="G68" s="2711"/>
      <c r="H68" s="2711"/>
    </row>
    <row r="69" spans="1:8" outlineLevel="1">
      <c r="A69" s="2711"/>
      <c r="B69" s="2714">
        <f>+B32</f>
        <v>232</v>
      </c>
      <c r="C69" s="2711"/>
      <c r="D69" s="2711"/>
      <c r="E69" s="2711"/>
      <c r="F69" s="2842">
        <f>+F32</f>
        <v>1570</v>
      </c>
      <c r="G69" s="2843" t="s">
        <v>4908</v>
      </c>
      <c r="H69" s="2711"/>
    </row>
    <row r="70" spans="1:8" outlineLevel="1">
      <c r="A70" s="2711"/>
      <c r="B70" s="2714"/>
      <c r="C70" s="2711"/>
      <c r="D70" s="2711"/>
      <c r="E70" s="2711"/>
      <c r="F70" s="2844"/>
      <c r="G70" s="2843" t="s">
        <v>4909</v>
      </c>
      <c r="H70" s="2711"/>
    </row>
    <row r="71" spans="1:8" outlineLevel="1">
      <c r="A71" s="2711"/>
      <c r="B71" s="2714">
        <f>+'405d'!B69+'405e'!B60+SUM(B7:B22)+B28</f>
        <v>2103695829</v>
      </c>
      <c r="C71" s="2711"/>
      <c r="D71" s="2711"/>
      <c r="E71" s="2711"/>
      <c r="F71" s="2844">
        <f>+'405d'!F69+'405e'!F60+SUM(F7:F22)+F28+F42</f>
        <v>1560911.004</v>
      </c>
      <c r="G71" s="2843" t="s">
        <v>5192</v>
      </c>
      <c r="H71" s="2711"/>
    </row>
    <row r="72" spans="1:8" outlineLevel="1">
      <c r="A72" s="2711"/>
      <c r="B72" s="2714">
        <f>+B35</f>
        <v>1688.5</v>
      </c>
      <c r="C72" s="2711"/>
      <c r="D72" s="2711"/>
      <c r="E72" s="2711"/>
      <c r="F72" s="2844">
        <f>+F35</f>
        <v>22755.63</v>
      </c>
      <c r="G72" s="2843" t="s">
        <v>5193</v>
      </c>
      <c r="H72" s="2711"/>
    </row>
    <row r="73" spans="1:8" outlineLevel="1">
      <c r="A73" s="2711"/>
      <c r="B73" s="2714">
        <f>SUM(B39:B40)</f>
        <v>2380</v>
      </c>
      <c r="C73" s="2711"/>
      <c r="D73" s="2711"/>
      <c r="E73" s="2711"/>
      <c r="F73" s="2844">
        <f>SUM(F39:F40)</f>
        <v>5065</v>
      </c>
      <c r="G73" s="2843" t="s">
        <v>4869</v>
      </c>
      <c r="H73" s="2711"/>
    </row>
    <row r="74" spans="1:8" outlineLevel="1">
      <c r="A74" s="2711"/>
      <c r="B74" s="2714">
        <f>+B54</f>
        <v>0</v>
      </c>
      <c r="C74" s="2711"/>
      <c r="D74" s="2711"/>
      <c r="E74" s="2711"/>
      <c r="F74" s="2844">
        <f>+F54</f>
        <v>7369.3659999998999</v>
      </c>
      <c r="G74" s="2843" t="s">
        <v>5082</v>
      </c>
      <c r="H74" s="2711"/>
    </row>
    <row r="75" spans="1:8" outlineLevel="1">
      <c r="A75" s="2711"/>
      <c r="B75" s="2714">
        <f>+B55</f>
        <v>0</v>
      </c>
      <c r="C75" s="2711"/>
      <c r="D75" s="2711"/>
      <c r="E75" s="2711"/>
      <c r="F75" s="2844">
        <f>+F55</f>
        <v>-331225</v>
      </c>
      <c r="G75" s="2843" t="s">
        <v>4666</v>
      </c>
      <c r="H75" s="2711"/>
    </row>
    <row r="76" spans="1:8" ht="15.75" outlineLevel="1" thickBot="1">
      <c r="A76" s="2711"/>
      <c r="B76" s="2715">
        <f>SUM(B69:B75)</f>
        <v>2103700129.5</v>
      </c>
      <c r="C76" s="2711"/>
      <c r="D76" s="2711"/>
      <c r="E76" s="2711"/>
      <c r="F76" s="2845">
        <f>SUM(F69:F75)</f>
        <v>1266445.9999999998</v>
      </c>
      <c r="G76" s="2711"/>
      <c r="H76" s="2711"/>
    </row>
    <row r="77" spans="1:8" ht="15.75" thickTop="1">
      <c r="B77" s="1592">
        <f>+B57-B76</f>
        <v>0</v>
      </c>
      <c r="F77" s="1747">
        <f>+F57-F76</f>
        <v>0</v>
      </c>
    </row>
    <row r="78" spans="1:8">
      <c r="B78" s="2657"/>
    </row>
    <row r="79" spans="1:8">
      <c r="B79" s="2657"/>
    </row>
    <row r="80" spans="1:8">
      <c r="B80" s="2657"/>
    </row>
    <row r="81" spans="2:2">
      <c r="B81" s="2657"/>
    </row>
    <row r="82" spans="2:2" ht="13.5" customHeight="1">
      <c r="B82" s="2657"/>
    </row>
    <row r="83" spans="2:2">
      <c r="B83" s="2657"/>
    </row>
    <row r="84" spans="2:2">
      <c r="B84" s="2657"/>
    </row>
  </sheetData>
  <pageMargins left="0.75" right="0.3" top="0.7" bottom="0.25" header="0" footer="0"/>
  <pageSetup scale="80"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74"/>
  <dimension ref="A1:I60"/>
  <sheetViews>
    <sheetView topLeftCell="A7" zoomScaleNormal="100" workbookViewId="0">
      <selection activeCell="S32" sqref="S32"/>
    </sheetView>
  </sheetViews>
  <sheetFormatPr defaultRowHeight="15"/>
  <cols>
    <col min="1" max="1" width="35.33203125" customWidth="1"/>
    <col min="2" max="2" width="11.33203125" style="600" bestFit="1" customWidth="1"/>
    <col min="3" max="3" width="14.21875" bestFit="1" customWidth="1"/>
    <col min="4" max="4" width="6.21875" customWidth="1"/>
    <col min="5" max="5" width="7.77734375" bestFit="1" customWidth="1"/>
    <col min="6" max="6" width="15.6640625" customWidth="1"/>
  </cols>
  <sheetData>
    <row r="1" spans="1:9" ht="15.75" thickBot="1">
      <c r="A1" s="86" t="str">
        <f>'Data sheet'!A57</f>
        <v>Annual Report of Veolia Water New York, Inc.                                              Year Ended  December 31, 2023</v>
      </c>
      <c r="B1" s="94"/>
      <c r="C1" s="86"/>
      <c r="D1" s="86"/>
      <c r="E1" s="86"/>
      <c r="F1" s="86"/>
      <c r="G1" s="86"/>
      <c r="H1" s="86"/>
      <c r="I1" s="86"/>
    </row>
    <row r="2" spans="1:9">
      <c r="A2" s="1446"/>
      <c r="B2" s="1928"/>
      <c r="C2" s="1929"/>
      <c r="D2" s="1930"/>
      <c r="E2" s="1930"/>
      <c r="F2" s="1448"/>
      <c r="G2" s="938"/>
    </row>
    <row r="3" spans="1:9">
      <c r="A3" s="1438"/>
      <c r="B3" s="1931"/>
      <c r="C3" s="1931"/>
      <c r="D3" s="1931"/>
      <c r="E3" s="1931"/>
      <c r="F3" s="1439"/>
      <c r="G3" s="938"/>
    </row>
    <row r="4" spans="1:9">
      <c r="A4" s="1438"/>
      <c r="B4" s="1931"/>
      <c r="C4" s="1355"/>
      <c r="D4" s="1931"/>
      <c r="E4" s="1931"/>
      <c r="F4" s="1439"/>
      <c r="G4" s="938"/>
    </row>
    <row r="5" spans="1:9">
      <c r="A5" s="1660"/>
      <c r="B5" s="1932"/>
      <c r="C5" s="1933"/>
      <c r="D5" s="1933"/>
      <c r="E5" s="1933"/>
      <c r="F5" s="1672"/>
      <c r="G5" s="1649"/>
    </row>
    <row r="6" spans="1:9">
      <c r="A6" s="1910"/>
      <c r="B6" s="1915"/>
      <c r="C6" s="1916"/>
      <c r="D6" s="1690"/>
      <c r="E6" s="1917"/>
      <c r="F6" s="1659"/>
      <c r="G6" s="1649"/>
    </row>
    <row r="7" spans="1:9">
      <c r="A7" s="1910"/>
      <c r="B7" s="1915"/>
      <c r="C7" s="1916"/>
      <c r="D7" s="1690"/>
      <c r="E7" s="1917"/>
      <c r="F7" s="1659"/>
      <c r="G7" s="1649"/>
    </row>
    <row r="8" spans="1:9">
      <c r="A8" s="1910"/>
      <c r="B8" s="1915"/>
      <c r="C8" s="1916"/>
      <c r="D8" s="1690"/>
      <c r="E8" s="1917"/>
      <c r="F8" s="1659"/>
      <c r="G8" s="1649"/>
    </row>
    <row r="9" spans="1:9">
      <c r="A9" s="1910"/>
      <c r="B9" s="1918"/>
      <c r="C9" s="1691"/>
      <c r="D9" s="1690"/>
      <c r="E9" s="1917"/>
      <c r="F9" s="1659"/>
      <c r="G9" s="1649"/>
    </row>
    <row r="10" spans="1:9">
      <c r="A10" s="1910"/>
      <c r="B10" s="1918"/>
      <c r="C10" s="1691"/>
      <c r="D10" s="1690"/>
      <c r="E10" s="1917"/>
      <c r="F10" s="1659"/>
      <c r="G10" s="1649"/>
    </row>
    <row r="11" spans="1:9">
      <c r="A11" s="1910"/>
      <c r="B11" s="94"/>
      <c r="D11" s="600"/>
      <c r="E11" s="600"/>
      <c r="F11" s="1659"/>
      <c r="G11" s="1649"/>
    </row>
    <row r="12" spans="1:9">
      <c r="A12" s="1910"/>
      <c r="B12" s="1918"/>
      <c r="C12" s="1691"/>
      <c r="D12" s="1690"/>
      <c r="E12" s="1690"/>
      <c r="F12" s="1659"/>
      <c r="G12" s="1649"/>
    </row>
    <row r="13" spans="1:9">
      <c r="A13" s="1910"/>
      <c r="B13" s="1918"/>
      <c r="C13" s="1919"/>
      <c r="D13" s="1690"/>
      <c r="E13" s="1917"/>
      <c r="F13" s="1659"/>
      <c r="G13" s="1649"/>
    </row>
    <row r="14" spans="1:9">
      <c r="A14" s="1910"/>
      <c r="B14" s="1918"/>
      <c r="C14" s="1916"/>
      <c r="D14" s="1690"/>
      <c r="E14" s="1917"/>
      <c r="F14" s="1659"/>
      <c r="G14" s="1649"/>
    </row>
    <row r="15" spans="1:9">
      <c r="A15" s="1910"/>
      <c r="B15" s="1918"/>
      <c r="C15" s="1691"/>
      <c r="D15" s="1690"/>
      <c r="E15" s="1690"/>
      <c r="F15" s="1659"/>
      <c r="G15" s="1649"/>
    </row>
    <row r="16" spans="1:9">
      <c r="A16" s="1910"/>
      <c r="B16" s="1918"/>
      <c r="C16" s="1691"/>
      <c r="D16" s="1690"/>
      <c r="E16" s="1917"/>
      <c r="F16" s="1659"/>
      <c r="G16" s="1649"/>
    </row>
    <row r="17" spans="1:7">
      <c r="A17" s="1910"/>
      <c r="B17" s="1918"/>
      <c r="C17" s="1691"/>
      <c r="D17" s="1690"/>
      <c r="E17" s="1917"/>
      <c r="F17" s="1659"/>
      <c r="G17" s="1649"/>
    </row>
    <row r="18" spans="1:7">
      <c r="A18" s="1910"/>
      <c r="B18" s="1918"/>
      <c r="C18" s="1691"/>
      <c r="D18" s="1690"/>
      <c r="E18" s="1690"/>
      <c r="F18" s="1659"/>
      <c r="G18" s="1649"/>
    </row>
    <row r="19" spans="1:7">
      <c r="A19" s="1910"/>
      <c r="B19" s="1918"/>
      <c r="C19" s="1919"/>
      <c r="D19" s="1690"/>
      <c r="E19" s="1690"/>
      <c r="F19" s="1659"/>
      <c r="G19" s="1649"/>
    </row>
    <row r="20" spans="1:7">
      <c r="A20" s="1910"/>
      <c r="B20" s="1918"/>
      <c r="C20" s="213" t="s">
        <v>1836</v>
      </c>
      <c r="D20" s="1690"/>
      <c r="E20" s="1690"/>
      <c r="F20" s="1659"/>
      <c r="G20" s="1649"/>
    </row>
    <row r="21" spans="1:7">
      <c r="A21" s="1660"/>
      <c r="B21" s="1918"/>
      <c r="C21" s="1691"/>
      <c r="D21" s="1690"/>
      <c r="E21" s="1690"/>
      <c r="F21" s="1659"/>
      <c r="G21" s="1649"/>
    </row>
    <row r="22" spans="1:7">
      <c r="A22" s="1660"/>
      <c r="B22" s="1918"/>
      <c r="C22" s="1691"/>
      <c r="D22" s="1690"/>
      <c r="E22" s="1392"/>
      <c r="F22" s="1659"/>
      <c r="G22" s="1649"/>
    </row>
    <row r="23" spans="1:7">
      <c r="A23" s="1660"/>
      <c r="B23" s="1918"/>
      <c r="C23" s="1691"/>
      <c r="D23" s="1690"/>
      <c r="E23" s="1690"/>
      <c r="F23" s="1659"/>
      <c r="G23" s="1649"/>
    </row>
    <row r="24" spans="1:7">
      <c r="A24" s="1660"/>
      <c r="B24" s="1918"/>
      <c r="C24" s="1691"/>
      <c r="D24" s="1690"/>
      <c r="E24" s="1690"/>
      <c r="F24" s="1659"/>
      <c r="G24" s="1649"/>
    </row>
    <row r="25" spans="1:7">
      <c r="A25" s="1910"/>
      <c r="B25" s="1918"/>
      <c r="C25" s="1919"/>
      <c r="D25" s="1690"/>
      <c r="E25" s="1690"/>
      <c r="F25" s="1659"/>
      <c r="G25" s="1649"/>
    </row>
    <row r="26" spans="1:7">
      <c r="A26" s="1910"/>
      <c r="B26" s="1918"/>
      <c r="C26" s="1916"/>
      <c r="D26" s="1690"/>
      <c r="E26" s="1690"/>
      <c r="F26" s="1659"/>
      <c r="G26" s="1649"/>
    </row>
    <row r="27" spans="1:7">
      <c r="A27" s="1910"/>
      <c r="B27" s="1918"/>
      <c r="C27" s="1691"/>
      <c r="D27" s="1690"/>
      <c r="E27" s="1690"/>
      <c r="F27" s="1659"/>
      <c r="G27" s="1649"/>
    </row>
    <row r="28" spans="1:7">
      <c r="A28" s="1910"/>
      <c r="B28" s="1918"/>
      <c r="C28" s="1691"/>
      <c r="D28" s="1690"/>
      <c r="E28" s="1690"/>
      <c r="F28" s="1659"/>
      <c r="G28" s="1649"/>
    </row>
    <row r="29" spans="1:7">
      <c r="A29" s="1910"/>
      <c r="B29" s="1918"/>
      <c r="C29" s="1691"/>
      <c r="D29" s="1690"/>
      <c r="E29" s="1690"/>
      <c r="F29" s="1659"/>
      <c r="G29" s="1649"/>
    </row>
    <row r="30" spans="1:7">
      <c r="A30" s="1910"/>
      <c r="B30" s="1918"/>
      <c r="C30" s="1920"/>
      <c r="D30" s="1392"/>
      <c r="E30" s="1917"/>
      <c r="F30" s="1659"/>
      <c r="G30" s="1649"/>
    </row>
    <row r="31" spans="1:7">
      <c r="A31" s="1910"/>
      <c r="B31" s="1921"/>
      <c r="C31" s="1919"/>
      <c r="D31" s="1690"/>
      <c r="E31" s="1917"/>
      <c r="F31" s="1659"/>
      <c r="G31" s="1649"/>
    </row>
    <row r="32" spans="1:7">
      <c r="A32" s="1910"/>
      <c r="B32" s="1918"/>
      <c r="C32" s="1916"/>
      <c r="D32" s="1690"/>
      <c r="E32" s="1690"/>
      <c r="F32" s="1659"/>
      <c r="G32" s="1649"/>
    </row>
    <row r="33" spans="1:7">
      <c r="A33" s="1910"/>
      <c r="B33" s="1918"/>
      <c r="C33" s="1691"/>
      <c r="D33" s="1690"/>
      <c r="E33" s="1690"/>
      <c r="F33" s="1659"/>
      <c r="G33" s="1649"/>
    </row>
    <row r="34" spans="1:7">
      <c r="A34" s="1910"/>
      <c r="B34" s="1918"/>
      <c r="C34" s="1691"/>
      <c r="D34" s="1690"/>
      <c r="E34" s="1917"/>
      <c r="F34" s="1659"/>
      <c r="G34" s="1649"/>
    </row>
    <row r="35" spans="1:7">
      <c r="A35" s="1660"/>
      <c r="B35" s="1918"/>
      <c r="C35" s="1691"/>
      <c r="D35" s="1690"/>
      <c r="E35" s="1917"/>
      <c r="F35" s="1659"/>
      <c r="G35" s="1649"/>
    </row>
    <row r="36" spans="1:7">
      <c r="A36" s="1660"/>
      <c r="B36" s="1918"/>
      <c r="C36" s="1691"/>
      <c r="D36" s="1690"/>
      <c r="E36" s="1690"/>
      <c r="F36" s="1659"/>
      <c r="G36" s="1649"/>
    </row>
    <row r="37" spans="1:7">
      <c r="A37" s="1660"/>
      <c r="B37" s="1922"/>
      <c r="C37" s="1691"/>
      <c r="D37" s="1690"/>
      <c r="E37" s="1923"/>
      <c r="F37" s="1895"/>
      <c r="G37" s="1649"/>
    </row>
    <row r="38" spans="1:7">
      <c r="A38" s="1660"/>
      <c r="B38" s="1922"/>
      <c r="C38" s="1691"/>
      <c r="D38" s="1690"/>
      <c r="E38" s="1923"/>
      <c r="F38" s="1895"/>
      <c r="G38" s="1649"/>
    </row>
    <row r="39" spans="1:7">
      <c r="A39" s="1660"/>
      <c r="B39" s="1922"/>
      <c r="C39" s="1691"/>
      <c r="D39" s="1690"/>
      <c r="E39" s="1923"/>
      <c r="F39" s="1895"/>
      <c r="G39" s="1649"/>
    </row>
    <row r="40" spans="1:7">
      <c r="A40" s="1660"/>
      <c r="B40" s="1922"/>
      <c r="C40" s="1691"/>
      <c r="D40" s="1690"/>
      <c r="E40" s="1923"/>
      <c r="F40" s="1895"/>
    </row>
    <row r="41" spans="1:7">
      <c r="A41" s="1660"/>
      <c r="B41" s="1922"/>
      <c r="C41" s="1691"/>
      <c r="D41" s="1690"/>
      <c r="E41" s="1923"/>
      <c r="F41" s="1895"/>
    </row>
    <row r="42" spans="1:7">
      <c r="A42" s="1660"/>
      <c r="B42" s="1924"/>
      <c r="C42" s="1925"/>
      <c r="D42" s="1926"/>
      <c r="E42" s="1923"/>
      <c r="F42" s="1895"/>
    </row>
    <row r="43" spans="1:7">
      <c r="A43" s="1660"/>
      <c r="B43" s="1924"/>
      <c r="C43" s="1925"/>
      <c r="D43" s="1926"/>
      <c r="E43" s="1923"/>
      <c r="F43" s="1895"/>
    </row>
    <row r="44" spans="1:7">
      <c r="A44" s="1660"/>
      <c r="B44" s="1924"/>
      <c r="C44" s="1925"/>
      <c r="D44" s="1926"/>
      <c r="E44" s="1923"/>
      <c r="F44" s="1895"/>
      <c r="G44" s="1649"/>
    </row>
    <row r="45" spans="1:7">
      <c r="A45" s="1660"/>
      <c r="B45" s="1924"/>
      <c r="C45" s="1925"/>
      <c r="D45" s="1926"/>
      <c r="E45" s="1923"/>
      <c r="F45" s="1895"/>
      <c r="G45" s="1651"/>
    </row>
    <row r="46" spans="1:7">
      <c r="A46" s="1660"/>
      <c r="B46" s="1922"/>
      <c r="C46" s="1691"/>
      <c r="D46" s="1690"/>
      <c r="E46" s="1923"/>
      <c r="F46" s="1895"/>
      <c r="G46" s="1678"/>
    </row>
    <row r="47" spans="1:7">
      <c r="A47" s="1660"/>
      <c r="B47" s="1922"/>
      <c r="C47" s="1671"/>
      <c r="D47" s="1671"/>
      <c r="E47" s="1923"/>
      <c r="F47" s="1895"/>
      <c r="G47" s="1678"/>
    </row>
    <row r="48" spans="1:7">
      <c r="A48" s="1660"/>
      <c r="B48" s="1690"/>
      <c r="C48" s="1671"/>
      <c r="D48" s="1671"/>
      <c r="E48" s="1923"/>
      <c r="F48" s="1895"/>
      <c r="G48" s="1678"/>
    </row>
    <row r="49" spans="1:7">
      <c r="A49" s="1660"/>
      <c r="B49" s="1690"/>
      <c r="C49" s="1671"/>
      <c r="D49" s="1671"/>
      <c r="E49" s="1923"/>
      <c r="F49" s="1895"/>
      <c r="G49" s="1678"/>
    </row>
    <row r="50" spans="1:7">
      <c r="A50" s="1660"/>
      <c r="B50" s="1690"/>
      <c r="C50" s="1671"/>
      <c r="D50" s="1671"/>
      <c r="E50" s="1923"/>
      <c r="F50" s="1895"/>
      <c r="G50" s="1678"/>
    </row>
    <row r="51" spans="1:7">
      <c r="A51" s="1660"/>
      <c r="B51" s="1690"/>
      <c r="C51" s="1671"/>
      <c r="D51" s="1671"/>
      <c r="E51" s="1923"/>
      <c r="F51" s="1895"/>
      <c r="G51" s="1678"/>
    </row>
    <row r="52" spans="1:7">
      <c r="A52" s="1660"/>
      <c r="B52" s="1690"/>
      <c r="C52" s="1671"/>
      <c r="D52" s="1671"/>
      <c r="E52" s="1923"/>
      <c r="F52" s="1895"/>
      <c r="G52" s="1678"/>
    </row>
    <row r="53" spans="1:7">
      <c r="A53" s="1660"/>
      <c r="B53" s="1690"/>
      <c r="C53" s="1671"/>
      <c r="D53" s="1671"/>
      <c r="E53" s="1923"/>
      <c r="F53" s="1895"/>
      <c r="G53" s="1678"/>
    </row>
    <row r="54" spans="1:7">
      <c r="A54" s="1660"/>
      <c r="B54" s="1690"/>
      <c r="C54" s="1671"/>
      <c r="D54" s="1671"/>
      <c r="E54" s="1923"/>
      <c r="F54" s="1895"/>
      <c r="G54" s="1684"/>
    </row>
    <row r="55" spans="1:7" ht="15.75" thickBot="1">
      <c r="A55" s="1685"/>
      <c r="B55" s="1927"/>
      <c r="C55" s="1687"/>
      <c r="D55" s="1687"/>
      <c r="E55" s="1687"/>
      <c r="F55" s="1914"/>
      <c r="G55" s="1651"/>
    </row>
    <row r="56" spans="1:7">
      <c r="A56" s="1689" t="s">
        <v>2024</v>
      </c>
      <c r="B56" s="1690"/>
      <c r="C56" s="1691"/>
      <c r="D56" s="1690"/>
      <c r="E56" s="1690"/>
      <c r="F56" s="1440"/>
      <c r="G56" s="1678"/>
    </row>
    <row r="57" spans="1:7">
      <c r="A57" s="1440"/>
      <c r="B57" s="1443" t="s">
        <v>5111</v>
      </c>
      <c r="D57" s="1671"/>
      <c r="E57" s="1671"/>
      <c r="F57" s="1440"/>
    </row>
    <row r="58" spans="1:7">
      <c r="B58" s="1899"/>
      <c r="C58" s="1575"/>
      <c r="D58" s="1692"/>
      <c r="E58" s="1692"/>
      <c r="F58" s="1692"/>
    </row>
    <row r="59" spans="1:7">
      <c r="B59" s="1899"/>
      <c r="C59" s="1575"/>
      <c r="D59" s="1575"/>
      <c r="E59" s="1575"/>
      <c r="F59" s="1575"/>
    </row>
    <row r="60" spans="1:7">
      <c r="B60" s="1899"/>
      <c r="C60" s="1575"/>
      <c r="D60" s="1575"/>
      <c r="E60" s="1575"/>
      <c r="F60" s="1575"/>
    </row>
  </sheetData>
  <pageMargins left="0.75" right="0.3" top="0.7" bottom="0.25" header="0" footer="0"/>
  <pageSetup scale="80"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transitionEvaluation="1" codeName="Sheet108">
    <pageSetUpPr fitToPage="1"/>
  </sheetPr>
  <dimension ref="A1:AF70"/>
  <sheetViews>
    <sheetView defaultGridColor="0" colorId="22" zoomScaleNormal="100" workbookViewId="0">
      <pane xSplit="2" ySplit="15" topLeftCell="C16" activePane="bottomRight" state="frozen"/>
      <selection activeCell="S32" sqref="S32"/>
      <selection pane="topRight" activeCell="S32" sqref="S32"/>
      <selection pane="bottomLeft" activeCell="S32" sqref="S32"/>
      <selection pane="bottomRight" activeCell="H64" sqref="H64"/>
    </sheetView>
  </sheetViews>
  <sheetFormatPr defaultColWidth="9.77734375" defaultRowHeight="15"/>
  <cols>
    <col min="1" max="1" width="4.77734375" customWidth="1"/>
    <col min="2" max="2" width="30.77734375" customWidth="1"/>
    <col min="3" max="3" width="10.77734375" customWidth="1"/>
    <col min="4" max="4" width="17" bestFit="1" customWidth="1"/>
    <col min="5" max="5" width="12.77734375" customWidth="1"/>
    <col min="6" max="6" width="15.21875" customWidth="1"/>
    <col min="8" max="8" width="18.77734375" customWidth="1"/>
    <col min="9" max="9" width="11.109375" customWidth="1"/>
    <col min="10" max="10" width="14" customWidth="1"/>
  </cols>
  <sheetData>
    <row r="1" spans="1:27" ht="15.75" thickBot="1">
      <c r="A1" s="86" t="str">
        <f>'Data sheet'!A65</f>
        <v>Annual Report of Veolia Water New York, Inc.                                                                                          Year Ended  December 31, 2023</v>
      </c>
      <c r="B1" s="86"/>
      <c r="C1" s="86"/>
      <c r="D1" s="86"/>
      <c r="E1" s="86"/>
      <c r="F1" s="86"/>
      <c r="G1" s="86"/>
      <c r="H1" s="86"/>
      <c r="I1" s="86"/>
      <c r="J1" s="86"/>
    </row>
    <row r="2" spans="1:27">
      <c r="A2" s="677"/>
      <c r="B2" s="678"/>
      <c r="C2" s="678"/>
      <c r="D2" s="678"/>
      <c r="E2" s="678"/>
      <c r="F2" s="678"/>
      <c r="G2" s="678"/>
      <c r="H2" s="678"/>
      <c r="I2" s="678"/>
      <c r="J2" s="679"/>
      <c r="K2" s="931"/>
      <c r="L2" s="931"/>
      <c r="M2" s="931"/>
      <c r="N2" s="931"/>
      <c r="O2" s="931"/>
    </row>
    <row r="3" spans="1:27" ht="15.75">
      <c r="A3" s="328" t="s">
        <v>3429</v>
      </c>
      <c r="B3" s="539"/>
      <c r="C3" s="539"/>
      <c r="D3" s="5"/>
      <c r="E3" s="785"/>
      <c r="F3" s="539"/>
      <c r="G3" s="539"/>
      <c r="H3" s="539"/>
      <c r="I3" s="539"/>
      <c r="J3" s="680"/>
      <c r="K3" s="931"/>
      <c r="L3" s="931"/>
      <c r="M3" s="931"/>
      <c r="N3" s="931"/>
      <c r="O3" s="931"/>
    </row>
    <row r="4" spans="1:27">
      <c r="A4" s="351"/>
      <c r="B4" s="432"/>
      <c r="C4" s="432"/>
      <c r="D4" s="432"/>
      <c r="E4" s="432"/>
      <c r="F4" s="432"/>
      <c r="G4" s="432"/>
      <c r="H4" s="432"/>
      <c r="I4" s="432"/>
      <c r="J4" s="681"/>
      <c r="K4" s="931"/>
      <c r="L4" s="931"/>
      <c r="M4" s="931"/>
      <c r="N4" s="931"/>
      <c r="O4" s="931"/>
    </row>
    <row r="5" spans="1:27">
      <c r="A5" s="351"/>
      <c r="B5" s="432" t="s">
        <v>3430</v>
      </c>
      <c r="C5" s="432"/>
      <c r="D5" s="432"/>
      <c r="E5" s="432"/>
      <c r="F5" s="432" t="s">
        <v>3431</v>
      </c>
      <c r="G5" s="86"/>
      <c r="H5" s="432"/>
      <c r="I5" s="432"/>
      <c r="J5" s="681"/>
      <c r="K5" s="931"/>
      <c r="L5" s="931"/>
      <c r="M5" s="931"/>
      <c r="N5" s="931"/>
      <c r="O5" s="931"/>
    </row>
    <row r="6" spans="1:27">
      <c r="A6" s="351"/>
      <c r="B6" s="432" t="s">
        <v>3432</v>
      </c>
      <c r="C6" s="432"/>
      <c r="D6" s="432"/>
      <c r="E6" s="432"/>
      <c r="F6" s="432" t="s">
        <v>2739</v>
      </c>
      <c r="G6" s="86"/>
      <c r="H6" s="432"/>
      <c r="I6" s="432"/>
      <c r="J6" s="681"/>
      <c r="K6" s="931"/>
      <c r="L6" s="931"/>
      <c r="M6" s="931"/>
      <c r="N6" s="931"/>
      <c r="O6" s="931"/>
    </row>
    <row r="7" spans="1:27">
      <c r="A7" s="351"/>
      <c r="B7" s="432"/>
      <c r="C7" s="432"/>
      <c r="D7" s="432"/>
      <c r="E7" s="432"/>
      <c r="F7" s="432" t="s">
        <v>2740</v>
      </c>
      <c r="G7" s="86"/>
      <c r="H7" s="432"/>
      <c r="I7" s="432"/>
      <c r="J7" s="681"/>
      <c r="K7" s="931"/>
      <c r="L7" s="931"/>
      <c r="M7" s="931"/>
      <c r="N7" s="931"/>
      <c r="O7" s="931"/>
    </row>
    <row r="8" spans="1:27">
      <c r="A8" s="351"/>
      <c r="B8" s="432" t="s">
        <v>1261</v>
      </c>
      <c r="C8" s="432"/>
      <c r="D8" s="432"/>
      <c r="E8" s="432"/>
      <c r="F8" s="86"/>
      <c r="G8" s="432"/>
      <c r="H8" s="432"/>
      <c r="I8" s="432"/>
      <c r="J8" s="681"/>
      <c r="K8" s="931"/>
      <c r="L8" s="931"/>
      <c r="M8" s="931"/>
      <c r="N8" s="931"/>
      <c r="O8" s="931"/>
    </row>
    <row r="9" spans="1:27">
      <c r="A9" s="351"/>
      <c r="B9" s="432" t="s">
        <v>170</v>
      </c>
      <c r="C9" s="432"/>
      <c r="D9" s="432"/>
      <c r="E9" s="432"/>
      <c r="F9" s="432"/>
      <c r="G9" s="432"/>
      <c r="H9" s="432"/>
      <c r="I9" s="432"/>
      <c r="J9" s="681"/>
      <c r="K9" s="931"/>
      <c r="L9" s="931"/>
      <c r="M9" s="931"/>
      <c r="N9" s="931"/>
      <c r="O9" s="931"/>
    </row>
    <row r="10" spans="1:27">
      <c r="A10" s="351"/>
      <c r="B10" s="432"/>
      <c r="C10" s="432"/>
      <c r="D10" s="432"/>
      <c r="E10" s="432"/>
      <c r="F10" s="432"/>
      <c r="G10" s="432"/>
      <c r="H10" s="432"/>
      <c r="I10" s="432"/>
      <c r="J10" s="681"/>
      <c r="K10" s="931"/>
      <c r="L10" s="931"/>
      <c r="M10" s="931"/>
      <c r="N10" s="931"/>
      <c r="O10" s="931"/>
    </row>
    <row r="11" spans="1:27">
      <c r="A11" s="542"/>
      <c r="B11" s="1144"/>
      <c r="C11" s="1144"/>
      <c r="D11" s="1144"/>
      <c r="E11" s="1144"/>
      <c r="F11" s="1144"/>
      <c r="G11" s="1144"/>
      <c r="H11" s="1144"/>
      <c r="I11" s="1144"/>
      <c r="J11" s="685"/>
      <c r="L11" s="931"/>
      <c r="M11" s="931"/>
      <c r="N11" s="931"/>
      <c r="O11" s="931"/>
      <c r="P11" s="931"/>
      <c r="Q11" s="931"/>
      <c r="R11" s="931"/>
      <c r="S11" s="931"/>
      <c r="T11" s="931"/>
      <c r="U11" s="931"/>
      <c r="V11" s="931"/>
      <c r="W11" s="931"/>
      <c r="X11" s="931"/>
      <c r="Y11" s="931"/>
      <c r="Z11" s="931"/>
      <c r="AA11" s="931"/>
    </row>
    <row r="12" spans="1:27">
      <c r="A12" s="828"/>
      <c r="B12" s="1146" t="s">
        <v>3055</v>
      </c>
      <c r="C12" s="440" t="s">
        <v>2182</v>
      </c>
      <c r="D12" s="1146"/>
      <c r="E12" s="1146" t="s">
        <v>1552</v>
      </c>
      <c r="F12" s="1146"/>
      <c r="G12" s="1146" t="s">
        <v>171</v>
      </c>
      <c r="H12" s="1146" t="s">
        <v>172</v>
      </c>
      <c r="I12" s="1146" t="s">
        <v>4238</v>
      </c>
      <c r="J12" s="352" t="s">
        <v>173</v>
      </c>
      <c r="L12" s="938"/>
      <c r="M12" s="938"/>
      <c r="N12" s="938"/>
      <c r="P12" s="938"/>
    </row>
    <row r="13" spans="1:27">
      <c r="A13" s="330" t="s">
        <v>2048</v>
      </c>
      <c r="B13" s="1146" t="s">
        <v>2185</v>
      </c>
      <c r="C13" s="1146" t="s">
        <v>174</v>
      </c>
      <c r="D13" s="1146" t="s">
        <v>2993</v>
      </c>
      <c r="E13" s="1146" t="s">
        <v>394</v>
      </c>
      <c r="F13" s="1146" t="s">
        <v>175</v>
      </c>
      <c r="G13" s="1146" t="s">
        <v>4237</v>
      </c>
      <c r="H13" s="1146" t="s">
        <v>176</v>
      </c>
      <c r="I13" s="1146" t="s">
        <v>3223</v>
      </c>
      <c r="J13" s="352" t="s">
        <v>177</v>
      </c>
      <c r="K13" s="938"/>
      <c r="L13" s="938"/>
      <c r="M13" s="938"/>
      <c r="N13" s="938"/>
      <c r="O13" s="938"/>
    </row>
    <row r="14" spans="1:27">
      <c r="A14" s="330" t="s">
        <v>2051</v>
      </c>
      <c r="B14" s="1146" t="s">
        <v>1843</v>
      </c>
      <c r="C14" s="1146" t="s">
        <v>3068</v>
      </c>
      <c r="D14" s="1146"/>
      <c r="E14" s="1146"/>
      <c r="F14" s="1146"/>
      <c r="G14" s="1146" t="s">
        <v>178</v>
      </c>
      <c r="H14" s="1146"/>
      <c r="I14" s="1146"/>
      <c r="J14" s="352" t="s">
        <v>179</v>
      </c>
      <c r="K14" s="938"/>
      <c r="L14" s="938"/>
      <c r="M14" s="938"/>
      <c r="N14" s="938"/>
      <c r="O14" s="938"/>
    </row>
    <row r="15" spans="1:27">
      <c r="A15" s="330"/>
      <c r="B15" s="1542" t="s">
        <v>3279</v>
      </c>
      <c r="C15" s="1146" t="s">
        <v>1611</v>
      </c>
      <c r="D15" s="1146" t="s">
        <v>1612</v>
      </c>
      <c r="E15" s="1146" t="s">
        <v>1613</v>
      </c>
      <c r="F15" s="1146" t="s">
        <v>721</v>
      </c>
      <c r="G15" s="1146" t="s">
        <v>722</v>
      </c>
      <c r="H15" s="1146" t="s">
        <v>723</v>
      </c>
      <c r="I15" s="1146" t="s">
        <v>335</v>
      </c>
      <c r="J15" s="352" t="s">
        <v>336</v>
      </c>
      <c r="K15" s="938"/>
      <c r="L15" s="938"/>
      <c r="M15" s="938"/>
      <c r="N15" s="938"/>
      <c r="O15" s="938"/>
    </row>
    <row r="16" spans="1:27">
      <c r="A16" s="812">
        <v>1</v>
      </c>
      <c r="B16" s="2409" t="s">
        <v>2888</v>
      </c>
      <c r="C16" s="1453"/>
      <c r="D16" s="1454" t="s">
        <v>1532</v>
      </c>
      <c r="E16" s="1453"/>
      <c r="F16" s="1453" t="s">
        <v>218</v>
      </c>
      <c r="G16" s="1453"/>
      <c r="H16" s="1453"/>
      <c r="I16" s="1453"/>
      <c r="J16" s="1455"/>
      <c r="K16" s="931"/>
      <c r="L16" s="931"/>
      <c r="M16" s="931"/>
      <c r="N16" s="931"/>
      <c r="O16" s="931"/>
    </row>
    <row r="17" spans="1:15">
      <c r="A17" s="817">
        <v>2</v>
      </c>
      <c r="B17" s="1338" t="s">
        <v>2888</v>
      </c>
      <c r="C17" s="1456">
        <v>470.5</v>
      </c>
      <c r="D17" s="1457" t="s">
        <v>1533</v>
      </c>
      <c r="E17" s="1374">
        <v>1946</v>
      </c>
      <c r="F17" s="1334" t="s">
        <v>1534</v>
      </c>
      <c r="G17" s="1374" t="s">
        <v>1535</v>
      </c>
      <c r="H17" s="1374" t="s">
        <v>1536</v>
      </c>
      <c r="I17" s="1458">
        <v>2500000</v>
      </c>
      <c r="J17" s="1356">
        <v>5</v>
      </c>
      <c r="K17" s="931"/>
      <c r="L17" s="931"/>
      <c r="M17" s="931"/>
      <c r="N17" s="931"/>
      <c r="O17" s="931"/>
    </row>
    <row r="18" spans="1:15">
      <c r="A18" s="817">
        <v>3</v>
      </c>
      <c r="B18" s="2410"/>
      <c r="C18" s="1456"/>
      <c r="D18" s="1457" t="s">
        <v>1537</v>
      </c>
      <c r="E18" s="1374"/>
      <c r="F18" s="1374"/>
      <c r="G18" s="1374"/>
      <c r="H18" s="1374"/>
      <c r="I18" s="1458"/>
      <c r="J18" s="1356"/>
      <c r="K18" s="931"/>
      <c r="L18" s="931"/>
      <c r="M18" s="931"/>
      <c r="N18" s="931"/>
      <c r="O18" s="931"/>
    </row>
    <row r="19" spans="1:15">
      <c r="A19" s="817">
        <v>4</v>
      </c>
      <c r="B19" s="1338" t="s">
        <v>2888</v>
      </c>
      <c r="C19" s="1456">
        <v>470.5</v>
      </c>
      <c r="D19" s="1457" t="s">
        <v>1538</v>
      </c>
      <c r="E19" s="1374">
        <v>1971</v>
      </c>
      <c r="F19" s="1374" t="s">
        <v>1534</v>
      </c>
      <c r="G19" s="1374" t="s">
        <v>1535</v>
      </c>
      <c r="H19" s="1374" t="s">
        <v>1808</v>
      </c>
      <c r="I19" s="1458">
        <v>3300000</v>
      </c>
      <c r="J19" s="1356">
        <v>5</v>
      </c>
      <c r="K19" s="931"/>
      <c r="L19" s="931"/>
      <c r="M19" s="931"/>
      <c r="N19" s="931"/>
      <c r="O19" s="931"/>
    </row>
    <row r="20" spans="1:15">
      <c r="A20" s="817">
        <v>5</v>
      </c>
      <c r="B20" s="1338" t="s">
        <v>2888</v>
      </c>
      <c r="C20" s="1456">
        <v>644</v>
      </c>
      <c r="D20" s="1457" t="s">
        <v>1809</v>
      </c>
      <c r="E20" s="1374">
        <v>1968</v>
      </c>
      <c r="F20" s="1374" t="s">
        <v>1810</v>
      </c>
      <c r="G20" s="1374" t="s">
        <v>1535</v>
      </c>
      <c r="H20" s="1374" t="s">
        <v>1811</v>
      </c>
      <c r="I20" s="1458">
        <v>2000000</v>
      </c>
      <c r="J20" s="1356" t="s">
        <v>1812</v>
      </c>
      <c r="K20" s="931"/>
      <c r="L20" s="931"/>
      <c r="M20" s="931"/>
      <c r="N20" s="931"/>
      <c r="O20" s="931"/>
    </row>
    <row r="21" spans="1:15">
      <c r="A21" s="817">
        <v>6</v>
      </c>
      <c r="B21" s="1338" t="s">
        <v>1649</v>
      </c>
      <c r="C21" s="1456">
        <v>501.5</v>
      </c>
      <c r="D21" s="1457" t="s">
        <v>1809</v>
      </c>
      <c r="E21" s="1374">
        <v>1988</v>
      </c>
      <c r="F21" s="1374" t="s">
        <v>1810</v>
      </c>
      <c r="G21" s="1374" t="s">
        <v>1535</v>
      </c>
      <c r="H21" s="1374" t="s">
        <v>1813</v>
      </c>
      <c r="I21" s="1458">
        <v>75000</v>
      </c>
      <c r="J21" s="1356" t="s">
        <v>1814</v>
      </c>
      <c r="K21" s="931"/>
      <c r="L21" s="931"/>
      <c r="M21" s="931"/>
      <c r="N21" s="931"/>
      <c r="O21" s="931"/>
    </row>
    <row r="22" spans="1:15">
      <c r="A22" s="817">
        <v>7</v>
      </c>
      <c r="B22" s="1338" t="s">
        <v>1815</v>
      </c>
      <c r="C22" s="1456"/>
      <c r="D22" s="1457"/>
      <c r="E22" s="1374"/>
      <c r="F22" s="1374"/>
      <c r="G22" s="1374"/>
      <c r="H22" s="1374"/>
      <c r="I22" s="1458"/>
      <c r="J22" s="1356"/>
      <c r="K22" s="931"/>
      <c r="L22" s="931"/>
      <c r="M22" s="931"/>
      <c r="N22" s="931"/>
      <c r="O22" s="931"/>
    </row>
    <row r="23" spans="1:15">
      <c r="A23" s="817">
        <v>8</v>
      </c>
      <c r="B23" s="1338" t="s">
        <v>1649</v>
      </c>
      <c r="C23" s="1456">
        <v>460</v>
      </c>
      <c r="D23" s="1457" t="s">
        <v>1816</v>
      </c>
      <c r="E23" s="1374">
        <v>1987</v>
      </c>
      <c r="F23" s="1374" t="s">
        <v>1810</v>
      </c>
      <c r="G23" s="1374" t="s">
        <v>1535</v>
      </c>
      <c r="H23" s="1374" t="s">
        <v>218</v>
      </c>
      <c r="I23" s="1458">
        <v>5000000</v>
      </c>
      <c r="J23" s="1356"/>
      <c r="K23" s="931"/>
      <c r="L23" s="931"/>
      <c r="M23" s="931"/>
      <c r="N23" s="931"/>
      <c r="O23" s="931"/>
    </row>
    <row r="24" spans="1:15">
      <c r="A24" s="817">
        <v>9</v>
      </c>
      <c r="B24" s="1338" t="s">
        <v>106</v>
      </c>
      <c r="C24" s="1456"/>
      <c r="D24" s="1457"/>
      <c r="E24" s="1374"/>
      <c r="F24" s="1374"/>
      <c r="G24" s="1374"/>
      <c r="H24" s="1374"/>
      <c r="I24" s="1879"/>
      <c r="J24" s="1378"/>
      <c r="K24" s="931"/>
      <c r="L24" s="931"/>
      <c r="M24" s="931"/>
      <c r="N24" s="931"/>
      <c r="O24" s="931"/>
    </row>
    <row r="25" spans="1:15">
      <c r="A25" s="817">
        <v>10</v>
      </c>
      <c r="B25" s="1338" t="s">
        <v>4553</v>
      </c>
      <c r="C25" s="1456">
        <v>750</v>
      </c>
      <c r="D25" s="1457" t="s">
        <v>1809</v>
      </c>
      <c r="E25" s="1374" t="s">
        <v>2250</v>
      </c>
      <c r="F25" s="1374" t="s">
        <v>1810</v>
      </c>
      <c r="G25" s="1374" t="s">
        <v>1535</v>
      </c>
      <c r="H25" s="1374" t="s">
        <v>2251</v>
      </c>
      <c r="I25" s="1458">
        <v>282000</v>
      </c>
      <c r="J25" s="1356">
        <v>1</v>
      </c>
      <c r="K25" s="931"/>
      <c r="L25" s="931"/>
      <c r="M25" s="931"/>
      <c r="N25" s="931"/>
      <c r="O25" s="931"/>
    </row>
    <row r="26" spans="1:15">
      <c r="A26" s="817">
        <v>11</v>
      </c>
      <c r="B26" s="1338" t="s">
        <v>2252</v>
      </c>
      <c r="C26" s="1456">
        <v>466</v>
      </c>
      <c r="D26" s="1457" t="s">
        <v>1816</v>
      </c>
      <c r="E26" s="1374">
        <v>1960</v>
      </c>
      <c r="F26" s="1374" t="s">
        <v>1810</v>
      </c>
      <c r="G26" s="1374" t="s">
        <v>1535</v>
      </c>
      <c r="H26" s="1374" t="s">
        <v>2253</v>
      </c>
      <c r="I26" s="1458">
        <v>1500000</v>
      </c>
      <c r="J26" s="1356">
        <v>4</v>
      </c>
      <c r="K26" s="931"/>
      <c r="L26" s="931"/>
      <c r="M26" s="931"/>
      <c r="N26" s="931"/>
      <c r="O26" s="931"/>
    </row>
    <row r="27" spans="1:15">
      <c r="A27" s="817">
        <v>12</v>
      </c>
      <c r="B27" s="1338" t="s">
        <v>2252</v>
      </c>
      <c r="C27" s="1456">
        <v>630.5</v>
      </c>
      <c r="D27" s="1457" t="s">
        <v>2254</v>
      </c>
      <c r="E27" s="1374">
        <v>1973</v>
      </c>
      <c r="F27" s="1374" t="s">
        <v>1810</v>
      </c>
      <c r="G27" s="1374" t="s">
        <v>1535</v>
      </c>
      <c r="H27" s="1374" t="s">
        <v>2255</v>
      </c>
      <c r="I27" s="1458">
        <v>250000</v>
      </c>
      <c r="J27" s="1356">
        <v>4</v>
      </c>
      <c r="K27" s="931"/>
      <c r="L27" s="931"/>
      <c r="M27" s="931"/>
      <c r="N27" s="931"/>
      <c r="O27" s="931"/>
    </row>
    <row r="28" spans="1:15">
      <c r="A28" s="817">
        <v>13</v>
      </c>
      <c r="B28" s="1338" t="s">
        <v>3563</v>
      </c>
      <c r="C28" s="1456">
        <v>780</v>
      </c>
      <c r="D28" s="1457" t="s">
        <v>1816</v>
      </c>
      <c r="E28" s="1374">
        <v>1965</v>
      </c>
      <c r="F28" s="1374" t="s">
        <v>1810</v>
      </c>
      <c r="G28" s="1374" t="s">
        <v>1535</v>
      </c>
      <c r="H28" s="1374" t="s">
        <v>3564</v>
      </c>
      <c r="I28" s="1458">
        <v>5000000</v>
      </c>
      <c r="J28" s="1356">
        <v>1</v>
      </c>
      <c r="K28" s="931"/>
      <c r="L28" s="931"/>
      <c r="M28" s="931"/>
      <c r="N28" s="931"/>
      <c r="O28" s="931"/>
    </row>
    <row r="29" spans="1:15">
      <c r="A29" s="817">
        <v>14</v>
      </c>
      <c r="B29" s="2411" t="s">
        <v>58</v>
      </c>
      <c r="C29" s="1456">
        <v>365</v>
      </c>
      <c r="D29" s="1457" t="s">
        <v>1816</v>
      </c>
      <c r="E29" s="1374">
        <v>1998</v>
      </c>
      <c r="F29" s="1374" t="s">
        <v>1810</v>
      </c>
      <c r="G29" s="1374" t="s">
        <v>1535</v>
      </c>
      <c r="H29" s="1459" t="s">
        <v>59</v>
      </c>
      <c r="I29" s="1458">
        <v>4000000</v>
      </c>
      <c r="J29" s="1356"/>
      <c r="K29" s="931"/>
      <c r="L29" s="931"/>
      <c r="M29" s="931"/>
      <c r="N29" s="931"/>
      <c r="O29" s="931"/>
    </row>
    <row r="30" spans="1:15">
      <c r="A30" s="817">
        <v>15</v>
      </c>
      <c r="B30" s="1338" t="s">
        <v>60</v>
      </c>
      <c r="C30" s="1456">
        <v>365</v>
      </c>
      <c r="D30" s="1457" t="s">
        <v>1809</v>
      </c>
      <c r="E30" s="1374">
        <v>1963</v>
      </c>
      <c r="F30" s="1374" t="s">
        <v>1810</v>
      </c>
      <c r="G30" s="1374" t="s">
        <v>1535</v>
      </c>
      <c r="H30" s="1374" t="s">
        <v>61</v>
      </c>
      <c r="I30" s="1458">
        <v>500000</v>
      </c>
      <c r="J30" s="1356">
        <v>6</v>
      </c>
      <c r="K30" s="931"/>
      <c r="L30" s="931"/>
      <c r="M30" s="931"/>
      <c r="N30" s="931"/>
      <c r="O30" s="931"/>
    </row>
    <row r="31" spans="1:15">
      <c r="A31" s="817">
        <v>16</v>
      </c>
      <c r="B31" s="1338" t="s">
        <v>4645</v>
      </c>
      <c r="C31" s="1456">
        <v>350</v>
      </c>
      <c r="D31" s="1457" t="s">
        <v>1809</v>
      </c>
      <c r="E31" s="1374" t="s">
        <v>62</v>
      </c>
      <c r="F31" s="1374" t="s">
        <v>1810</v>
      </c>
      <c r="G31" s="1374" t="s">
        <v>1535</v>
      </c>
      <c r="H31" s="1374" t="s">
        <v>63</v>
      </c>
      <c r="I31" s="1458">
        <v>147000</v>
      </c>
      <c r="J31" s="1356">
        <v>6</v>
      </c>
      <c r="K31" s="931"/>
      <c r="L31" s="931"/>
      <c r="M31" s="931"/>
      <c r="N31" s="931"/>
      <c r="O31" s="931"/>
    </row>
    <row r="32" spans="1:15">
      <c r="A32" s="817">
        <v>17</v>
      </c>
      <c r="B32" s="1338" t="s">
        <v>1778</v>
      </c>
      <c r="C32" s="1456"/>
      <c r="D32" s="1457" t="s">
        <v>1532</v>
      </c>
      <c r="E32" s="1374"/>
      <c r="F32" s="1374"/>
      <c r="G32" s="1374"/>
      <c r="H32" s="1374"/>
      <c r="I32" s="1879"/>
      <c r="J32" s="1378"/>
      <c r="K32" s="931"/>
      <c r="L32" s="931"/>
      <c r="M32" s="931"/>
      <c r="N32" s="931"/>
      <c r="O32" s="931"/>
    </row>
    <row r="33" spans="1:32">
      <c r="A33" s="817">
        <v>18</v>
      </c>
      <c r="B33" s="1338" t="s">
        <v>64</v>
      </c>
      <c r="C33" s="1456">
        <v>292.91000000000003</v>
      </c>
      <c r="D33" s="1457" t="s">
        <v>1533</v>
      </c>
      <c r="E33" s="1374" t="s">
        <v>65</v>
      </c>
      <c r="F33" s="1374" t="s">
        <v>1534</v>
      </c>
      <c r="G33" s="1374" t="s">
        <v>171</v>
      </c>
      <c r="H33" s="1374" t="s">
        <v>66</v>
      </c>
      <c r="I33" s="1458">
        <v>500000</v>
      </c>
      <c r="J33" s="1356">
        <v>7</v>
      </c>
      <c r="K33" s="931"/>
      <c r="L33" s="931"/>
      <c r="M33" s="931"/>
      <c r="N33" s="931"/>
      <c r="O33" s="931"/>
    </row>
    <row r="34" spans="1:32">
      <c r="A34" s="817">
        <v>19</v>
      </c>
      <c r="B34" s="1338" t="s">
        <v>1778</v>
      </c>
      <c r="C34" s="1456"/>
      <c r="D34" s="1457" t="s">
        <v>1537</v>
      </c>
      <c r="E34" s="1374"/>
      <c r="F34" s="1374"/>
      <c r="G34" s="1374"/>
      <c r="H34" s="1374"/>
      <c r="I34" s="1458"/>
      <c r="J34" s="1356"/>
      <c r="K34" s="931"/>
      <c r="L34" s="931"/>
      <c r="M34" s="931"/>
      <c r="N34" s="931"/>
      <c r="O34" s="931"/>
    </row>
    <row r="35" spans="1:32">
      <c r="A35" s="817">
        <v>20</v>
      </c>
      <c r="B35" s="1338" t="s">
        <v>64</v>
      </c>
      <c r="C35" s="1456">
        <v>292.91000000000003</v>
      </c>
      <c r="D35" s="1457" t="s">
        <v>1538</v>
      </c>
      <c r="E35" s="1374" t="s">
        <v>67</v>
      </c>
      <c r="F35" s="1374" t="s">
        <v>1534</v>
      </c>
      <c r="G35" s="1374" t="s">
        <v>171</v>
      </c>
      <c r="H35" s="1374" t="s">
        <v>68</v>
      </c>
      <c r="I35" s="1458">
        <v>750000</v>
      </c>
      <c r="J35" s="1356">
        <v>7</v>
      </c>
      <c r="K35" s="931"/>
      <c r="L35" s="931"/>
      <c r="M35" s="931"/>
      <c r="N35" s="931"/>
      <c r="O35" s="931"/>
    </row>
    <row r="36" spans="1:32">
      <c r="A36" s="817">
        <v>21</v>
      </c>
      <c r="B36" s="1338" t="s">
        <v>69</v>
      </c>
      <c r="C36" s="1456">
        <v>249</v>
      </c>
      <c r="D36" s="1457" t="s">
        <v>1809</v>
      </c>
      <c r="E36" s="1374">
        <v>1980</v>
      </c>
      <c r="F36" s="1374" t="s">
        <v>1810</v>
      </c>
      <c r="G36" s="1374" t="s">
        <v>1535</v>
      </c>
      <c r="H36" s="1374" t="s">
        <v>70</v>
      </c>
      <c r="I36" s="1458">
        <v>500000</v>
      </c>
      <c r="J36" s="1356">
        <v>7</v>
      </c>
      <c r="K36" s="931"/>
      <c r="L36" s="931"/>
      <c r="M36" s="931"/>
      <c r="N36" s="931"/>
      <c r="O36" s="931"/>
    </row>
    <row r="37" spans="1:32">
      <c r="A37" s="817">
        <v>22</v>
      </c>
      <c r="B37" s="1338" t="s">
        <v>71</v>
      </c>
      <c r="C37" s="1456">
        <v>1026</v>
      </c>
      <c r="D37" s="1457" t="s">
        <v>1809</v>
      </c>
      <c r="E37" s="1374">
        <v>1985</v>
      </c>
      <c r="F37" s="1374" t="s">
        <v>1810</v>
      </c>
      <c r="G37" s="1374" t="s">
        <v>1535</v>
      </c>
      <c r="H37" s="1374" t="s">
        <v>72</v>
      </c>
      <c r="I37" s="1458">
        <v>200000</v>
      </c>
      <c r="J37" s="1356">
        <v>1</v>
      </c>
      <c r="K37" s="931"/>
      <c r="L37" s="931"/>
      <c r="M37" s="931"/>
      <c r="N37" s="931"/>
      <c r="O37" s="931"/>
      <c r="S37" s="931"/>
      <c r="T37" s="931"/>
      <c r="U37" s="931"/>
    </row>
    <row r="38" spans="1:32">
      <c r="A38" s="817">
        <v>23</v>
      </c>
      <c r="B38" s="1338" t="s">
        <v>3168</v>
      </c>
      <c r="C38" s="1456"/>
      <c r="D38" s="1457"/>
      <c r="E38" s="1374"/>
      <c r="F38" s="1374"/>
      <c r="G38" s="1374"/>
      <c r="H38" s="1374"/>
      <c r="I38" s="1458"/>
      <c r="J38" s="1356"/>
      <c r="K38" s="931"/>
      <c r="L38" s="931"/>
      <c r="M38" s="931"/>
      <c r="N38" s="931"/>
      <c r="O38" s="931"/>
      <c r="S38" s="931"/>
      <c r="T38" s="931"/>
      <c r="U38" s="931"/>
    </row>
    <row r="39" spans="1:32">
      <c r="A39" s="817">
        <v>24</v>
      </c>
      <c r="B39" s="1338" t="s">
        <v>3169</v>
      </c>
      <c r="C39" s="1456">
        <v>595</v>
      </c>
      <c r="D39" s="1457" t="s">
        <v>1809</v>
      </c>
      <c r="E39" s="1374">
        <v>1968</v>
      </c>
      <c r="F39" s="1374" t="s">
        <v>1810</v>
      </c>
      <c r="G39" s="1374" t="s">
        <v>1535</v>
      </c>
      <c r="H39" s="1374" t="s">
        <v>1668</v>
      </c>
      <c r="I39" s="1458">
        <v>500000</v>
      </c>
      <c r="J39" s="1356"/>
      <c r="K39" s="931"/>
      <c r="L39" s="931"/>
      <c r="M39" s="931"/>
      <c r="N39" s="931"/>
      <c r="O39" s="931"/>
    </row>
    <row r="40" spans="1:32">
      <c r="A40" s="817">
        <v>25</v>
      </c>
      <c r="B40" s="1338" t="s">
        <v>1669</v>
      </c>
      <c r="C40" s="1456">
        <v>740</v>
      </c>
      <c r="D40" s="1457" t="s">
        <v>1809</v>
      </c>
      <c r="E40" s="1374">
        <v>1968</v>
      </c>
      <c r="F40" s="1374" t="s">
        <v>1810</v>
      </c>
      <c r="G40" s="1374" t="s">
        <v>1535</v>
      </c>
      <c r="H40" s="1374" t="s">
        <v>76</v>
      </c>
      <c r="I40" s="1458">
        <v>150000</v>
      </c>
      <c r="J40" s="1356"/>
      <c r="K40" s="931"/>
      <c r="L40" s="931"/>
      <c r="M40" s="931"/>
      <c r="N40" s="931"/>
      <c r="O40" s="931"/>
    </row>
    <row r="41" spans="1:32">
      <c r="A41" s="817">
        <v>26</v>
      </c>
      <c r="B41" s="1338" t="s">
        <v>2571</v>
      </c>
      <c r="C41" s="1456">
        <v>720</v>
      </c>
      <c r="D41" s="1457" t="s">
        <v>2254</v>
      </c>
      <c r="E41" s="1374">
        <v>2008</v>
      </c>
      <c r="F41" s="1374" t="s">
        <v>1810</v>
      </c>
      <c r="G41" s="1374" t="s">
        <v>1535</v>
      </c>
      <c r="H41" s="1374" t="s">
        <v>4367</v>
      </c>
      <c r="I41" s="1458">
        <v>400000</v>
      </c>
      <c r="J41" s="1356">
        <v>4</v>
      </c>
      <c r="K41" s="931"/>
      <c r="L41" s="931"/>
      <c r="M41" s="931"/>
      <c r="N41" s="931"/>
      <c r="O41" s="931"/>
    </row>
    <row r="42" spans="1:32">
      <c r="A42" s="817">
        <v>27</v>
      </c>
      <c r="B42" s="1338" t="s">
        <v>4383</v>
      </c>
      <c r="C42" s="1456"/>
      <c r="D42" s="1457" t="s">
        <v>1809</v>
      </c>
      <c r="E42" s="1374">
        <v>2003</v>
      </c>
      <c r="F42" s="1374" t="s">
        <v>1810</v>
      </c>
      <c r="G42" s="1374" t="s">
        <v>1535</v>
      </c>
      <c r="H42" s="1374" t="s">
        <v>4554</v>
      </c>
      <c r="I42" s="1458">
        <v>500000</v>
      </c>
      <c r="J42" s="1356"/>
      <c r="K42" s="931"/>
      <c r="L42" s="931"/>
      <c r="M42" s="931"/>
      <c r="N42" s="931"/>
      <c r="O42" s="931"/>
    </row>
    <row r="43" spans="1:32">
      <c r="A43" s="817">
        <v>28</v>
      </c>
      <c r="B43" s="1338" t="s">
        <v>4598</v>
      </c>
      <c r="C43" s="1456"/>
      <c r="D43" s="1457" t="s">
        <v>1809</v>
      </c>
      <c r="E43" s="1374">
        <v>1964</v>
      </c>
      <c r="F43" s="1374" t="s">
        <v>1810</v>
      </c>
      <c r="G43" s="1374" t="s">
        <v>1535</v>
      </c>
      <c r="H43" s="1374" t="s">
        <v>4555</v>
      </c>
      <c r="I43" s="1458">
        <v>500000</v>
      </c>
      <c r="J43" s="1356"/>
      <c r="K43" s="931"/>
      <c r="L43" s="931"/>
      <c r="M43" s="931"/>
      <c r="N43" s="931"/>
      <c r="O43" s="931"/>
      <c r="S43" s="931"/>
      <c r="T43" s="931"/>
      <c r="U43" s="931"/>
      <c r="V43" s="931"/>
      <c r="W43" s="931"/>
      <c r="X43" s="931"/>
      <c r="Y43" s="931"/>
      <c r="Z43" s="931"/>
      <c r="AA43" s="931"/>
      <c r="AB43" s="931"/>
      <c r="AC43" s="931"/>
      <c r="AD43" s="931"/>
      <c r="AE43" s="931"/>
      <c r="AF43" s="931"/>
    </row>
    <row r="44" spans="1:32">
      <c r="A44" s="817">
        <v>29</v>
      </c>
      <c r="B44" s="1338" t="s">
        <v>4599</v>
      </c>
      <c r="C44" s="1456"/>
      <c r="D44" s="1457" t="s">
        <v>1809</v>
      </c>
      <c r="E44" s="1374">
        <v>2022</v>
      </c>
      <c r="F44" s="1374" t="s">
        <v>5565</v>
      </c>
      <c r="G44" s="1374" t="s">
        <v>1535</v>
      </c>
      <c r="H44" s="1374" t="s">
        <v>5566</v>
      </c>
      <c r="I44" s="1458">
        <v>150000</v>
      </c>
      <c r="J44" s="1356"/>
      <c r="K44" s="931"/>
      <c r="L44" s="931"/>
      <c r="M44" s="931"/>
      <c r="N44" s="931"/>
      <c r="O44" s="931"/>
    </row>
    <row r="45" spans="1:32">
      <c r="A45" s="817">
        <v>30</v>
      </c>
      <c r="B45" s="1338" t="s">
        <v>4646</v>
      </c>
      <c r="C45" s="1456"/>
      <c r="D45" s="1457" t="s">
        <v>1809</v>
      </c>
      <c r="E45" s="1374">
        <v>1964</v>
      </c>
      <c r="F45" s="1374" t="s">
        <v>1810</v>
      </c>
      <c r="G45" s="1374" t="s">
        <v>1535</v>
      </c>
      <c r="H45" s="1374"/>
      <c r="I45" s="1458">
        <v>200000</v>
      </c>
      <c r="J45" s="1356"/>
      <c r="K45" s="931"/>
      <c r="L45" s="931"/>
      <c r="M45" s="931"/>
      <c r="N45" s="931"/>
      <c r="O45" s="931"/>
    </row>
    <row r="46" spans="1:32">
      <c r="A46" s="817">
        <v>31</v>
      </c>
      <c r="B46" s="1338"/>
      <c r="C46" s="1456"/>
      <c r="D46" s="1457"/>
      <c r="E46" s="1374"/>
      <c r="F46" s="1374"/>
      <c r="G46" s="1374"/>
      <c r="H46" s="1374"/>
      <c r="I46" s="1458"/>
      <c r="J46" s="1356"/>
      <c r="K46" s="931"/>
      <c r="L46" s="931"/>
      <c r="M46" s="931"/>
      <c r="N46" s="931"/>
      <c r="O46" s="931"/>
    </row>
    <row r="47" spans="1:32">
      <c r="A47" s="817">
        <v>32</v>
      </c>
      <c r="B47" s="1338"/>
      <c r="C47" s="1456"/>
      <c r="D47" s="1457"/>
      <c r="E47" s="1374"/>
      <c r="F47" s="1374"/>
      <c r="G47" s="1374"/>
      <c r="H47" s="1374"/>
      <c r="I47" s="1458"/>
      <c r="J47" s="1356"/>
      <c r="K47" s="931"/>
      <c r="L47" s="931"/>
      <c r="M47" s="931"/>
      <c r="N47" s="931"/>
      <c r="O47" s="931"/>
    </row>
    <row r="48" spans="1:32">
      <c r="A48" s="817">
        <v>33</v>
      </c>
      <c r="B48" s="2412" t="s">
        <v>4749</v>
      </c>
      <c r="C48" s="1456"/>
      <c r="D48" s="1457"/>
      <c r="E48" s="1374"/>
      <c r="F48" s="1374"/>
      <c r="G48" s="1374"/>
      <c r="H48" s="1374"/>
      <c r="I48" s="1458"/>
      <c r="J48" s="1356"/>
      <c r="K48" s="931"/>
      <c r="L48" s="931"/>
      <c r="M48" s="931"/>
      <c r="N48" s="931"/>
      <c r="O48" s="931"/>
    </row>
    <row r="49" spans="1:16">
      <c r="A49" s="817">
        <v>34</v>
      </c>
      <c r="B49" s="1338" t="s">
        <v>4750</v>
      </c>
      <c r="C49" s="1456"/>
      <c r="D49" s="1457" t="s">
        <v>4751</v>
      </c>
      <c r="E49" s="1374"/>
      <c r="F49" s="1374"/>
      <c r="G49" s="1374" t="s">
        <v>1535</v>
      </c>
      <c r="H49" s="1374"/>
      <c r="I49" s="1458"/>
      <c r="J49" s="1356"/>
      <c r="K49" s="931"/>
      <c r="L49" s="931"/>
      <c r="M49" s="931"/>
      <c r="N49" s="931"/>
      <c r="O49" s="931"/>
    </row>
    <row r="50" spans="1:16">
      <c r="A50" s="817">
        <v>35</v>
      </c>
      <c r="B50" s="1338" t="s">
        <v>4752</v>
      </c>
      <c r="C50" s="1456"/>
      <c r="D50" s="1457" t="s">
        <v>4751</v>
      </c>
      <c r="E50" s="1374"/>
      <c r="F50" s="1374"/>
      <c r="G50" s="1374" t="s">
        <v>1535</v>
      </c>
      <c r="H50" s="1374"/>
      <c r="I50" s="1458"/>
      <c r="J50" s="1356"/>
      <c r="K50" s="931"/>
      <c r="L50" s="931"/>
      <c r="M50" s="931"/>
      <c r="N50" s="931"/>
      <c r="O50" s="931"/>
    </row>
    <row r="51" spans="1:16">
      <c r="A51" s="817">
        <v>36</v>
      </c>
      <c r="B51" s="1338" t="s">
        <v>4753</v>
      </c>
      <c r="C51" s="1456"/>
      <c r="D51" s="1457" t="s">
        <v>4754</v>
      </c>
      <c r="E51" s="1374"/>
      <c r="F51" s="1374" t="s">
        <v>924</v>
      </c>
      <c r="G51" s="1374" t="s">
        <v>1535</v>
      </c>
      <c r="H51" s="1374"/>
      <c r="I51" s="1458"/>
      <c r="J51" s="1356"/>
      <c r="K51" s="931"/>
      <c r="L51" s="931"/>
      <c r="M51" s="931"/>
      <c r="N51" s="931"/>
      <c r="O51" s="931"/>
    </row>
    <row r="52" spans="1:16">
      <c r="A52" s="817">
        <v>37</v>
      </c>
      <c r="B52" s="1338" t="s">
        <v>4755</v>
      </c>
      <c r="C52" s="1456"/>
      <c r="D52" s="1457" t="s">
        <v>4754</v>
      </c>
      <c r="E52" s="1374">
        <v>1997</v>
      </c>
      <c r="F52" s="1374" t="s">
        <v>4756</v>
      </c>
      <c r="G52" s="1374" t="s">
        <v>1535</v>
      </c>
      <c r="H52" s="1374" t="s">
        <v>4757</v>
      </c>
      <c r="I52" s="1458">
        <v>34600</v>
      </c>
      <c r="J52" s="681"/>
      <c r="K52" s="931"/>
      <c r="L52" s="931"/>
      <c r="M52" s="931"/>
      <c r="N52" s="931"/>
      <c r="O52" s="931"/>
    </row>
    <row r="53" spans="1:16">
      <c r="A53" s="817">
        <v>38</v>
      </c>
      <c r="B53" s="1338"/>
      <c r="C53" s="1456"/>
      <c r="D53" s="1457"/>
      <c r="E53" s="1374"/>
      <c r="F53" s="1374"/>
      <c r="G53" s="1374"/>
      <c r="H53" s="1374"/>
      <c r="I53" s="1458"/>
      <c r="J53" s="681"/>
      <c r="K53" s="931"/>
      <c r="L53" s="931"/>
      <c r="M53" s="931"/>
      <c r="N53" s="931"/>
      <c r="O53" s="931"/>
    </row>
    <row r="54" spans="1:16">
      <c r="A54" s="817">
        <v>39</v>
      </c>
      <c r="B54" s="2412" t="s">
        <v>4859</v>
      </c>
      <c r="C54" s="1456"/>
      <c r="D54" s="1457"/>
      <c r="E54" s="1374"/>
      <c r="F54" s="1374"/>
      <c r="G54" s="1374"/>
      <c r="H54" s="1374"/>
      <c r="I54" s="1458"/>
      <c r="J54" s="681"/>
      <c r="K54" s="931"/>
      <c r="L54" s="931"/>
      <c r="M54" s="931"/>
      <c r="N54" s="931"/>
      <c r="O54" s="931"/>
    </row>
    <row r="55" spans="1:16">
      <c r="A55" s="817">
        <v>40</v>
      </c>
      <c r="B55" s="1338" t="s">
        <v>4860</v>
      </c>
      <c r="C55" s="1456">
        <v>856.11199999999997</v>
      </c>
      <c r="D55" s="1457" t="s">
        <v>1809</v>
      </c>
      <c r="E55" s="1374">
        <v>1975</v>
      </c>
      <c r="F55" s="1374" t="s">
        <v>1810</v>
      </c>
      <c r="G55" s="1374" t="s">
        <v>1535</v>
      </c>
      <c r="H55" s="1374" t="s">
        <v>4866</v>
      </c>
      <c r="I55" s="1458">
        <v>1</v>
      </c>
      <c r="J55" s="2406" t="s">
        <v>4868</v>
      </c>
      <c r="K55" s="931"/>
      <c r="L55" s="931"/>
      <c r="M55" s="931"/>
      <c r="N55" s="931"/>
      <c r="O55" s="931"/>
    </row>
    <row r="56" spans="1:16">
      <c r="A56" s="817">
        <v>41</v>
      </c>
      <c r="B56" s="1338" t="s">
        <v>4860</v>
      </c>
      <c r="C56" s="1456">
        <v>859.12</v>
      </c>
      <c r="D56" s="1457" t="s">
        <v>1809</v>
      </c>
      <c r="E56" s="1374">
        <v>2004</v>
      </c>
      <c r="F56" s="1374" t="s">
        <v>4865</v>
      </c>
      <c r="G56" s="1374" t="s">
        <v>1535</v>
      </c>
      <c r="H56" s="1374" t="s">
        <v>4867</v>
      </c>
      <c r="I56" s="2405">
        <v>0.104</v>
      </c>
      <c r="J56" s="2406" t="s">
        <v>4868</v>
      </c>
      <c r="K56" s="931"/>
      <c r="L56" s="931"/>
      <c r="M56" s="931"/>
      <c r="N56" s="931"/>
      <c r="O56" s="931"/>
    </row>
    <row r="57" spans="1:16" ht="15.75" thickBot="1">
      <c r="A57" s="1156">
        <v>42</v>
      </c>
      <c r="B57" s="2413"/>
      <c r="C57" s="912"/>
      <c r="D57" s="912"/>
      <c r="E57" s="912"/>
      <c r="F57" s="912"/>
      <c r="G57" s="912"/>
      <c r="H57" s="912"/>
      <c r="I57" s="912"/>
      <c r="J57" s="1152"/>
      <c r="K57" s="931"/>
      <c r="L57" s="931"/>
      <c r="M57" s="931"/>
      <c r="N57" s="931"/>
      <c r="O57" s="931"/>
    </row>
    <row r="58" spans="1:16">
      <c r="A58" s="357"/>
      <c r="B58" s="432"/>
      <c r="C58" s="432"/>
      <c r="D58" s="432"/>
      <c r="E58" s="432"/>
      <c r="F58" s="432"/>
      <c r="G58" s="432"/>
      <c r="H58" s="432"/>
      <c r="I58" s="432"/>
      <c r="J58" s="786" t="s">
        <v>2024</v>
      </c>
      <c r="K58" s="931"/>
      <c r="L58" s="931"/>
      <c r="M58" s="931"/>
      <c r="N58" s="931"/>
      <c r="O58" s="931"/>
    </row>
    <row r="59" spans="1:16">
      <c r="A59" s="900" t="s">
        <v>180</v>
      </c>
      <c r="B59" s="1189"/>
      <c r="C59" s="1189"/>
      <c r="D59" s="1189"/>
      <c r="E59" s="1189"/>
      <c r="F59" s="900"/>
      <c r="G59" s="1189"/>
      <c r="H59" s="1189"/>
      <c r="I59" s="1189"/>
      <c r="J59" s="1189"/>
      <c r="K59" s="931"/>
      <c r="L59" s="931"/>
      <c r="M59" s="931"/>
      <c r="N59" s="931"/>
      <c r="O59" s="931"/>
      <c r="P59" s="931"/>
    </row>
    <row r="60" spans="1:16">
      <c r="A60" s="539"/>
      <c r="B60" s="539"/>
      <c r="C60" s="539"/>
      <c r="D60" s="539"/>
      <c r="E60" s="539"/>
      <c r="F60" s="539"/>
      <c r="G60" s="539"/>
      <c r="H60" s="539"/>
      <c r="I60" s="539"/>
      <c r="J60" s="539"/>
      <c r="K60" s="931"/>
      <c r="L60" s="931"/>
      <c r="M60" s="931"/>
      <c r="N60" s="931"/>
      <c r="O60" s="931"/>
      <c r="P60" s="931"/>
    </row>
    <row r="61" spans="1:16">
      <c r="A61" s="938"/>
      <c r="B61" s="931"/>
      <c r="C61" s="931"/>
      <c r="D61" s="931"/>
      <c r="E61" s="931"/>
      <c r="F61" s="931"/>
      <c r="G61" s="931"/>
      <c r="H61" s="931"/>
      <c r="I61" s="931"/>
      <c r="J61" s="931"/>
      <c r="K61" s="931"/>
      <c r="L61" s="931"/>
      <c r="M61" s="931"/>
      <c r="N61" s="931"/>
      <c r="O61" s="931"/>
      <c r="P61" s="931"/>
    </row>
    <row r="62" spans="1:16">
      <c r="A62" s="938"/>
      <c r="B62" s="931"/>
      <c r="C62" s="931"/>
      <c r="D62" s="931"/>
      <c r="E62" s="931"/>
      <c r="F62" s="931"/>
      <c r="G62" s="4"/>
      <c r="H62" s="4"/>
      <c r="I62" s="4"/>
      <c r="J62" s="931"/>
      <c r="K62" s="931"/>
      <c r="L62" s="931"/>
      <c r="M62" s="931"/>
      <c r="N62" s="931"/>
      <c r="O62" s="931"/>
      <c r="P62" s="931"/>
    </row>
    <row r="63" spans="1:16">
      <c r="A63" s="938"/>
      <c r="B63" s="931"/>
      <c r="C63" s="931"/>
      <c r="D63" s="931"/>
      <c r="E63" s="931"/>
      <c r="F63" s="931"/>
      <c r="G63" s="4"/>
      <c r="H63" s="4"/>
      <c r="I63" s="4"/>
      <c r="J63" s="931"/>
      <c r="K63" s="931"/>
      <c r="L63" s="931"/>
      <c r="M63" s="931"/>
      <c r="N63" s="931"/>
      <c r="O63" s="931"/>
      <c r="P63" s="931"/>
    </row>
    <row r="64" spans="1:16">
      <c r="A64" s="938"/>
      <c r="C64" s="931"/>
      <c r="D64" s="931"/>
      <c r="E64" s="931"/>
      <c r="F64" s="931"/>
      <c r="G64" s="4"/>
      <c r="H64" s="4"/>
      <c r="I64" s="4"/>
      <c r="J64" s="931"/>
      <c r="K64" s="931"/>
      <c r="L64" s="931"/>
      <c r="M64" s="931"/>
      <c r="N64" s="931"/>
      <c r="O64" s="931"/>
      <c r="P64" s="931"/>
    </row>
    <row r="65" spans="1:16">
      <c r="A65" s="938"/>
      <c r="C65" s="931"/>
      <c r="D65" s="931"/>
      <c r="E65" s="931"/>
      <c r="F65" s="931"/>
      <c r="G65" s="4"/>
      <c r="H65" s="4"/>
      <c r="I65" s="4"/>
      <c r="J65" s="931"/>
      <c r="K65" s="931"/>
      <c r="L65" s="931"/>
      <c r="M65" s="931"/>
      <c r="N65" s="931"/>
      <c r="O65" s="931"/>
      <c r="P65" s="931"/>
    </row>
    <row r="66" spans="1:16">
      <c r="A66" s="938"/>
      <c r="C66" s="931"/>
      <c r="D66" s="931"/>
      <c r="E66" s="931"/>
      <c r="F66" s="931"/>
      <c r="G66" s="4"/>
      <c r="H66" s="4"/>
      <c r="I66" s="4"/>
      <c r="J66" s="931"/>
      <c r="K66" s="931"/>
      <c r="L66" s="931"/>
      <c r="M66" s="931"/>
      <c r="N66" s="931"/>
      <c r="O66" s="931"/>
      <c r="P66" s="931"/>
    </row>
    <row r="67" spans="1:16">
      <c r="A67" s="938"/>
      <c r="C67" s="931"/>
      <c r="D67" s="931"/>
      <c r="E67" s="931"/>
      <c r="F67" s="931"/>
      <c r="G67" s="4"/>
      <c r="H67" s="4"/>
      <c r="I67" s="4"/>
      <c r="J67" s="931"/>
      <c r="K67" s="931"/>
      <c r="L67" s="931"/>
      <c r="M67" s="931"/>
      <c r="N67" s="931"/>
      <c r="O67" s="931"/>
      <c r="P67" s="931"/>
    </row>
    <row r="68" spans="1:16">
      <c r="G68" s="4"/>
      <c r="H68" s="4"/>
      <c r="I68" s="4"/>
      <c r="J68" s="4"/>
      <c r="P68" s="931"/>
    </row>
    <row r="69" spans="1:16">
      <c r="C69" s="4"/>
      <c r="D69" s="4"/>
      <c r="E69" s="4"/>
      <c r="G69" s="4"/>
      <c r="H69" s="4"/>
      <c r="I69" s="4"/>
      <c r="J69" s="4"/>
      <c r="P69" s="931"/>
    </row>
    <row r="70" spans="1:16">
      <c r="P70" s="931"/>
    </row>
  </sheetData>
  <phoneticPr fontId="0" type="noConversion"/>
  <pageMargins left="0.4" right="0.4" top="0.3" bottom="0.3" header="0.5" footer="0.5"/>
  <pageSetup scale="64" orientation="landscape" r:id="rId1"/>
  <headerFooter alignWithMargins="0"/>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transitionEvaluation="1" codeName="Sheet109"/>
  <dimension ref="A1:AF98"/>
  <sheetViews>
    <sheetView defaultGridColor="0" colorId="22" zoomScaleNormal="100" workbookViewId="0">
      <selection activeCell="S32" sqref="S32"/>
    </sheetView>
  </sheetViews>
  <sheetFormatPr defaultColWidth="9.77734375" defaultRowHeight="15"/>
  <cols>
    <col min="2" max="2" width="23.33203125" customWidth="1"/>
    <col min="11" max="11" width="10.6640625" customWidth="1"/>
  </cols>
  <sheetData>
    <row r="1" spans="1:27" ht="15.75" thickBot="1">
      <c r="A1" t="str">
        <f>'Data sheet'!A63</f>
        <v>Annual Report of Veolia Water New York, Inc.                                                                             Year Ended  December 31, 2023</v>
      </c>
    </row>
    <row r="2" spans="1:27">
      <c r="A2" s="922"/>
      <c r="B2" s="923"/>
      <c r="C2" s="923"/>
      <c r="D2" s="923"/>
      <c r="E2" s="923"/>
      <c r="F2" s="923"/>
      <c r="G2" s="923"/>
      <c r="H2" s="923"/>
      <c r="I2" s="923"/>
      <c r="J2" s="923"/>
      <c r="K2" s="923"/>
      <c r="L2" s="924"/>
      <c r="M2" s="931"/>
      <c r="N2" s="931"/>
      <c r="O2" s="931"/>
    </row>
    <row r="3" spans="1:27" ht="15.75">
      <c r="A3" s="418" t="s">
        <v>243</v>
      </c>
      <c r="B3" s="925"/>
      <c r="C3" s="925"/>
      <c r="D3" s="4"/>
      <c r="E3" s="948"/>
      <c r="F3" s="925"/>
      <c r="G3" s="925"/>
      <c r="H3" s="925"/>
      <c r="I3" s="925"/>
      <c r="J3" s="925"/>
      <c r="K3" s="925"/>
      <c r="L3" s="926"/>
      <c r="M3" s="931"/>
      <c r="N3" s="931"/>
      <c r="O3" s="931"/>
    </row>
    <row r="4" spans="1:27">
      <c r="A4" s="927"/>
      <c r="B4" s="928"/>
      <c r="C4" s="928"/>
      <c r="D4" s="928"/>
      <c r="E4" s="928"/>
      <c r="F4" s="928"/>
      <c r="G4" s="928"/>
      <c r="H4" s="928"/>
      <c r="I4" s="928"/>
      <c r="J4" s="928"/>
      <c r="K4" s="928"/>
      <c r="L4" s="929"/>
      <c r="M4" s="931"/>
      <c r="N4" s="931"/>
      <c r="O4" s="931"/>
    </row>
    <row r="5" spans="1:27">
      <c r="A5" s="930"/>
      <c r="B5" s="931"/>
      <c r="C5" s="931"/>
      <c r="D5" s="931"/>
      <c r="E5" s="931"/>
      <c r="F5" s="931"/>
      <c r="G5" s="931"/>
      <c r="H5" s="931"/>
      <c r="I5" s="931"/>
      <c r="J5" s="931"/>
      <c r="K5" s="931"/>
      <c r="L5" s="932"/>
      <c r="M5" s="931"/>
      <c r="N5" s="931"/>
      <c r="O5" s="931"/>
    </row>
    <row r="6" spans="1:27">
      <c r="A6" s="930"/>
      <c r="B6" s="931" t="s">
        <v>903</v>
      </c>
      <c r="D6" s="931"/>
      <c r="E6" s="931"/>
      <c r="H6" s="931"/>
      <c r="J6" s="931"/>
      <c r="K6" s="931"/>
      <c r="L6" s="932"/>
      <c r="M6" s="931"/>
      <c r="N6" s="931"/>
      <c r="O6" s="931"/>
    </row>
    <row r="7" spans="1:27">
      <c r="A7" s="930"/>
      <c r="B7" s="931" t="s">
        <v>904</v>
      </c>
      <c r="D7" s="931"/>
      <c r="E7" s="931"/>
      <c r="H7" s="931"/>
      <c r="J7" s="931"/>
      <c r="K7" s="931"/>
      <c r="L7" s="932"/>
      <c r="M7" s="931"/>
      <c r="N7" s="931"/>
      <c r="O7" s="931"/>
    </row>
    <row r="8" spans="1:27">
      <c r="A8" s="930"/>
      <c r="B8" s="931" t="s">
        <v>244</v>
      </c>
      <c r="D8" s="931"/>
      <c r="E8" s="931"/>
      <c r="F8" s="931"/>
      <c r="H8" s="931"/>
      <c r="I8" s="931"/>
      <c r="J8" s="931"/>
      <c r="K8" s="931"/>
      <c r="L8" s="932"/>
      <c r="M8" s="931"/>
      <c r="N8" s="931"/>
      <c r="O8" s="931"/>
    </row>
    <row r="9" spans="1:27">
      <c r="A9" s="930"/>
      <c r="D9" s="931"/>
      <c r="E9" s="931"/>
      <c r="G9" s="931"/>
      <c r="H9" s="931"/>
      <c r="I9" s="931"/>
      <c r="J9" s="931"/>
      <c r="K9" s="931"/>
      <c r="L9" s="932"/>
      <c r="M9" s="931"/>
      <c r="N9" s="931"/>
      <c r="O9" s="931"/>
    </row>
    <row r="10" spans="1:27">
      <c r="A10" s="930"/>
      <c r="B10" s="931"/>
      <c r="C10" s="931"/>
      <c r="D10" s="931"/>
      <c r="E10" s="931"/>
      <c r="F10" s="931"/>
      <c r="G10" s="931"/>
      <c r="H10" s="931"/>
      <c r="I10" s="931"/>
      <c r="J10" s="931"/>
      <c r="K10" s="931"/>
      <c r="L10" s="932"/>
      <c r="M10" s="931"/>
      <c r="N10" s="931"/>
      <c r="O10" s="931"/>
    </row>
    <row r="11" spans="1:27">
      <c r="A11" s="933"/>
      <c r="B11" s="951"/>
      <c r="C11" s="956"/>
      <c r="D11" s="957" t="s">
        <v>245</v>
      </c>
      <c r="E11" s="935"/>
      <c r="F11" s="935"/>
      <c r="G11" s="935"/>
      <c r="H11" s="935"/>
      <c r="I11" s="935"/>
      <c r="J11" s="935"/>
      <c r="K11" s="958" t="s">
        <v>246</v>
      </c>
      <c r="L11" s="959"/>
      <c r="M11" s="931"/>
      <c r="N11" s="931"/>
      <c r="O11" s="931"/>
      <c r="P11" s="931"/>
      <c r="Q11" s="931"/>
      <c r="R11" s="931"/>
      <c r="S11" s="931"/>
      <c r="T11" s="931"/>
      <c r="U11" s="931"/>
      <c r="V11" s="931"/>
      <c r="W11" s="931"/>
      <c r="X11" s="931"/>
      <c r="Y11" s="931"/>
      <c r="Z11" s="931"/>
      <c r="AA11" s="931"/>
    </row>
    <row r="12" spans="1:27">
      <c r="A12" s="936"/>
      <c r="B12" s="937"/>
      <c r="C12" s="726" t="s">
        <v>247</v>
      </c>
      <c r="D12" s="937"/>
      <c r="E12" s="937"/>
      <c r="F12" s="937"/>
      <c r="G12" s="937"/>
      <c r="H12" s="937"/>
      <c r="I12" s="953"/>
      <c r="J12" s="937"/>
      <c r="K12" s="600" t="s">
        <v>248</v>
      </c>
      <c r="L12" s="946" t="s">
        <v>249</v>
      </c>
      <c r="M12" s="938"/>
      <c r="N12" s="938"/>
      <c r="P12" s="938"/>
    </row>
    <row r="13" spans="1:27">
      <c r="A13" s="939" t="s">
        <v>2048</v>
      </c>
      <c r="B13" s="937" t="s">
        <v>1042</v>
      </c>
      <c r="C13" s="937" t="s">
        <v>250</v>
      </c>
      <c r="D13" s="937" t="s">
        <v>251</v>
      </c>
      <c r="E13" s="937" t="s">
        <v>252</v>
      </c>
      <c r="F13" s="937"/>
      <c r="G13" s="937"/>
      <c r="H13" s="937"/>
      <c r="I13" s="937"/>
      <c r="J13" s="937"/>
      <c r="K13" s="937" t="s">
        <v>253</v>
      </c>
      <c r="L13" s="940" t="s">
        <v>254</v>
      </c>
      <c r="M13" s="938"/>
      <c r="N13" s="938"/>
      <c r="O13" s="938"/>
    </row>
    <row r="14" spans="1:27">
      <c r="A14" s="939" t="s">
        <v>2051</v>
      </c>
      <c r="B14" s="937" t="s">
        <v>1843</v>
      </c>
      <c r="C14" s="937" t="s">
        <v>3071</v>
      </c>
      <c r="D14" s="937" t="s">
        <v>255</v>
      </c>
      <c r="E14" s="937" t="s">
        <v>255</v>
      </c>
      <c r="F14" s="937"/>
      <c r="G14" s="937"/>
      <c r="H14" s="937"/>
      <c r="I14" s="937"/>
      <c r="J14" s="937"/>
      <c r="K14" s="937" t="s">
        <v>3068</v>
      </c>
      <c r="L14" s="940" t="s">
        <v>3068</v>
      </c>
      <c r="M14" s="938"/>
      <c r="N14" s="938"/>
      <c r="O14" s="938"/>
    </row>
    <row r="15" spans="1:27">
      <c r="A15" s="939"/>
      <c r="B15" s="937" t="s">
        <v>3279</v>
      </c>
      <c r="C15" s="937" t="s">
        <v>1611</v>
      </c>
      <c r="D15" s="937" t="s">
        <v>256</v>
      </c>
      <c r="E15" s="937" t="s">
        <v>1613</v>
      </c>
      <c r="F15" s="937" t="s">
        <v>721</v>
      </c>
      <c r="G15" s="937" t="s">
        <v>722</v>
      </c>
      <c r="H15" s="937" t="s">
        <v>723</v>
      </c>
      <c r="I15" s="937" t="s">
        <v>335</v>
      </c>
      <c r="J15" s="937" t="s">
        <v>336</v>
      </c>
      <c r="K15" s="937" t="s">
        <v>337</v>
      </c>
      <c r="L15" s="940" t="s">
        <v>338</v>
      </c>
      <c r="M15" s="938"/>
      <c r="N15" s="938"/>
      <c r="O15" s="938"/>
    </row>
    <row r="16" spans="1:27">
      <c r="A16" s="942">
        <v>1</v>
      </c>
      <c r="B16" s="960" t="s">
        <v>257</v>
      </c>
      <c r="C16" s="934"/>
      <c r="D16" s="1279"/>
      <c r="E16" s="1279"/>
      <c r="F16" s="1279"/>
      <c r="G16" s="1279"/>
      <c r="H16" s="1279"/>
      <c r="I16" s="1279"/>
      <c r="J16" s="1279"/>
      <c r="K16" s="1279"/>
      <c r="L16" s="1280"/>
      <c r="M16" s="931"/>
      <c r="N16" s="931"/>
      <c r="O16" s="931"/>
    </row>
    <row r="17" spans="1:15">
      <c r="A17" s="936">
        <v>2</v>
      </c>
      <c r="B17" s="961" t="s">
        <v>258</v>
      </c>
      <c r="C17" s="941"/>
      <c r="D17" s="1281"/>
      <c r="E17" s="1281"/>
      <c r="F17" s="1281"/>
      <c r="G17" s="1281"/>
      <c r="H17" s="1281"/>
      <c r="I17" s="1281"/>
      <c r="J17" s="1281"/>
      <c r="K17" s="1281"/>
      <c r="L17" s="1282"/>
      <c r="M17" s="931"/>
      <c r="N17" s="931"/>
      <c r="O17" s="931"/>
    </row>
    <row r="18" spans="1:15">
      <c r="A18" s="936">
        <v>3</v>
      </c>
      <c r="B18" s="227"/>
      <c r="C18" s="941"/>
      <c r="D18" s="1281"/>
      <c r="E18" s="1281"/>
      <c r="F18" s="1281"/>
      <c r="G18" s="1281"/>
      <c r="H18" s="1281"/>
      <c r="I18" s="1281"/>
      <c r="J18" s="1281"/>
      <c r="K18" s="1281"/>
      <c r="L18" s="1282"/>
      <c r="M18" s="931"/>
      <c r="N18" s="931"/>
      <c r="O18" s="931"/>
    </row>
    <row r="19" spans="1:15">
      <c r="A19" s="936">
        <v>4</v>
      </c>
      <c r="B19" s="941"/>
      <c r="C19" s="941"/>
      <c r="D19" s="1281"/>
      <c r="E19" s="1281"/>
      <c r="F19" s="1281"/>
      <c r="G19" s="1281"/>
      <c r="H19" s="1281"/>
      <c r="I19" s="1281"/>
      <c r="J19" s="1281"/>
      <c r="K19" s="1281"/>
      <c r="L19" s="1282"/>
      <c r="M19" s="931"/>
      <c r="N19" s="931"/>
      <c r="O19" s="931"/>
    </row>
    <row r="20" spans="1:15">
      <c r="A20" s="936">
        <v>5</v>
      </c>
      <c r="B20" s="1460" t="s">
        <v>77</v>
      </c>
      <c r="C20" s="941"/>
      <c r="D20" s="1281"/>
      <c r="E20" s="1281"/>
      <c r="F20" s="1281"/>
      <c r="G20" s="1281"/>
      <c r="H20" s="1281"/>
      <c r="I20" s="1281"/>
      <c r="J20" s="1281"/>
      <c r="K20" s="1281"/>
      <c r="L20" s="1282"/>
      <c r="M20" s="931"/>
      <c r="N20" s="931"/>
      <c r="O20" s="931"/>
    </row>
    <row r="21" spans="1:15">
      <c r="A21" s="936">
        <v>6</v>
      </c>
      <c r="B21" s="941"/>
      <c r="C21" s="941"/>
      <c r="D21" s="1281"/>
      <c r="E21" s="1281"/>
      <c r="F21" s="1281"/>
      <c r="G21" s="1281"/>
      <c r="H21" s="1281"/>
      <c r="I21" s="1281"/>
      <c r="J21" s="1281"/>
      <c r="K21" s="1281"/>
      <c r="L21" s="1282"/>
      <c r="M21" s="931"/>
      <c r="N21" s="931"/>
      <c r="O21" s="931"/>
    </row>
    <row r="22" spans="1:15">
      <c r="A22" s="936">
        <v>7</v>
      </c>
      <c r="B22" s="941"/>
      <c r="C22" s="941"/>
      <c r="D22" s="1281"/>
      <c r="E22" s="1281"/>
      <c r="F22" s="1281"/>
      <c r="G22" s="1281"/>
      <c r="H22" s="1281"/>
      <c r="I22" s="1281"/>
      <c r="J22" s="1281"/>
      <c r="K22" s="1281"/>
      <c r="L22" s="1282"/>
      <c r="M22" s="931"/>
      <c r="N22" s="931"/>
      <c r="O22" s="931"/>
    </row>
    <row r="23" spans="1:15">
      <c r="A23" s="936">
        <v>8</v>
      </c>
      <c r="B23" s="941"/>
      <c r="C23" s="941"/>
      <c r="D23" s="1281"/>
      <c r="E23" s="1281"/>
      <c r="F23" s="1281"/>
      <c r="G23" s="1281"/>
      <c r="H23" s="1281"/>
      <c r="I23" s="1281"/>
      <c r="J23" s="1281"/>
      <c r="K23" s="1281"/>
      <c r="L23" s="1282"/>
      <c r="M23" s="931"/>
      <c r="N23" s="931"/>
      <c r="O23" s="931"/>
    </row>
    <row r="24" spans="1:15">
      <c r="A24" s="936">
        <v>9</v>
      </c>
      <c r="B24" s="941"/>
      <c r="C24" s="941"/>
      <c r="D24" s="1281"/>
      <c r="E24" s="1281"/>
      <c r="F24" s="1281"/>
      <c r="G24" s="1281"/>
      <c r="H24" s="1281"/>
      <c r="I24" s="1281"/>
      <c r="J24" s="1281"/>
      <c r="K24" s="1281"/>
      <c r="L24" s="1282"/>
      <c r="M24" s="931"/>
      <c r="N24" s="931"/>
      <c r="O24" s="931"/>
    </row>
    <row r="25" spans="1:15">
      <c r="A25" s="936">
        <v>10</v>
      </c>
      <c r="B25" s="941"/>
      <c r="C25" s="941"/>
      <c r="D25" s="1281"/>
      <c r="E25" s="1281"/>
      <c r="F25" s="1281"/>
      <c r="G25" s="1281"/>
      <c r="H25" s="1281"/>
      <c r="I25" s="1281"/>
      <c r="J25" s="1281"/>
      <c r="K25" s="1281"/>
      <c r="L25" s="1282"/>
      <c r="M25" s="931"/>
      <c r="N25" s="931"/>
      <c r="O25" s="931"/>
    </row>
    <row r="26" spans="1:15">
      <c r="A26" s="936">
        <v>11</v>
      </c>
      <c r="B26" s="941"/>
      <c r="C26" s="941"/>
      <c r="D26" s="1281"/>
      <c r="E26" s="1281"/>
      <c r="F26" s="1281"/>
      <c r="G26" s="1281"/>
      <c r="H26" s="1281"/>
      <c r="I26" s="1281"/>
      <c r="J26" s="1281"/>
      <c r="K26" s="1281"/>
      <c r="L26" s="1282"/>
      <c r="M26" s="931"/>
      <c r="N26" s="931"/>
      <c r="O26" s="931"/>
    </row>
    <row r="27" spans="1:15">
      <c r="A27" s="936">
        <v>12</v>
      </c>
      <c r="B27" s="941"/>
      <c r="C27" s="941"/>
      <c r="D27" s="1281"/>
      <c r="E27" s="1281"/>
      <c r="F27" s="1281"/>
      <c r="G27" s="1281"/>
      <c r="H27" s="1281"/>
      <c r="I27" s="1281"/>
      <c r="J27" s="1281"/>
      <c r="K27" s="1281"/>
      <c r="L27" s="1282"/>
      <c r="M27" s="931"/>
      <c r="N27" s="931"/>
      <c r="O27" s="931"/>
    </row>
    <row r="28" spans="1:15">
      <c r="A28" s="936">
        <v>13</v>
      </c>
      <c r="B28" s="941"/>
      <c r="C28" s="941"/>
      <c r="D28" s="1281"/>
      <c r="E28" s="1281"/>
      <c r="F28" s="1281"/>
      <c r="G28" s="1281"/>
      <c r="H28" s="1281"/>
      <c r="I28" s="1281"/>
      <c r="J28" s="1281"/>
      <c r="K28" s="1281"/>
      <c r="L28" s="1282"/>
      <c r="M28" s="931"/>
      <c r="N28" s="931"/>
      <c r="O28" s="931"/>
    </row>
    <row r="29" spans="1:15">
      <c r="A29" s="936">
        <v>14</v>
      </c>
      <c r="B29" s="941"/>
      <c r="C29" s="941"/>
      <c r="D29" s="1281"/>
      <c r="E29" s="1281"/>
      <c r="F29" s="1281"/>
      <c r="G29" s="1281"/>
      <c r="H29" s="1281"/>
      <c r="I29" s="1281"/>
      <c r="J29" s="1281"/>
      <c r="K29" s="1281"/>
      <c r="L29" s="1282"/>
      <c r="M29" s="931"/>
      <c r="N29" s="931"/>
      <c r="O29" s="931"/>
    </row>
    <row r="30" spans="1:15">
      <c r="A30" s="936">
        <v>15</v>
      </c>
      <c r="B30" s="941"/>
      <c r="C30" s="941"/>
      <c r="D30" s="1281"/>
      <c r="E30" s="1281"/>
      <c r="F30" s="1281"/>
      <c r="G30" s="1281"/>
      <c r="H30" s="1281"/>
      <c r="I30" s="1281"/>
      <c r="J30" s="1281"/>
      <c r="K30" s="1281"/>
      <c r="L30" s="1282"/>
      <c r="M30" s="931"/>
      <c r="N30" s="931"/>
      <c r="O30" s="931"/>
    </row>
    <row r="31" spans="1:15">
      <c r="A31" s="936">
        <v>16</v>
      </c>
      <c r="B31" s="941"/>
      <c r="C31" s="941"/>
      <c r="D31" s="1281"/>
      <c r="E31" s="1281"/>
      <c r="F31" s="1281"/>
      <c r="G31" s="1281"/>
      <c r="H31" s="1281"/>
      <c r="I31" s="1281"/>
      <c r="J31" s="1281"/>
      <c r="K31" s="1281"/>
      <c r="L31" s="1282"/>
      <c r="M31" s="931"/>
      <c r="N31" s="931"/>
      <c r="O31" s="931"/>
    </row>
    <row r="32" spans="1:15">
      <c r="A32" s="936">
        <v>17</v>
      </c>
      <c r="B32" s="941"/>
      <c r="C32" s="941"/>
      <c r="D32" s="1281"/>
      <c r="E32" s="1281"/>
      <c r="F32" s="1281"/>
      <c r="G32" s="1281"/>
      <c r="H32" s="1281"/>
      <c r="I32" s="1281"/>
      <c r="J32" s="1281"/>
      <c r="K32" s="1281"/>
      <c r="L32" s="1282"/>
      <c r="M32" s="931"/>
      <c r="N32" s="931"/>
      <c r="O32" s="931"/>
    </row>
    <row r="33" spans="1:32">
      <c r="A33" s="936">
        <v>18</v>
      </c>
      <c r="B33" s="941"/>
      <c r="C33" s="941"/>
      <c r="D33" s="1281"/>
      <c r="E33" s="1281"/>
      <c r="F33" s="1281"/>
      <c r="G33" s="1281"/>
      <c r="H33" s="1281"/>
      <c r="I33" s="1281"/>
      <c r="J33" s="1281"/>
      <c r="K33" s="1281"/>
      <c r="L33" s="1282"/>
      <c r="M33" s="931"/>
      <c r="N33" s="931"/>
      <c r="O33" s="931"/>
    </row>
    <row r="34" spans="1:32">
      <c r="A34" s="936">
        <v>19</v>
      </c>
      <c r="B34" s="941"/>
      <c r="C34" s="941"/>
      <c r="D34" s="1281"/>
      <c r="E34" s="1281"/>
      <c r="F34" s="1281"/>
      <c r="G34" s="1281"/>
      <c r="H34" s="1281"/>
      <c r="I34" s="1281"/>
      <c r="J34" s="1281"/>
      <c r="K34" s="1281"/>
      <c r="L34" s="1282"/>
      <c r="M34" s="931"/>
      <c r="N34" s="931"/>
      <c r="O34" s="931"/>
    </row>
    <row r="35" spans="1:32">
      <c r="A35" s="936">
        <v>20</v>
      </c>
      <c r="B35" s="941"/>
      <c r="C35" s="941"/>
      <c r="D35" s="1281"/>
      <c r="E35" s="1281"/>
      <c r="F35" s="1281"/>
      <c r="G35" s="1281"/>
      <c r="H35" s="1281"/>
      <c r="I35" s="1281"/>
      <c r="J35" s="1281"/>
      <c r="K35" s="1281"/>
      <c r="L35" s="1282"/>
      <c r="M35" s="931"/>
      <c r="N35" s="931"/>
      <c r="O35" s="931"/>
    </row>
    <row r="36" spans="1:32">
      <c r="A36" s="936">
        <v>21</v>
      </c>
      <c r="B36" s="941"/>
      <c r="C36" s="941"/>
      <c r="D36" s="1281"/>
      <c r="E36" s="1281"/>
      <c r="F36" s="1281"/>
      <c r="G36" s="1281"/>
      <c r="H36" s="1281"/>
      <c r="I36" s="1281"/>
      <c r="J36" s="1281"/>
      <c r="K36" s="1281"/>
      <c r="L36" s="1282"/>
      <c r="M36" s="931"/>
      <c r="N36" s="931"/>
      <c r="O36" s="931"/>
    </row>
    <row r="37" spans="1:32">
      <c r="A37" s="936">
        <v>22</v>
      </c>
      <c r="B37" s="941"/>
      <c r="C37" s="941"/>
      <c r="D37" s="1281"/>
      <c r="E37" s="1281"/>
      <c r="F37" s="1281"/>
      <c r="G37" s="1281"/>
      <c r="H37" s="1281"/>
      <c r="I37" s="1281"/>
      <c r="J37" s="1281"/>
      <c r="K37" s="1281"/>
      <c r="L37" s="1282"/>
      <c r="M37" s="931"/>
      <c r="N37" s="931"/>
      <c r="O37" s="931"/>
      <c r="S37" s="931"/>
      <c r="T37" s="931"/>
      <c r="U37" s="931"/>
    </row>
    <row r="38" spans="1:32">
      <c r="A38" s="936">
        <v>23</v>
      </c>
      <c r="B38" s="941"/>
      <c r="C38" s="941"/>
      <c r="D38" s="1281"/>
      <c r="E38" s="1281"/>
      <c r="F38" s="1281"/>
      <c r="G38" s="1281"/>
      <c r="H38" s="1281"/>
      <c r="I38" s="1281"/>
      <c r="J38" s="1281"/>
      <c r="K38" s="1281"/>
      <c r="L38" s="1282"/>
      <c r="M38" s="931"/>
      <c r="N38" s="931"/>
      <c r="O38" s="931"/>
      <c r="S38" s="931"/>
      <c r="T38" s="931"/>
      <c r="U38" s="931"/>
    </row>
    <row r="39" spans="1:32">
      <c r="A39" s="936">
        <v>24</v>
      </c>
      <c r="B39" s="941"/>
      <c r="C39" s="941"/>
      <c r="D39" s="1281"/>
      <c r="E39" s="1281"/>
      <c r="F39" s="1281"/>
      <c r="G39" s="1281"/>
      <c r="H39" s="1281"/>
      <c r="I39" s="1281"/>
      <c r="J39" s="1281"/>
      <c r="K39" s="1281"/>
      <c r="L39" s="1282"/>
      <c r="M39" s="931"/>
      <c r="N39" s="931"/>
      <c r="O39" s="931"/>
    </row>
    <row r="40" spans="1:32">
      <c r="A40" s="936">
        <v>25</v>
      </c>
      <c r="B40" s="941"/>
      <c r="C40" s="941"/>
      <c r="D40" s="1281"/>
      <c r="E40" s="1281"/>
      <c r="F40" s="1281"/>
      <c r="G40" s="1281"/>
      <c r="H40" s="1281"/>
      <c r="I40" s="1281"/>
      <c r="J40" s="1281"/>
      <c r="K40" s="1281"/>
      <c r="L40" s="1282"/>
      <c r="M40" s="931"/>
      <c r="N40" s="931"/>
      <c r="O40" s="931"/>
    </row>
    <row r="41" spans="1:32">
      <c r="A41" s="936">
        <v>26</v>
      </c>
      <c r="B41" s="941"/>
      <c r="C41" s="941"/>
      <c r="D41" s="1281"/>
      <c r="E41" s="1281"/>
      <c r="F41" s="1281"/>
      <c r="G41" s="1281"/>
      <c r="H41" s="1281"/>
      <c r="I41" s="1281"/>
      <c r="J41" s="1281"/>
      <c r="K41" s="1281"/>
      <c r="L41" s="1282"/>
      <c r="M41" s="931"/>
      <c r="N41" s="931"/>
      <c r="O41" s="931"/>
    </row>
    <row r="42" spans="1:32">
      <c r="A42" s="936">
        <v>27</v>
      </c>
      <c r="B42" s="941"/>
      <c r="C42" s="941"/>
      <c r="D42" s="1281"/>
      <c r="E42" s="1281"/>
      <c r="F42" s="1281"/>
      <c r="G42" s="1281"/>
      <c r="H42" s="1281"/>
      <c r="I42" s="1281"/>
      <c r="J42" s="1281"/>
      <c r="K42" s="1281"/>
      <c r="L42" s="1282"/>
      <c r="M42" s="931"/>
      <c r="N42" s="931"/>
      <c r="O42" s="931"/>
    </row>
    <row r="43" spans="1:32">
      <c r="A43" s="936">
        <v>28</v>
      </c>
      <c r="B43" s="941"/>
      <c r="C43" s="941"/>
      <c r="D43" s="1281"/>
      <c r="E43" s="1281"/>
      <c r="F43" s="1281"/>
      <c r="G43" s="1281"/>
      <c r="H43" s="1281"/>
      <c r="I43" s="1281"/>
      <c r="J43" s="1281"/>
      <c r="K43" s="1281"/>
      <c r="L43" s="1282"/>
      <c r="M43" s="931"/>
      <c r="N43" s="931"/>
      <c r="O43" s="931"/>
      <c r="S43" s="931"/>
      <c r="T43" s="931"/>
      <c r="U43" s="931"/>
      <c r="V43" s="931"/>
      <c r="W43" s="931"/>
      <c r="X43" s="931"/>
      <c r="Y43" s="931"/>
      <c r="Z43" s="931"/>
      <c r="AA43" s="931"/>
      <c r="AB43" s="931"/>
      <c r="AC43" s="931"/>
      <c r="AD43" s="931"/>
      <c r="AE43" s="931"/>
      <c r="AF43" s="931"/>
    </row>
    <row r="44" spans="1:32">
      <c r="A44" s="936">
        <v>29</v>
      </c>
      <c r="B44" s="941"/>
      <c r="C44" s="941"/>
      <c r="D44" s="1281"/>
      <c r="E44" s="1281"/>
      <c r="F44" s="1281"/>
      <c r="G44" s="1281"/>
      <c r="H44" s="1281"/>
      <c r="I44" s="1281"/>
      <c r="J44" s="1281"/>
      <c r="K44" s="1281"/>
      <c r="L44" s="1282"/>
      <c r="M44" s="931"/>
      <c r="N44" s="931"/>
      <c r="O44" s="931"/>
    </row>
    <row r="45" spans="1:32">
      <c r="A45" s="936">
        <v>30</v>
      </c>
      <c r="B45" s="941"/>
      <c r="C45" s="941"/>
      <c r="D45" s="1281"/>
      <c r="E45" s="1281"/>
      <c r="F45" s="1281"/>
      <c r="G45" s="1281"/>
      <c r="H45" s="1281"/>
      <c r="I45" s="1281"/>
      <c r="J45" s="1281"/>
      <c r="K45" s="1281"/>
      <c r="L45" s="1282"/>
      <c r="M45" s="931"/>
      <c r="N45" s="931"/>
      <c r="O45" s="931"/>
    </row>
    <row r="46" spans="1:32">
      <c r="A46" s="936">
        <v>31</v>
      </c>
      <c r="B46" s="941"/>
      <c r="C46" s="941"/>
      <c r="D46" s="1281"/>
      <c r="E46" s="1281"/>
      <c r="F46" s="1281"/>
      <c r="G46" s="1281"/>
      <c r="H46" s="1281"/>
      <c r="I46" s="1281"/>
      <c r="J46" s="1281"/>
      <c r="K46" s="1281"/>
      <c r="L46" s="1282"/>
      <c r="M46" s="931"/>
      <c r="N46" s="931"/>
      <c r="O46" s="931"/>
    </row>
    <row r="47" spans="1:32" ht="15.75" thickBot="1">
      <c r="A47" s="944">
        <v>32</v>
      </c>
      <c r="B47" s="945"/>
      <c r="C47" s="945"/>
      <c r="D47" s="1283"/>
      <c r="E47" s="1283"/>
      <c r="F47" s="1283"/>
      <c r="G47" s="1283"/>
      <c r="H47" s="1283"/>
      <c r="I47" s="1283"/>
      <c r="J47" s="1283"/>
      <c r="K47" s="1283"/>
      <c r="L47" s="1284"/>
      <c r="M47" s="931"/>
      <c r="N47" s="931"/>
      <c r="O47" s="931"/>
    </row>
    <row r="48" spans="1:32">
      <c r="A48" s="947" t="s">
        <v>2024</v>
      </c>
      <c r="B48" s="931"/>
      <c r="C48" s="931"/>
      <c r="D48" s="931"/>
      <c r="E48" s="931"/>
      <c r="F48" s="931"/>
      <c r="G48" s="931"/>
      <c r="H48" s="931"/>
      <c r="I48" s="931"/>
      <c r="J48" s="931"/>
      <c r="K48" s="931"/>
      <c r="L48" s="931"/>
      <c r="M48" s="931"/>
      <c r="N48" s="931"/>
      <c r="O48" s="931"/>
    </row>
    <row r="49" spans="1:16">
      <c r="A49" s="954" t="s">
        <v>259</v>
      </c>
      <c r="B49" s="955"/>
      <c r="C49" s="955"/>
      <c r="D49" s="955"/>
      <c r="E49" s="955"/>
      <c r="F49" s="954"/>
      <c r="G49" s="955"/>
      <c r="H49" s="955"/>
      <c r="I49" s="955"/>
      <c r="J49" s="955"/>
      <c r="K49" s="925"/>
      <c r="L49" s="925"/>
      <c r="M49" s="931"/>
      <c r="N49" s="931"/>
      <c r="O49" s="931"/>
      <c r="P49" s="931"/>
    </row>
    <row r="50" spans="1:16" ht="15.75" thickBot="1">
      <c r="A50" t="str">
        <f>'Data sheet'!A63</f>
        <v>Annual Report of Veolia Water New York, Inc.                                                                             Year Ended  December 31, 2023</v>
      </c>
      <c r="B50" s="931"/>
      <c r="C50" s="931"/>
      <c r="D50" s="931"/>
      <c r="E50" s="931"/>
      <c r="F50" s="931"/>
      <c r="G50" s="931"/>
      <c r="H50" s="931"/>
      <c r="I50" s="931"/>
      <c r="J50" s="931"/>
      <c r="K50" s="931"/>
      <c r="L50" s="931"/>
      <c r="M50" s="931"/>
      <c r="N50" s="931"/>
      <c r="O50" s="931"/>
      <c r="P50" s="931"/>
    </row>
    <row r="51" spans="1:16">
      <c r="A51" s="922"/>
      <c r="B51" s="923"/>
      <c r="C51" s="923"/>
      <c r="D51" s="923"/>
      <c r="E51" s="923"/>
      <c r="F51" s="923"/>
      <c r="G51" s="923"/>
      <c r="H51" s="923"/>
      <c r="I51" s="923"/>
      <c r="J51" s="923"/>
      <c r="K51" s="923"/>
      <c r="L51" s="924"/>
      <c r="M51" s="931"/>
      <c r="N51" s="931"/>
      <c r="O51" s="931"/>
      <c r="P51" s="931"/>
    </row>
    <row r="52" spans="1:16" ht="15.75">
      <c r="A52" s="418" t="s">
        <v>260</v>
      </c>
      <c r="B52" s="925"/>
      <c r="C52" s="925"/>
      <c r="D52" s="4"/>
      <c r="E52" s="948"/>
      <c r="F52" s="925"/>
      <c r="G52" s="925"/>
      <c r="H52" s="925"/>
      <c r="I52" s="925"/>
      <c r="J52" s="925"/>
      <c r="K52" s="925"/>
      <c r="L52" s="926"/>
      <c r="M52" s="931"/>
      <c r="N52" s="931"/>
      <c r="O52" s="931"/>
      <c r="P52" s="931"/>
    </row>
    <row r="53" spans="1:16">
      <c r="A53" s="927"/>
      <c r="B53" s="928"/>
      <c r="C53" s="928"/>
      <c r="D53" s="928"/>
      <c r="E53" s="928"/>
      <c r="F53" s="928"/>
      <c r="G53" s="928"/>
      <c r="H53" s="928"/>
      <c r="I53" s="928"/>
      <c r="J53" s="928"/>
      <c r="K53" s="928"/>
      <c r="L53" s="929"/>
      <c r="M53" s="931"/>
      <c r="N53" s="931"/>
      <c r="O53" s="931"/>
      <c r="P53" s="931"/>
    </row>
    <row r="54" spans="1:16">
      <c r="A54" s="930"/>
      <c r="B54" s="931"/>
      <c r="C54" s="931"/>
      <c r="D54" s="931"/>
      <c r="E54" s="931"/>
      <c r="F54" s="931"/>
      <c r="G54" s="931"/>
      <c r="H54" s="931"/>
      <c r="I54" s="931"/>
      <c r="J54" s="931"/>
      <c r="K54" s="931"/>
      <c r="L54" s="932"/>
      <c r="M54" s="931"/>
      <c r="N54" s="931"/>
      <c r="O54" s="931"/>
      <c r="P54" s="931"/>
    </row>
    <row r="55" spans="1:16">
      <c r="A55" s="930"/>
      <c r="B55" s="931" t="s">
        <v>903</v>
      </c>
      <c r="D55" s="931"/>
      <c r="E55" s="931"/>
      <c r="H55" s="931"/>
      <c r="J55" s="931"/>
      <c r="K55" s="931"/>
      <c r="L55" s="932"/>
      <c r="M55" s="931"/>
      <c r="N55" s="931"/>
      <c r="O55" s="931"/>
      <c r="P55" s="931"/>
    </row>
    <row r="56" spans="1:16">
      <c r="A56" s="930"/>
      <c r="B56" s="931" t="s">
        <v>904</v>
      </c>
      <c r="D56" s="931"/>
      <c r="E56" s="931"/>
      <c r="H56" s="931"/>
      <c r="J56" s="931"/>
      <c r="K56" s="931"/>
      <c r="L56" s="932"/>
      <c r="M56" s="931"/>
      <c r="N56" s="931"/>
      <c r="O56" s="931"/>
      <c r="P56" s="931"/>
    </row>
    <row r="57" spans="1:16">
      <c r="A57" s="930"/>
      <c r="B57" s="931" t="s">
        <v>244</v>
      </c>
      <c r="D57" s="931"/>
      <c r="E57" s="931"/>
      <c r="F57" s="931"/>
      <c r="H57" s="931"/>
      <c r="I57" s="931"/>
      <c r="J57" s="931"/>
      <c r="K57" s="931"/>
      <c r="L57" s="932"/>
      <c r="P57" s="931"/>
    </row>
    <row r="58" spans="1:16">
      <c r="A58" s="930"/>
      <c r="D58" s="931"/>
      <c r="E58" s="931"/>
      <c r="G58" s="931"/>
      <c r="H58" s="931"/>
      <c r="I58" s="931"/>
      <c r="J58" s="931"/>
      <c r="K58" s="931"/>
      <c r="L58" s="932"/>
      <c r="P58" s="931"/>
    </row>
    <row r="59" spans="1:16">
      <c r="A59" s="930"/>
      <c r="B59" s="931"/>
      <c r="C59" s="931"/>
      <c r="D59" s="931"/>
      <c r="E59" s="931"/>
      <c r="F59" s="931"/>
      <c r="G59" s="931"/>
      <c r="H59" s="931"/>
      <c r="I59" s="931"/>
      <c r="J59" s="931"/>
      <c r="K59" s="931"/>
      <c r="L59" s="932"/>
      <c r="P59" s="931"/>
    </row>
    <row r="60" spans="1:16">
      <c r="A60" s="933"/>
      <c r="B60" s="951"/>
      <c r="C60" s="956"/>
      <c r="D60" s="957" t="s">
        <v>245</v>
      </c>
      <c r="E60" s="935"/>
      <c r="F60" s="935"/>
      <c r="G60" s="935"/>
      <c r="H60" s="935"/>
      <c r="I60" s="935"/>
      <c r="J60" s="935"/>
      <c r="K60" s="958" t="s">
        <v>246</v>
      </c>
      <c r="L60" s="959"/>
    </row>
    <row r="61" spans="1:16">
      <c r="A61" s="936"/>
      <c r="B61" s="937"/>
      <c r="C61" s="726" t="s">
        <v>247</v>
      </c>
      <c r="D61" s="937"/>
      <c r="E61" s="937"/>
      <c r="F61" s="937"/>
      <c r="G61" s="937"/>
      <c r="H61" s="937"/>
      <c r="I61" s="953"/>
      <c r="J61" s="937"/>
      <c r="K61" s="600" t="s">
        <v>248</v>
      </c>
      <c r="L61" s="946" t="s">
        <v>249</v>
      </c>
    </row>
    <row r="62" spans="1:16">
      <c r="A62" s="939" t="s">
        <v>2048</v>
      </c>
      <c r="B62" s="937" t="s">
        <v>1042</v>
      </c>
      <c r="C62" s="937" t="s">
        <v>250</v>
      </c>
      <c r="D62" s="937" t="s">
        <v>251</v>
      </c>
      <c r="E62" s="937" t="s">
        <v>252</v>
      </c>
      <c r="F62" s="937"/>
      <c r="G62" s="937"/>
      <c r="H62" s="937"/>
      <c r="I62" s="937"/>
      <c r="J62" s="937"/>
      <c r="K62" s="937" t="s">
        <v>253</v>
      </c>
      <c r="L62" s="940" t="s">
        <v>254</v>
      </c>
    </row>
    <row r="63" spans="1:16">
      <c r="A63" s="939" t="s">
        <v>2051</v>
      </c>
      <c r="B63" s="937" t="s">
        <v>1843</v>
      </c>
      <c r="C63" s="937" t="s">
        <v>3071</v>
      </c>
      <c r="D63" s="937" t="s">
        <v>255</v>
      </c>
      <c r="E63" s="937" t="s">
        <v>255</v>
      </c>
      <c r="F63" s="937"/>
      <c r="G63" s="937"/>
      <c r="H63" s="937"/>
      <c r="I63" s="937"/>
      <c r="J63" s="937"/>
      <c r="K63" s="937" t="s">
        <v>3068</v>
      </c>
      <c r="L63" s="940" t="s">
        <v>3068</v>
      </c>
    </row>
    <row r="64" spans="1:16">
      <c r="A64" s="939"/>
      <c r="B64" s="937" t="s">
        <v>3279</v>
      </c>
      <c r="C64" s="937" t="s">
        <v>1611</v>
      </c>
      <c r="D64" s="937" t="s">
        <v>256</v>
      </c>
      <c r="E64" s="937" t="s">
        <v>1613</v>
      </c>
      <c r="F64" s="937" t="s">
        <v>721</v>
      </c>
      <c r="G64" s="937" t="s">
        <v>722</v>
      </c>
      <c r="H64" s="937" t="s">
        <v>723</v>
      </c>
      <c r="I64" s="937" t="s">
        <v>335</v>
      </c>
      <c r="J64" s="937" t="s">
        <v>336</v>
      </c>
      <c r="K64" s="937" t="s">
        <v>337</v>
      </c>
      <c r="L64" s="940" t="s">
        <v>338</v>
      </c>
    </row>
    <row r="65" spans="1:12">
      <c r="A65" s="942">
        <v>1</v>
      </c>
      <c r="B65" s="960" t="s">
        <v>261</v>
      </c>
      <c r="C65" s="934"/>
      <c r="D65" s="1279"/>
      <c r="E65" s="1279"/>
      <c r="F65" s="1279"/>
      <c r="G65" s="1279"/>
      <c r="H65" s="1279"/>
      <c r="I65" s="1279"/>
      <c r="J65" s="1279"/>
      <c r="K65" s="1279"/>
      <c r="L65" s="1280"/>
    </row>
    <row r="66" spans="1:12">
      <c r="A66" s="936">
        <v>2</v>
      </c>
      <c r="B66" s="961"/>
      <c r="C66" s="941"/>
      <c r="D66" s="1281"/>
      <c r="E66" s="1281"/>
      <c r="F66" s="1281"/>
      <c r="G66" s="1281"/>
      <c r="H66" s="1281"/>
      <c r="I66" s="1281"/>
      <c r="J66" s="1281"/>
      <c r="K66" s="1281"/>
      <c r="L66" s="1282"/>
    </row>
    <row r="67" spans="1:12">
      <c r="A67" s="936">
        <v>3</v>
      </c>
      <c r="B67" s="227"/>
      <c r="C67" s="941"/>
      <c r="D67" s="1281"/>
      <c r="E67" s="1281"/>
      <c r="F67" s="1281"/>
      <c r="G67" s="1281"/>
      <c r="H67" s="1281"/>
      <c r="I67" s="1281"/>
      <c r="J67" s="1281"/>
      <c r="K67" s="1281"/>
      <c r="L67" s="1282"/>
    </row>
    <row r="68" spans="1:12">
      <c r="A68" s="936">
        <v>4</v>
      </c>
      <c r="B68" s="941"/>
      <c r="C68" s="941"/>
      <c r="D68" s="1281"/>
      <c r="E68" s="1281"/>
      <c r="F68" s="1281"/>
      <c r="G68" s="1281"/>
      <c r="H68" s="1281"/>
      <c r="I68" s="1281"/>
      <c r="J68" s="1281"/>
      <c r="K68" s="1281"/>
      <c r="L68" s="1282"/>
    </row>
    <row r="69" spans="1:12">
      <c r="A69" s="936">
        <v>5</v>
      </c>
      <c r="B69" s="952"/>
      <c r="C69" s="941"/>
      <c r="D69" s="1281"/>
      <c r="E69" s="1281"/>
      <c r="F69" s="1281"/>
      <c r="G69" s="1281"/>
      <c r="H69" s="1281"/>
      <c r="I69" s="1281"/>
      <c r="J69" s="1281"/>
      <c r="K69" s="1281"/>
      <c r="L69" s="1282"/>
    </row>
    <row r="70" spans="1:12">
      <c r="A70" s="936">
        <v>6</v>
      </c>
      <c r="B70" s="941"/>
      <c r="C70" s="941"/>
      <c r="D70" s="1281"/>
      <c r="E70" s="1281"/>
      <c r="F70" s="1281"/>
      <c r="G70" s="1281"/>
      <c r="H70" s="1281"/>
      <c r="I70" s="1281"/>
      <c r="J70" s="1281"/>
      <c r="K70" s="1281"/>
      <c r="L70" s="1282"/>
    </row>
    <row r="71" spans="1:12">
      <c r="A71" s="936">
        <v>7</v>
      </c>
      <c r="B71" s="941"/>
      <c r="C71" s="941"/>
      <c r="D71" s="1281"/>
      <c r="E71" s="1281"/>
      <c r="F71" s="1281"/>
      <c r="G71" s="1281"/>
      <c r="H71" s="1281"/>
      <c r="I71" s="1281"/>
      <c r="J71" s="1281"/>
      <c r="K71" s="1281"/>
      <c r="L71" s="1282"/>
    </row>
    <row r="72" spans="1:12">
      <c r="A72" s="936">
        <v>8</v>
      </c>
      <c r="B72" s="941"/>
      <c r="C72" s="941"/>
      <c r="D72" s="1281"/>
      <c r="E72" s="1281"/>
      <c r="F72" s="1281"/>
      <c r="G72" s="1281"/>
      <c r="H72" s="1281"/>
      <c r="I72" s="1281"/>
      <c r="J72" s="1281"/>
      <c r="K72" s="1281"/>
      <c r="L72" s="1282"/>
    </row>
    <row r="73" spans="1:12">
      <c r="A73" s="936">
        <v>9</v>
      </c>
      <c r="B73" s="941"/>
      <c r="C73" s="941"/>
      <c r="D73" s="1281"/>
      <c r="E73" s="1281"/>
      <c r="F73" s="1281"/>
      <c r="G73" s="1281"/>
      <c r="H73" s="1281"/>
      <c r="I73" s="1281"/>
      <c r="J73" s="1281"/>
      <c r="K73" s="1281"/>
      <c r="L73" s="1282"/>
    </row>
    <row r="74" spans="1:12">
      <c r="A74" s="936">
        <v>10</v>
      </c>
      <c r="B74" s="941"/>
      <c r="C74" s="941"/>
      <c r="D74" s="1281"/>
      <c r="E74" s="1281"/>
      <c r="F74" s="1281"/>
      <c r="G74" s="1281"/>
      <c r="H74" s="1281"/>
      <c r="I74" s="1281"/>
      <c r="J74" s="1281"/>
      <c r="K74" s="1281"/>
      <c r="L74" s="1282"/>
    </row>
    <row r="75" spans="1:12">
      <c r="A75" s="936">
        <v>11</v>
      </c>
      <c r="B75" s="941"/>
      <c r="C75" s="941"/>
      <c r="D75" s="1281"/>
      <c r="E75" s="1281"/>
      <c r="F75" s="1281"/>
      <c r="G75" s="1281"/>
      <c r="H75" s="1281"/>
      <c r="I75" s="1281"/>
      <c r="J75" s="1281"/>
      <c r="K75" s="1281"/>
      <c r="L75" s="1282"/>
    </row>
    <row r="76" spans="1:12">
      <c r="A76" s="936">
        <v>12</v>
      </c>
      <c r="B76" s="941"/>
      <c r="C76" s="941"/>
      <c r="D76" s="1281"/>
      <c r="E76" s="1281"/>
      <c r="F76" s="1281"/>
      <c r="G76" s="1281"/>
      <c r="H76" s="1281"/>
      <c r="I76" s="1281"/>
      <c r="J76" s="1281"/>
      <c r="K76" s="1281"/>
      <c r="L76" s="1282"/>
    </row>
    <row r="77" spans="1:12">
      <c r="A77" s="936">
        <v>13</v>
      </c>
      <c r="B77" s="941"/>
      <c r="C77" s="941"/>
      <c r="D77" s="1281"/>
      <c r="E77" s="1281"/>
      <c r="F77" s="1281"/>
      <c r="G77" s="1281"/>
      <c r="H77" s="1281"/>
      <c r="I77" s="1281"/>
      <c r="J77" s="1281"/>
      <c r="K77" s="1281"/>
      <c r="L77" s="1282"/>
    </row>
    <row r="78" spans="1:12">
      <c r="A78" s="936">
        <v>14</v>
      </c>
      <c r="B78" s="941"/>
      <c r="C78" s="941"/>
      <c r="D78" s="1281"/>
      <c r="E78" s="1281"/>
      <c r="F78" s="1281"/>
      <c r="G78" s="1281"/>
      <c r="H78" s="1281"/>
      <c r="I78" s="1281"/>
      <c r="J78" s="1281"/>
      <c r="K78" s="1281"/>
      <c r="L78" s="1282"/>
    </row>
    <row r="79" spans="1:12">
      <c r="A79" s="936">
        <v>15</v>
      </c>
      <c r="B79" s="941"/>
      <c r="C79" s="941"/>
      <c r="D79" s="1281"/>
      <c r="E79" s="1281"/>
      <c r="F79" s="1281"/>
      <c r="G79" s="1281"/>
      <c r="H79" s="1281"/>
      <c r="I79" s="1281"/>
      <c r="J79" s="1281"/>
      <c r="K79" s="1281"/>
      <c r="L79" s="1282"/>
    </row>
    <row r="80" spans="1:12">
      <c r="A80" s="936">
        <v>16</v>
      </c>
      <c r="B80" s="941"/>
      <c r="C80" s="941"/>
      <c r="D80" s="1281"/>
      <c r="E80" s="1281"/>
      <c r="F80" s="1281"/>
      <c r="G80" s="1281"/>
      <c r="H80" s="1281"/>
      <c r="I80" s="1281"/>
      <c r="J80" s="1281"/>
      <c r="K80" s="1281"/>
      <c r="L80" s="1282"/>
    </row>
    <row r="81" spans="1:12">
      <c r="A81" s="936">
        <v>17</v>
      </c>
      <c r="B81" s="941"/>
      <c r="C81" s="941"/>
      <c r="D81" s="1281"/>
      <c r="E81" s="1281"/>
      <c r="F81" s="1281"/>
      <c r="G81" s="1281"/>
      <c r="H81" s="1281"/>
      <c r="I81" s="1281"/>
      <c r="J81" s="1281"/>
      <c r="K81" s="1281"/>
      <c r="L81" s="1282"/>
    </row>
    <row r="82" spans="1:12">
      <c r="A82" s="936">
        <v>18</v>
      </c>
      <c r="B82" s="941"/>
      <c r="C82" s="941"/>
      <c r="D82" s="1281"/>
      <c r="E82" s="1281"/>
      <c r="F82" s="1281"/>
      <c r="G82" s="1281"/>
      <c r="H82" s="1281"/>
      <c r="I82" s="1281"/>
      <c r="J82" s="1281"/>
      <c r="K82" s="1281"/>
      <c r="L82" s="1282"/>
    </row>
    <row r="83" spans="1:12">
      <c r="A83" s="936">
        <v>19</v>
      </c>
      <c r="B83" s="941"/>
      <c r="C83" s="941"/>
      <c r="D83" s="1281"/>
      <c r="E83" s="1281"/>
      <c r="F83" s="1281"/>
      <c r="G83" s="1281"/>
      <c r="H83" s="1281"/>
      <c r="I83" s="1281"/>
      <c r="J83" s="1281"/>
      <c r="K83" s="1281"/>
      <c r="L83" s="1282"/>
    </row>
    <row r="84" spans="1:12">
      <c r="A84" s="936">
        <v>20</v>
      </c>
      <c r="B84" s="941"/>
      <c r="C84" s="941"/>
      <c r="D84" s="1281"/>
      <c r="E84" s="1281"/>
      <c r="F84" s="1281"/>
      <c r="G84" s="1281"/>
      <c r="H84" s="1281"/>
      <c r="I84" s="1281"/>
      <c r="J84" s="1281"/>
      <c r="K84" s="1281"/>
      <c r="L84" s="1282"/>
    </row>
    <row r="85" spans="1:12">
      <c r="A85" s="936">
        <v>21</v>
      </c>
      <c r="B85" s="941"/>
      <c r="C85" s="941"/>
      <c r="D85" s="1281"/>
      <c r="E85" s="1281"/>
      <c r="F85" s="1281"/>
      <c r="G85" s="1281"/>
      <c r="H85" s="1281"/>
      <c r="I85" s="1281"/>
      <c r="J85" s="1281"/>
      <c r="K85" s="1281"/>
      <c r="L85" s="1282"/>
    </row>
    <row r="86" spans="1:12">
      <c r="A86" s="936">
        <v>22</v>
      </c>
      <c r="B86" s="941"/>
      <c r="C86" s="941"/>
      <c r="D86" s="1281"/>
      <c r="E86" s="1281"/>
      <c r="F86" s="1281"/>
      <c r="G86" s="1281"/>
      <c r="H86" s="1281"/>
      <c r="I86" s="1281"/>
      <c r="J86" s="1281"/>
      <c r="K86" s="1281"/>
      <c r="L86" s="1282"/>
    </row>
    <row r="87" spans="1:12">
      <c r="A87" s="936">
        <v>23</v>
      </c>
      <c r="B87" s="941"/>
      <c r="C87" s="941"/>
      <c r="D87" s="1281"/>
      <c r="E87" s="1281"/>
      <c r="F87" s="1281"/>
      <c r="G87" s="1281"/>
      <c r="H87" s="1281"/>
      <c r="I87" s="1281"/>
      <c r="J87" s="1281"/>
      <c r="K87" s="1281"/>
      <c r="L87" s="1282"/>
    </row>
    <row r="88" spans="1:12">
      <c r="A88" s="936">
        <v>24</v>
      </c>
      <c r="B88" s="941"/>
      <c r="C88" s="941"/>
      <c r="D88" s="1281"/>
      <c r="E88" s="1281"/>
      <c r="F88" s="1281"/>
      <c r="G88" s="1281"/>
      <c r="H88" s="1281"/>
      <c r="I88" s="1281"/>
      <c r="J88" s="1281"/>
      <c r="K88" s="1281"/>
      <c r="L88" s="1282"/>
    </row>
    <row r="89" spans="1:12">
      <c r="A89" s="936">
        <v>25</v>
      </c>
      <c r="B89" s="941"/>
      <c r="C89" s="941"/>
      <c r="D89" s="1281"/>
      <c r="E89" s="1281"/>
      <c r="F89" s="1281"/>
      <c r="G89" s="1281"/>
      <c r="H89" s="1281"/>
      <c r="I89" s="1281"/>
      <c r="J89" s="1281"/>
      <c r="K89" s="1281"/>
      <c r="L89" s="1282"/>
    </row>
    <row r="90" spans="1:12">
      <c r="A90" s="936">
        <v>26</v>
      </c>
      <c r="B90" s="941"/>
      <c r="C90" s="941"/>
      <c r="D90" s="1281"/>
      <c r="E90" s="1281"/>
      <c r="F90" s="1281"/>
      <c r="G90" s="1281"/>
      <c r="H90" s="1281"/>
      <c r="I90" s="1281"/>
      <c r="J90" s="1281"/>
      <c r="K90" s="1281"/>
      <c r="L90" s="1282"/>
    </row>
    <row r="91" spans="1:12">
      <c r="A91" s="936">
        <v>27</v>
      </c>
      <c r="B91" s="941"/>
      <c r="C91" s="941"/>
      <c r="D91" s="1281"/>
      <c r="E91" s="1281"/>
      <c r="F91" s="1281"/>
      <c r="G91" s="1281"/>
      <c r="H91" s="1281"/>
      <c r="I91" s="1281"/>
      <c r="J91" s="1281"/>
      <c r="K91" s="1281"/>
      <c r="L91" s="1282"/>
    </row>
    <row r="92" spans="1:12">
      <c r="A92" s="936">
        <v>28</v>
      </c>
      <c r="B92" s="941"/>
      <c r="C92" s="941"/>
      <c r="D92" s="1281"/>
      <c r="E92" s="1281"/>
      <c r="F92" s="1281"/>
      <c r="G92" s="1281"/>
      <c r="H92" s="1281"/>
      <c r="I92" s="1281"/>
      <c r="J92" s="1281"/>
      <c r="K92" s="1281"/>
      <c r="L92" s="1282"/>
    </row>
    <row r="93" spans="1:12">
      <c r="A93" s="936">
        <v>29</v>
      </c>
      <c r="B93" s="941"/>
      <c r="C93" s="941"/>
      <c r="D93" s="1281"/>
      <c r="E93" s="1281"/>
      <c r="F93" s="1281"/>
      <c r="G93" s="1281"/>
      <c r="H93" s="1281"/>
      <c r="I93" s="1281"/>
      <c r="J93" s="1281"/>
      <c r="K93" s="1281"/>
      <c r="L93" s="1282"/>
    </row>
    <row r="94" spans="1:12">
      <c r="A94" s="936">
        <v>30</v>
      </c>
      <c r="B94" s="941"/>
      <c r="C94" s="941"/>
      <c r="D94" s="1281"/>
      <c r="E94" s="1281"/>
      <c r="F94" s="1281"/>
      <c r="G94" s="1281"/>
      <c r="H94" s="1281"/>
      <c r="I94" s="1281"/>
      <c r="J94" s="1281"/>
      <c r="K94" s="1281"/>
      <c r="L94" s="1282"/>
    </row>
    <row r="95" spans="1:12">
      <c r="A95" s="936">
        <v>31</v>
      </c>
      <c r="B95" s="941"/>
      <c r="C95" s="941"/>
      <c r="D95" s="1281"/>
      <c r="E95" s="1281"/>
      <c r="F95" s="1281"/>
      <c r="G95" s="1281"/>
      <c r="H95" s="1281"/>
      <c r="I95" s="1281"/>
      <c r="J95" s="1281"/>
      <c r="K95" s="1281"/>
      <c r="L95" s="1282"/>
    </row>
    <row r="96" spans="1:12" ht="15.75" thickBot="1">
      <c r="A96" s="944">
        <v>32</v>
      </c>
      <c r="B96" s="945"/>
      <c r="C96" s="945"/>
      <c r="D96" s="1283"/>
      <c r="E96" s="1283"/>
      <c r="F96" s="1283"/>
      <c r="G96" s="1283"/>
      <c r="H96" s="1283"/>
      <c r="I96" s="1283"/>
      <c r="J96" s="1283"/>
      <c r="K96" s="1283"/>
      <c r="L96" s="1284"/>
    </row>
    <row r="97" spans="1:12">
      <c r="B97" s="931"/>
      <c r="C97" s="931"/>
      <c r="D97" s="931"/>
      <c r="E97" s="931"/>
      <c r="F97" s="931"/>
      <c r="G97" s="931"/>
      <c r="H97" s="931"/>
      <c r="I97" s="931"/>
      <c r="J97" s="931"/>
      <c r="K97" s="931"/>
      <c r="L97" s="950" t="s">
        <v>2024</v>
      </c>
    </row>
    <row r="98" spans="1:12">
      <c r="A98" s="954" t="s">
        <v>262</v>
      </c>
      <c r="B98" s="955"/>
      <c r="C98" s="955"/>
      <c r="D98" s="955"/>
      <c r="E98" s="955"/>
      <c r="F98" s="954"/>
      <c r="G98" s="955"/>
      <c r="H98" s="955"/>
      <c r="I98" s="955"/>
      <c r="J98" s="955"/>
      <c r="K98" s="925"/>
      <c r="L98" s="925"/>
    </row>
  </sheetData>
  <phoneticPr fontId="0" type="noConversion"/>
  <pageMargins left="0.4" right="0.4" top="0.3" bottom="0.3" header="0.5" footer="0.5"/>
  <pageSetup scale="74" fitToHeight="2" orientation="landscape" r:id="rId1"/>
  <headerFooter alignWithMargins="0"/>
  <rowBreaks count="1" manualBreakCount="1">
    <brk id="49" max="11"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2"/>
  <dimension ref="A1:P156"/>
  <sheetViews>
    <sheetView defaultGridColor="0" colorId="22" zoomScaleNormal="100" workbookViewId="0">
      <selection activeCell="N3" sqref="N3"/>
    </sheetView>
  </sheetViews>
  <sheetFormatPr defaultColWidth="9.77734375" defaultRowHeight="15"/>
  <cols>
    <col min="1" max="1" width="4.6640625" customWidth="1"/>
    <col min="2" max="2" width="27.33203125" customWidth="1"/>
    <col min="3" max="3" width="10.109375" customWidth="1"/>
    <col min="4" max="4" width="11.44140625" customWidth="1"/>
    <col min="5" max="7" width="10.44140625" bestFit="1" customWidth="1"/>
    <col min="10" max="10" width="12.77734375" customWidth="1"/>
    <col min="11" max="11" width="13.109375" style="600" bestFit="1" customWidth="1"/>
    <col min="12" max="12" width="11.44140625" bestFit="1" customWidth="1"/>
    <col min="13" max="13" width="3.6640625" style="1592" customWidth="1"/>
    <col min="14" max="14" width="7.77734375" bestFit="1" customWidth="1"/>
    <col min="15" max="16" width="14" bestFit="1" customWidth="1"/>
    <col min="17" max="17" width="11.33203125" bestFit="1" customWidth="1"/>
  </cols>
  <sheetData>
    <row r="1" spans="1:12" ht="15.75" thickBot="1">
      <c r="A1" s="14" t="str">
        <f>'Data sheet'!A65</f>
        <v>Annual Report of Veolia Water New York, Inc.                                                                                          Year Ended  December 31, 2023</v>
      </c>
      <c r="B1" s="218"/>
      <c r="C1" s="86"/>
      <c r="D1" s="213"/>
    </row>
    <row r="2" spans="1:12">
      <c r="A2" s="80"/>
      <c r="B2" s="81"/>
      <c r="C2" s="130"/>
      <c r="D2" s="81"/>
      <c r="E2" s="81"/>
      <c r="F2" s="81"/>
      <c r="G2" s="81"/>
      <c r="H2" s="81"/>
      <c r="I2" s="81"/>
      <c r="J2" s="81"/>
      <c r="K2" s="790"/>
      <c r="L2" s="82"/>
    </row>
    <row r="3" spans="1:12" ht="15.75">
      <c r="A3" s="118" t="s">
        <v>1881</v>
      </c>
      <c r="B3" s="3"/>
      <c r="C3" s="5"/>
      <c r="D3" s="5"/>
      <c r="E3" s="5"/>
      <c r="F3" s="5"/>
      <c r="G3" s="5"/>
      <c r="H3" s="5"/>
      <c r="I3" s="4"/>
      <c r="J3" s="4"/>
      <c r="L3" s="119"/>
    </row>
    <row r="4" spans="1:12" ht="15.75">
      <c r="A4" s="118" t="s">
        <v>1882</v>
      </c>
      <c r="B4" s="3"/>
      <c r="C4" s="5"/>
      <c r="D4" s="219"/>
      <c r="E4" s="5"/>
      <c r="F4" s="5"/>
      <c r="G4" s="5"/>
      <c r="H4" s="5"/>
      <c r="I4" s="4"/>
      <c r="J4" s="4"/>
      <c r="L4" s="119"/>
    </row>
    <row r="5" spans="1:12" ht="18">
      <c r="A5" s="220" t="s">
        <v>1116</v>
      </c>
      <c r="B5" s="1"/>
      <c r="C5" s="2"/>
      <c r="D5" s="3"/>
      <c r="E5" s="3"/>
      <c r="F5" s="3"/>
      <c r="G5" s="3"/>
      <c r="H5" s="3"/>
      <c r="I5" s="3"/>
      <c r="J5" s="3"/>
      <c r="K5" s="106"/>
      <c r="L5" s="84"/>
    </row>
    <row r="6" spans="1:12">
      <c r="A6" s="221"/>
      <c r="B6" s="222"/>
      <c r="C6" s="223"/>
      <c r="D6" s="224"/>
      <c r="E6" s="224"/>
      <c r="F6" s="224"/>
      <c r="G6" s="224"/>
      <c r="H6" s="224"/>
      <c r="I6" s="224"/>
      <c r="J6" s="224"/>
      <c r="K6" s="797"/>
      <c r="L6" s="225"/>
    </row>
    <row r="7" spans="1:12">
      <c r="A7" s="237" t="s">
        <v>1727</v>
      </c>
      <c r="B7" s="95"/>
      <c r="C7" s="2048" t="s">
        <v>1117</v>
      </c>
      <c r="D7" s="95"/>
      <c r="E7" s="95"/>
      <c r="F7" s="95"/>
      <c r="G7" s="95"/>
      <c r="H7" s="95"/>
      <c r="I7" s="95"/>
      <c r="J7" s="440" t="s">
        <v>1118</v>
      </c>
      <c r="K7" s="440" t="s">
        <v>1119</v>
      </c>
      <c r="L7" s="428" t="s">
        <v>1120</v>
      </c>
    </row>
    <row r="8" spans="1:12">
      <c r="A8" s="240" t="s">
        <v>1739</v>
      </c>
      <c r="B8" s="1000" t="s">
        <v>1121</v>
      </c>
      <c r="C8" s="2049" t="s">
        <v>1122</v>
      </c>
      <c r="D8" s="1000" t="s">
        <v>1123</v>
      </c>
      <c r="E8" s="1000" t="s">
        <v>1123</v>
      </c>
      <c r="F8" s="1000" t="s">
        <v>1123</v>
      </c>
      <c r="G8" s="1000" t="s">
        <v>1123</v>
      </c>
      <c r="H8" s="1000" t="s">
        <v>1123</v>
      </c>
      <c r="I8" s="99"/>
      <c r="J8" s="1000" t="s">
        <v>1124</v>
      </c>
      <c r="K8" s="1000" t="s">
        <v>1125</v>
      </c>
      <c r="L8" s="424" t="s">
        <v>1126</v>
      </c>
    </row>
    <row r="9" spans="1:12" ht="15.75">
      <c r="A9" s="226">
        <v>1</v>
      </c>
      <c r="B9" s="107" t="s">
        <v>1127</v>
      </c>
      <c r="C9" s="2050"/>
      <c r="D9" s="95"/>
      <c r="E9" s="577"/>
      <c r="F9" s="95"/>
      <c r="G9" s="95"/>
      <c r="H9" s="95"/>
      <c r="I9" s="95"/>
      <c r="J9" s="95"/>
      <c r="K9" s="440"/>
      <c r="L9" s="87"/>
    </row>
    <row r="10" spans="1:12">
      <c r="A10" s="226">
        <v>2</v>
      </c>
      <c r="B10" s="230" t="s">
        <v>1128</v>
      </c>
      <c r="C10" s="1024"/>
      <c r="D10" s="95"/>
      <c r="E10" s="577"/>
      <c r="F10" s="95"/>
      <c r="G10" s="95"/>
      <c r="H10" s="95"/>
      <c r="I10" s="95"/>
      <c r="J10" s="95"/>
      <c r="K10" s="440"/>
      <c r="L10" s="87"/>
    </row>
    <row r="11" spans="1:12">
      <c r="A11" s="226">
        <v>3</v>
      </c>
      <c r="B11" s="95" t="s">
        <v>1129</v>
      </c>
      <c r="C11" s="2051"/>
      <c r="D11" s="2051"/>
      <c r="E11" s="2051"/>
      <c r="F11" s="2051"/>
      <c r="G11" s="2051"/>
      <c r="H11" s="2051"/>
      <c r="I11" s="2051"/>
      <c r="J11" s="2051"/>
      <c r="K11" s="440"/>
      <c r="L11" s="435">
        <f>SUM(C11:J11)</f>
        <v>0</v>
      </c>
    </row>
    <row r="12" spans="1:12">
      <c r="A12" s="226">
        <v>4</v>
      </c>
      <c r="B12" s="95"/>
      <c r="C12" s="2052"/>
      <c r="D12" s="2053"/>
      <c r="E12" s="2051"/>
      <c r="F12" s="2051"/>
      <c r="G12" s="2051"/>
      <c r="H12" s="2051"/>
      <c r="I12" s="2051"/>
      <c r="J12" s="2051"/>
      <c r="K12" s="440"/>
      <c r="L12" s="87"/>
    </row>
    <row r="13" spans="1:12">
      <c r="A13" s="226">
        <v>5</v>
      </c>
      <c r="B13" s="95"/>
      <c r="C13" s="2052"/>
      <c r="D13" s="2053"/>
      <c r="E13" s="2051"/>
      <c r="F13" s="2051"/>
      <c r="G13" s="2051"/>
      <c r="H13" s="2051"/>
      <c r="I13" s="2051"/>
      <c r="J13" s="2051"/>
      <c r="K13" s="440"/>
      <c r="L13" s="87"/>
    </row>
    <row r="14" spans="1:12">
      <c r="A14" s="226">
        <v>6</v>
      </c>
      <c r="B14" s="95"/>
      <c r="C14" s="2052"/>
      <c r="D14" s="2053"/>
      <c r="E14" s="2051"/>
      <c r="F14" s="2051"/>
      <c r="G14" s="2051"/>
      <c r="H14" s="2051"/>
      <c r="I14" s="2051"/>
      <c r="J14" s="2051"/>
      <c r="K14" s="440"/>
      <c r="L14" s="87"/>
    </row>
    <row r="15" spans="1:12">
      <c r="A15" s="226">
        <v>7</v>
      </c>
      <c r="B15" s="95" t="s">
        <v>1130</v>
      </c>
      <c r="C15" s="2054"/>
      <c r="D15" s="2053"/>
      <c r="E15" s="2051"/>
      <c r="F15" s="2051"/>
      <c r="G15" s="2051"/>
      <c r="H15" s="2051"/>
      <c r="I15" s="2051"/>
      <c r="J15" s="2051"/>
      <c r="K15" s="440"/>
      <c r="L15" s="2055">
        <f>SUM(C15:J15)</f>
        <v>0</v>
      </c>
    </row>
    <row r="16" spans="1:12">
      <c r="A16" s="226">
        <v>8</v>
      </c>
      <c r="B16" s="95"/>
      <c r="C16" s="2052"/>
      <c r="D16" s="2053"/>
      <c r="E16" s="2051"/>
      <c r="F16" s="2051"/>
      <c r="G16" s="2051"/>
      <c r="H16" s="2051"/>
      <c r="I16" s="2051"/>
      <c r="J16" s="2051"/>
      <c r="K16" s="440"/>
      <c r="L16" s="87"/>
    </row>
    <row r="17" spans="1:15">
      <c r="A17" s="226">
        <v>9</v>
      </c>
      <c r="B17" s="95"/>
      <c r="C17" s="2052"/>
      <c r="D17" s="2053"/>
      <c r="E17" s="2051"/>
      <c r="F17" s="2051"/>
      <c r="G17" s="2051"/>
      <c r="H17" s="2051"/>
      <c r="I17" s="2051"/>
      <c r="J17" s="2051"/>
      <c r="K17" s="440"/>
      <c r="L17" s="87"/>
    </row>
    <row r="18" spans="1:15">
      <c r="A18" s="226">
        <v>10</v>
      </c>
      <c r="B18" s="95"/>
      <c r="C18" s="2052"/>
      <c r="D18" s="2053"/>
      <c r="E18" s="2051"/>
      <c r="F18" s="2051"/>
      <c r="G18" s="2051"/>
      <c r="H18" s="2051"/>
      <c r="I18" s="2051"/>
      <c r="J18" s="2051"/>
      <c r="K18" s="440"/>
      <c r="L18" s="87"/>
    </row>
    <row r="19" spans="1:15">
      <c r="A19" s="226">
        <v>11</v>
      </c>
      <c r="B19" s="95" t="s">
        <v>1131</v>
      </c>
      <c r="C19" s="2054"/>
      <c r="D19" s="2053"/>
      <c r="E19" s="2051"/>
      <c r="F19" s="2051"/>
      <c r="G19" s="2051"/>
      <c r="H19" s="2051"/>
      <c r="I19" s="2051"/>
      <c r="J19" s="2051"/>
      <c r="K19" s="440"/>
      <c r="L19" s="2055">
        <f>SUM(C19:J19)</f>
        <v>0</v>
      </c>
    </row>
    <row r="20" spans="1:15">
      <c r="A20" s="226">
        <v>12</v>
      </c>
      <c r="B20" s="95"/>
      <c r="C20" s="2054"/>
      <c r="D20" s="2053"/>
      <c r="E20" s="2051"/>
      <c r="F20" s="2051"/>
      <c r="G20" s="2051"/>
      <c r="H20" s="2051"/>
      <c r="I20" s="2051"/>
      <c r="J20" s="2051"/>
      <c r="K20" s="440"/>
      <c r="L20" s="87"/>
    </row>
    <row r="21" spans="1:15">
      <c r="A21" s="226">
        <v>13</v>
      </c>
      <c r="B21" s="95"/>
      <c r="C21" s="2052"/>
      <c r="D21" s="2053"/>
      <c r="E21" s="2051"/>
      <c r="F21" s="2051"/>
      <c r="G21" s="2051"/>
      <c r="H21" s="2051"/>
      <c r="I21" s="2051"/>
      <c r="J21" s="2051"/>
      <c r="K21" s="440"/>
      <c r="L21" s="87"/>
      <c r="M21" s="1747"/>
    </row>
    <row r="22" spans="1:15">
      <c r="A22" s="226">
        <v>14</v>
      </c>
      <c r="B22" s="95"/>
      <c r="C22" s="2052"/>
      <c r="D22" s="2053"/>
      <c r="E22" s="2051"/>
      <c r="F22" s="2051"/>
      <c r="G22" s="2051"/>
      <c r="H22" s="2051"/>
      <c r="I22" s="2051"/>
      <c r="J22" s="2051"/>
      <c r="K22" s="440"/>
      <c r="L22" s="87"/>
      <c r="M22" s="1747"/>
    </row>
    <row r="23" spans="1:15">
      <c r="A23" s="226">
        <v>15</v>
      </c>
      <c r="B23" s="95" t="s">
        <v>1132</v>
      </c>
      <c r="C23" s="2054"/>
      <c r="D23" s="2053"/>
      <c r="E23" s="2053"/>
      <c r="F23" s="2053"/>
      <c r="G23" s="2053"/>
      <c r="H23" s="2053"/>
      <c r="I23" s="2051"/>
      <c r="J23" s="2051"/>
      <c r="K23" s="440"/>
      <c r="L23" s="2055">
        <f>SUM(C23:J23)</f>
        <v>0</v>
      </c>
      <c r="M23" s="1747"/>
    </row>
    <row r="24" spans="1:15">
      <c r="A24" s="226">
        <v>16</v>
      </c>
      <c r="B24" s="95"/>
      <c r="C24" s="2052"/>
      <c r="D24" s="2053"/>
      <c r="E24" s="577"/>
      <c r="F24" s="95"/>
      <c r="G24" s="95"/>
      <c r="H24" s="95"/>
      <c r="I24" s="95"/>
      <c r="J24" s="95"/>
      <c r="K24" s="440"/>
      <c r="L24" s="2055"/>
      <c r="M24" s="1778"/>
    </row>
    <row r="25" spans="1:15">
      <c r="A25" s="226">
        <v>17</v>
      </c>
      <c r="B25" s="95"/>
      <c r="C25" s="2056"/>
      <c r="D25" s="2053"/>
      <c r="E25" s="577"/>
      <c r="F25" s="95"/>
      <c r="G25" s="95"/>
      <c r="H25" s="95"/>
      <c r="I25" s="95"/>
      <c r="J25" s="95"/>
      <c r="K25" s="440"/>
      <c r="L25" s="87"/>
      <c r="M25" s="1779"/>
    </row>
    <row r="26" spans="1:15">
      <c r="A26" s="226">
        <v>18</v>
      </c>
      <c r="B26" s="95"/>
      <c r="C26" s="2052"/>
      <c r="D26" s="2053"/>
      <c r="E26" s="577"/>
      <c r="F26" s="95"/>
      <c r="G26" s="95"/>
      <c r="H26" s="95"/>
      <c r="I26" s="95"/>
      <c r="J26" s="95"/>
      <c r="K26" s="440"/>
      <c r="L26" s="87"/>
      <c r="M26" s="1779"/>
    </row>
    <row r="27" spans="1:15">
      <c r="A27" s="226">
        <v>19</v>
      </c>
      <c r="B27" s="95"/>
      <c r="C27" s="2052"/>
      <c r="D27" s="2053"/>
      <c r="E27" s="577"/>
      <c r="F27" s="95"/>
      <c r="G27" s="95"/>
      <c r="H27" s="95"/>
      <c r="I27" s="95"/>
      <c r="J27" s="95"/>
      <c r="K27" s="440"/>
      <c r="L27" s="87"/>
      <c r="M27" s="1779"/>
    </row>
    <row r="28" spans="1:15">
      <c r="A28" s="226">
        <v>20</v>
      </c>
      <c r="B28" s="440" t="s">
        <v>1738</v>
      </c>
      <c r="C28" s="2057">
        <f>SUM(C11:C27)</f>
        <v>0</v>
      </c>
      <c r="D28" s="2058">
        <f t="shared" ref="D28:J28" si="0">SUM(D11:D27)</f>
        <v>0</v>
      </c>
      <c r="E28" s="2058">
        <f t="shared" si="0"/>
        <v>0</v>
      </c>
      <c r="F28" s="2058">
        <f t="shared" si="0"/>
        <v>0</v>
      </c>
      <c r="G28" s="2058">
        <f t="shared" si="0"/>
        <v>0</v>
      </c>
      <c r="H28" s="2058">
        <f t="shared" si="0"/>
        <v>0</v>
      </c>
      <c r="I28" s="2058">
        <f t="shared" si="0"/>
        <v>0</v>
      </c>
      <c r="J28" s="2058">
        <f t="shared" si="0"/>
        <v>0</v>
      </c>
      <c r="K28" s="2059"/>
      <c r="L28" s="2060">
        <f>SUM(L11:L27)</f>
        <v>0</v>
      </c>
      <c r="M28" s="1779"/>
    </row>
    <row r="29" spans="1:15">
      <c r="A29" s="226">
        <v>21</v>
      </c>
      <c r="B29" s="230" t="s">
        <v>750</v>
      </c>
      <c r="C29" s="2051"/>
      <c r="D29" s="95"/>
      <c r="E29" s="95"/>
      <c r="F29" s="95"/>
      <c r="G29" s="95"/>
      <c r="H29" s="95"/>
      <c r="I29" s="95"/>
      <c r="J29" s="95"/>
      <c r="K29" s="440"/>
      <c r="L29" s="87"/>
      <c r="M29" s="1779"/>
    </row>
    <row r="30" spans="1:15">
      <c r="A30" s="226">
        <v>22</v>
      </c>
      <c r="B30" s="95" t="s">
        <v>751</v>
      </c>
      <c r="C30" s="2054"/>
      <c r="D30" s="2053"/>
      <c r="E30" s="95"/>
      <c r="F30" s="2053"/>
      <c r="G30" s="2053"/>
      <c r="H30" s="2053"/>
      <c r="I30" s="2053"/>
      <c r="J30" s="2053"/>
      <c r="K30" s="440"/>
      <c r="L30" s="2055">
        <f>SUM(C30:J30)</f>
        <v>0</v>
      </c>
      <c r="M30" s="1747"/>
      <c r="O30" s="1940"/>
    </row>
    <row r="31" spans="1:15">
      <c r="A31" s="226">
        <v>23</v>
      </c>
      <c r="B31" s="95"/>
      <c r="C31" s="2054"/>
      <c r="D31" s="95"/>
      <c r="E31" s="95"/>
      <c r="F31" s="2053"/>
      <c r="G31" s="2053"/>
      <c r="H31" s="2053"/>
      <c r="I31" s="2053"/>
      <c r="J31" s="2053"/>
      <c r="K31" s="440"/>
      <c r="L31" s="87"/>
      <c r="M31" s="1747"/>
    </row>
    <row r="32" spans="1:15">
      <c r="A32" s="226">
        <v>24</v>
      </c>
      <c r="B32" s="95"/>
      <c r="C32" s="2054"/>
      <c r="D32" s="2053"/>
      <c r="E32" s="95"/>
      <c r="F32" s="2053"/>
      <c r="G32" s="2053"/>
      <c r="H32" s="2053"/>
      <c r="I32" s="2053"/>
      <c r="J32" s="2053"/>
      <c r="K32" s="440"/>
      <c r="L32" s="2055"/>
      <c r="M32" s="1747"/>
    </row>
    <row r="33" spans="1:13">
      <c r="A33" s="226">
        <v>25</v>
      </c>
      <c r="B33" s="95"/>
      <c r="C33" s="2054"/>
      <c r="D33" s="95"/>
      <c r="E33" s="95"/>
      <c r="F33" s="2053"/>
      <c r="G33" s="2053"/>
      <c r="H33" s="2053"/>
      <c r="I33" s="2053"/>
      <c r="J33" s="2053"/>
      <c r="K33" s="440"/>
      <c r="L33" s="87"/>
      <c r="M33" s="1747"/>
    </row>
    <row r="34" spans="1:13">
      <c r="A34" s="226">
        <v>26</v>
      </c>
      <c r="B34" s="95" t="s">
        <v>738</v>
      </c>
      <c r="C34" s="2054"/>
      <c r="D34" s="2053"/>
      <c r="E34" s="2053"/>
      <c r="F34" s="2053"/>
      <c r="G34" s="2053"/>
      <c r="H34" s="2053"/>
      <c r="I34" s="2053"/>
      <c r="J34" s="2053"/>
      <c r="K34" s="440"/>
      <c r="L34" s="2055">
        <f>SUM(C34:J34)</f>
        <v>0</v>
      </c>
      <c r="M34" s="1747"/>
    </row>
    <row r="35" spans="1:13">
      <c r="A35" s="226">
        <v>27</v>
      </c>
      <c r="B35" s="95"/>
      <c r="C35" s="2054"/>
      <c r="D35" s="95"/>
      <c r="E35" s="95"/>
      <c r="F35" s="2053"/>
      <c r="G35" s="2053"/>
      <c r="H35" s="2053"/>
      <c r="I35" s="2053"/>
      <c r="J35" s="2053"/>
      <c r="K35" s="440"/>
      <c r="L35" s="87"/>
      <c r="M35" s="1747"/>
    </row>
    <row r="36" spans="1:13">
      <c r="A36" s="226">
        <v>28</v>
      </c>
      <c r="B36" s="95" t="s">
        <v>1314</v>
      </c>
      <c r="C36" s="2054"/>
      <c r="D36" s="95"/>
      <c r="E36" s="95"/>
      <c r="F36" s="2053"/>
      <c r="G36" s="2053"/>
      <c r="H36" s="2053"/>
      <c r="I36" s="2053"/>
      <c r="J36" s="2053"/>
      <c r="K36" s="440"/>
      <c r="L36" s="2055">
        <f>SUM(C36:J36)</f>
        <v>0</v>
      </c>
      <c r="M36" s="1747"/>
    </row>
    <row r="37" spans="1:13">
      <c r="A37" s="226">
        <v>29</v>
      </c>
      <c r="B37" s="95"/>
      <c r="C37" s="2054"/>
      <c r="D37" s="95"/>
      <c r="E37" s="95"/>
      <c r="F37" s="2053"/>
      <c r="G37" s="2053"/>
      <c r="H37" s="2053"/>
      <c r="I37" s="2053"/>
      <c r="J37" s="2053"/>
      <c r="K37" s="440"/>
      <c r="L37" s="87"/>
      <c r="M37" s="1747"/>
    </row>
    <row r="38" spans="1:13">
      <c r="A38" s="226">
        <v>30</v>
      </c>
      <c r="B38" s="95"/>
      <c r="C38" s="2054"/>
      <c r="D38" s="95"/>
      <c r="E38" s="95"/>
      <c r="F38" s="2053"/>
      <c r="G38" s="2053"/>
      <c r="H38" s="2053"/>
      <c r="I38" s="2053"/>
      <c r="J38" s="2053"/>
      <c r="K38" s="440"/>
      <c r="L38" s="87"/>
      <c r="M38" s="1747"/>
    </row>
    <row r="39" spans="1:13">
      <c r="A39" s="226">
        <v>31</v>
      </c>
      <c r="B39" s="95" t="s">
        <v>1315</v>
      </c>
      <c r="C39" s="2054"/>
      <c r="D39" s="2053"/>
      <c r="E39" s="2053"/>
      <c r="F39" s="2053"/>
      <c r="G39" s="2053"/>
      <c r="H39" s="2053"/>
      <c r="I39" s="2053"/>
      <c r="J39" s="2053"/>
      <c r="K39" s="440"/>
      <c r="L39" s="2055">
        <f>SUM(C39:J39)</f>
        <v>0</v>
      </c>
      <c r="M39" s="1747"/>
    </row>
    <row r="40" spans="1:13">
      <c r="A40" s="226">
        <v>32</v>
      </c>
      <c r="B40" s="95"/>
      <c r="C40" s="2054"/>
      <c r="D40" s="2053"/>
      <c r="E40" s="2053"/>
      <c r="F40" s="2053"/>
      <c r="G40" s="2053"/>
      <c r="H40" s="2053"/>
      <c r="I40" s="2053"/>
      <c r="J40" s="2053"/>
      <c r="K40" s="440"/>
      <c r="L40" s="87"/>
      <c r="M40" s="1747"/>
    </row>
    <row r="41" spans="1:13">
      <c r="A41" s="226">
        <v>33</v>
      </c>
      <c r="B41" s="95"/>
      <c r="C41" s="2054"/>
      <c r="D41" s="2053"/>
      <c r="E41" s="2053"/>
      <c r="F41" s="2053"/>
      <c r="G41" s="2053"/>
      <c r="H41" s="2053"/>
      <c r="I41" s="2053"/>
      <c r="J41" s="2053"/>
      <c r="K41" s="440"/>
      <c r="L41" s="87"/>
      <c r="M41" s="1747"/>
    </row>
    <row r="42" spans="1:13">
      <c r="A42" s="226">
        <v>34</v>
      </c>
      <c r="B42" s="95" t="s">
        <v>1316</v>
      </c>
      <c r="C42" s="2054"/>
      <c r="D42" s="2053"/>
      <c r="E42" s="2053"/>
      <c r="F42" s="2053"/>
      <c r="G42" s="2053"/>
      <c r="H42" s="2053"/>
      <c r="I42" s="2053"/>
      <c r="J42" s="2053"/>
      <c r="K42" s="440"/>
      <c r="L42" s="2055">
        <f>SUM(C42:J42)</f>
        <v>0</v>
      </c>
      <c r="M42" s="1747"/>
    </row>
    <row r="43" spans="1:13">
      <c r="A43" s="226">
        <v>35</v>
      </c>
      <c r="B43" s="95"/>
      <c r="C43" s="2054"/>
      <c r="D43" s="2053"/>
      <c r="E43" s="2053"/>
      <c r="F43" s="2053"/>
      <c r="G43" s="2053"/>
      <c r="H43" s="2053"/>
      <c r="I43" s="2053"/>
      <c r="J43" s="2053"/>
      <c r="K43" s="440"/>
      <c r="L43" s="87"/>
      <c r="M43" s="1747"/>
    </row>
    <row r="44" spans="1:13">
      <c r="A44" s="226">
        <v>36</v>
      </c>
      <c r="B44" s="227"/>
      <c r="C44" s="2054"/>
      <c r="D44" s="2053"/>
      <c r="E44" s="2053"/>
      <c r="F44" s="2053"/>
      <c r="G44" s="2053"/>
      <c r="H44" s="2053"/>
      <c r="I44" s="2053"/>
      <c r="J44" s="2053"/>
      <c r="K44" s="440"/>
      <c r="L44" s="87"/>
      <c r="M44" s="1747"/>
    </row>
    <row r="45" spans="1:13">
      <c r="A45" s="234">
        <v>37</v>
      </c>
      <c r="B45" s="227"/>
      <c r="C45" s="2054"/>
      <c r="D45" s="2053"/>
      <c r="E45" s="2053"/>
      <c r="F45" s="2053"/>
      <c r="G45" s="2053"/>
      <c r="H45" s="2053"/>
      <c r="I45" s="2053"/>
      <c r="J45" s="2053"/>
      <c r="K45" s="440"/>
      <c r="L45" s="87"/>
      <c r="M45" s="1747"/>
    </row>
    <row r="46" spans="1:13">
      <c r="A46" s="234">
        <v>38</v>
      </c>
      <c r="B46" s="227"/>
      <c r="C46" s="2054"/>
      <c r="D46" s="2053"/>
      <c r="E46" s="2053"/>
      <c r="F46" s="2053"/>
      <c r="G46" s="2053"/>
      <c r="H46" s="2053"/>
      <c r="I46" s="2053"/>
      <c r="J46" s="2053"/>
      <c r="K46" s="440"/>
      <c r="L46" s="87"/>
      <c r="M46" s="1747"/>
    </row>
    <row r="47" spans="1:13">
      <c r="A47" s="234">
        <v>39</v>
      </c>
      <c r="B47" s="227" t="s">
        <v>1317</v>
      </c>
      <c r="C47" s="2054"/>
      <c r="D47" s="2053"/>
      <c r="E47" s="2053"/>
      <c r="F47" s="2053"/>
      <c r="G47" s="2053"/>
      <c r="H47" s="2053"/>
      <c r="I47" s="2053"/>
      <c r="J47" s="2053"/>
      <c r="K47" s="440"/>
      <c r="L47" s="2055">
        <f>SUM(C47:J47)</f>
        <v>0</v>
      </c>
      <c r="M47" s="1747"/>
    </row>
    <row r="48" spans="1:13">
      <c r="A48" s="234">
        <v>40</v>
      </c>
      <c r="B48" s="227"/>
      <c r="C48" s="2052"/>
      <c r="D48" s="2053"/>
      <c r="E48" s="2053"/>
      <c r="F48" s="2053"/>
      <c r="G48" s="2053"/>
      <c r="H48" s="2053"/>
      <c r="I48" s="2053"/>
      <c r="J48" s="2053"/>
      <c r="K48" s="440"/>
      <c r="L48" s="87"/>
    </row>
    <row r="49" spans="1:13">
      <c r="A49" s="234">
        <v>41</v>
      </c>
      <c r="B49" s="227" t="s">
        <v>1318</v>
      </c>
      <c r="C49" s="2054"/>
      <c r="D49" s="2053"/>
      <c r="E49" s="95"/>
      <c r="F49" s="95"/>
      <c r="G49" s="95"/>
      <c r="H49" s="95"/>
      <c r="I49" s="95"/>
      <c r="J49" s="95"/>
      <c r="K49" s="440"/>
      <c r="L49" s="2055">
        <f>SUM(C49:J49)</f>
        <v>0</v>
      </c>
    </row>
    <row r="50" spans="1:13">
      <c r="A50" s="234">
        <v>42</v>
      </c>
      <c r="B50" s="227"/>
      <c r="C50" s="2052"/>
      <c r="D50" s="2053"/>
      <c r="E50" s="95"/>
      <c r="F50" s="95"/>
      <c r="G50" s="95"/>
      <c r="H50" s="95"/>
      <c r="I50" s="95"/>
      <c r="J50" s="95"/>
      <c r="K50" s="440"/>
      <c r="L50" s="87"/>
    </row>
    <row r="51" spans="1:13" ht="15.75" thickBot="1">
      <c r="A51" s="235">
        <v>43</v>
      </c>
      <c r="B51" s="1001" t="s">
        <v>1738</v>
      </c>
      <c r="C51" s="2370">
        <f>SUM(C30:C50)</f>
        <v>0</v>
      </c>
      <c r="D51" s="2194">
        <f>SUM(D30:D50)</f>
        <v>0</v>
      </c>
      <c r="E51" s="2061">
        <f t="shared" ref="E51:J51" si="1">SUM(E30:E50)</f>
        <v>0</v>
      </c>
      <c r="F51" s="2061">
        <f t="shared" si="1"/>
        <v>0</v>
      </c>
      <c r="G51" s="2061">
        <f t="shared" si="1"/>
        <v>0</v>
      </c>
      <c r="H51" s="2061">
        <f t="shared" si="1"/>
        <v>0</v>
      </c>
      <c r="I51" s="2061">
        <f t="shared" si="1"/>
        <v>0</v>
      </c>
      <c r="J51" s="2061">
        <f t="shared" si="1"/>
        <v>0</v>
      </c>
      <c r="K51" s="1030"/>
      <c r="L51" s="2369">
        <f>SUM(L30:L50)</f>
        <v>0</v>
      </c>
    </row>
    <row r="52" spans="1:13">
      <c r="A52" s="977" t="s">
        <v>3233</v>
      </c>
      <c r="C52" s="136"/>
      <c r="D52" s="136"/>
    </row>
    <row r="53" spans="1:13">
      <c r="A53" s="4" t="s">
        <v>1319</v>
      </c>
      <c r="B53" s="4"/>
      <c r="C53" s="4"/>
      <c r="D53" s="1888"/>
      <c r="E53" s="4"/>
      <c r="F53" s="4"/>
      <c r="G53" s="4"/>
      <c r="H53" s="4"/>
      <c r="I53" s="4"/>
      <c r="J53" s="4"/>
      <c r="L53" s="4"/>
    </row>
    <row r="54" spans="1:13" ht="15.75" thickBot="1">
      <c r="A54" s="14" t="str">
        <f>'Data sheet'!A65</f>
        <v>Annual Report of Veolia Water New York, Inc.                                                                                          Year Ended  December 31, 2023</v>
      </c>
      <c r="B54" s="218"/>
      <c r="C54" s="86"/>
      <c r="D54" s="213"/>
    </row>
    <row r="55" spans="1:13">
      <c r="A55" s="80"/>
      <c r="B55" s="81"/>
      <c r="C55" s="130"/>
      <c r="D55" s="81"/>
      <c r="E55" s="81"/>
      <c r="F55" s="81"/>
      <c r="G55" s="81"/>
      <c r="H55" s="81"/>
      <c r="I55" s="81"/>
      <c r="J55" s="81"/>
      <c r="K55" s="790"/>
      <c r="L55" s="82"/>
    </row>
    <row r="56" spans="1:13" ht="15.75">
      <c r="A56" s="118" t="s">
        <v>1881</v>
      </c>
      <c r="B56" s="3"/>
      <c r="C56" s="5"/>
      <c r="D56" s="5"/>
      <c r="E56" s="5"/>
      <c r="F56" s="5"/>
      <c r="G56" s="5"/>
      <c r="H56" s="5"/>
      <c r="I56" s="4"/>
      <c r="J56" s="4"/>
      <c r="L56" s="119"/>
    </row>
    <row r="57" spans="1:13" ht="15.75">
      <c r="A57" s="118" t="s">
        <v>1882</v>
      </c>
      <c r="B57" s="3"/>
      <c r="C57" s="5"/>
      <c r="D57" s="219"/>
      <c r="E57" s="5"/>
      <c r="F57" s="5"/>
      <c r="G57" s="5"/>
      <c r="H57" s="5"/>
      <c r="I57" s="4"/>
      <c r="J57" s="4"/>
      <c r="L57" s="119"/>
    </row>
    <row r="58" spans="1:13" ht="18">
      <c r="A58" s="220" t="s">
        <v>1116</v>
      </c>
      <c r="B58" s="1"/>
      <c r="C58" s="2"/>
      <c r="D58" s="3"/>
      <c r="E58" s="3"/>
      <c r="F58" s="3"/>
      <c r="G58" s="3"/>
      <c r="H58" s="3"/>
      <c r="I58" s="3"/>
      <c r="J58" s="3"/>
      <c r="K58" s="106"/>
      <c r="L58" s="84"/>
    </row>
    <row r="59" spans="1:13">
      <c r="A59" s="221"/>
      <c r="B59" s="222"/>
      <c r="C59" s="223"/>
      <c r="D59" s="224"/>
      <c r="E59" s="224"/>
      <c r="F59" s="224"/>
      <c r="G59" s="224"/>
      <c r="H59" s="224"/>
      <c r="I59" s="224"/>
      <c r="J59" s="224"/>
      <c r="K59" s="797"/>
      <c r="L59" s="225"/>
    </row>
    <row r="60" spans="1:13">
      <c r="A60" s="237" t="s">
        <v>1727</v>
      </c>
      <c r="B60" s="95"/>
      <c r="C60" s="2048" t="s">
        <v>1117</v>
      </c>
      <c r="D60" s="95"/>
      <c r="E60" s="95"/>
      <c r="F60" s="95"/>
      <c r="G60" s="95"/>
      <c r="H60" s="95"/>
      <c r="I60" s="95"/>
      <c r="J60" s="440" t="s">
        <v>1118</v>
      </c>
      <c r="K60" s="440" t="s">
        <v>1119</v>
      </c>
      <c r="L60" s="428" t="s">
        <v>1120</v>
      </c>
      <c r="M60" s="1521"/>
    </row>
    <row r="61" spans="1:13">
      <c r="A61" s="240" t="s">
        <v>1739</v>
      </c>
      <c r="B61" s="1000" t="s">
        <v>1121</v>
      </c>
      <c r="C61" s="2049" t="s">
        <v>1122</v>
      </c>
      <c r="D61" s="1000" t="s">
        <v>1123</v>
      </c>
      <c r="E61" s="1000" t="s">
        <v>1123</v>
      </c>
      <c r="F61" s="1000" t="s">
        <v>1123</v>
      </c>
      <c r="G61" s="1000" t="s">
        <v>1123</v>
      </c>
      <c r="H61" s="99"/>
      <c r="I61" s="99"/>
      <c r="J61" s="1000" t="s">
        <v>1124</v>
      </c>
      <c r="K61" s="1000" t="s">
        <v>1125</v>
      </c>
      <c r="L61" s="424" t="s">
        <v>1126</v>
      </c>
      <c r="M61" s="1521"/>
    </row>
    <row r="62" spans="1:13" ht="15.75">
      <c r="A62" s="237">
        <v>1</v>
      </c>
      <c r="B62" s="107" t="s">
        <v>1320</v>
      </c>
      <c r="C62" s="2062"/>
      <c r="D62" s="95"/>
      <c r="E62" s="95"/>
      <c r="F62" s="95"/>
      <c r="G62" s="95"/>
      <c r="H62" s="95"/>
      <c r="I62" s="95"/>
      <c r="J62" s="95"/>
      <c r="K62" s="440"/>
      <c r="L62" s="87"/>
      <c r="M62" s="1521"/>
    </row>
    <row r="63" spans="1:13">
      <c r="A63" s="237">
        <v>2</v>
      </c>
      <c r="B63" s="230" t="s">
        <v>1321</v>
      </c>
      <c r="C63" s="1552"/>
      <c r="D63" s="608"/>
      <c r="E63" s="608"/>
      <c r="F63" s="95"/>
      <c r="G63" s="95"/>
      <c r="H63" s="95"/>
      <c r="I63" s="95"/>
      <c r="J63" s="608"/>
      <c r="K63" s="440"/>
      <c r="L63" s="435">
        <f>SUM(C63:J63)</f>
        <v>0</v>
      </c>
      <c r="M63" s="1521"/>
    </row>
    <row r="64" spans="1:13">
      <c r="A64" s="237">
        <v>3</v>
      </c>
      <c r="B64" s="95"/>
      <c r="C64" s="2062"/>
      <c r="D64" s="95"/>
      <c r="E64" s="95"/>
      <c r="F64" s="95"/>
      <c r="G64" s="95"/>
      <c r="H64" s="95"/>
      <c r="I64" s="95"/>
      <c r="J64" s="95"/>
      <c r="K64" s="440"/>
      <c r="L64" s="87"/>
      <c r="M64" s="1521"/>
    </row>
    <row r="65" spans="1:16">
      <c r="A65" s="237">
        <v>4</v>
      </c>
      <c r="B65" s="95"/>
      <c r="C65" s="2062"/>
      <c r="D65" s="95"/>
      <c r="E65" s="95"/>
      <c r="F65" s="95"/>
      <c r="G65" s="95"/>
      <c r="H65" s="95"/>
      <c r="I65" s="95"/>
      <c r="J65" s="95"/>
      <c r="K65" s="440"/>
      <c r="L65" s="87"/>
      <c r="M65" s="1521"/>
    </row>
    <row r="66" spans="1:16">
      <c r="A66" s="237">
        <v>5</v>
      </c>
      <c r="B66" s="95"/>
      <c r="C66" s="2062"/>
      <c r="D66" s="95"/>
      <c r="E66" s="2053"/>
      <c r="F66" s="2053"/>
      <c r="G66" s="2053"/>
      <c r="H66" s="95"/>
      <c r="I66" s="95"/>
      <c r="J66" s="95"/>
      <c r="K66" s="440"/>
      <c r="L66" s="87"/>
      <c r="M66" s="1521"/>
    </row>
    <row r="67" spans="1:16">
      <c r="A67" s="237">
        <v>6</v>
      </c>
      <c r="B67" s="230" t="s">
        <v>1322</v>
      </c>
      <c r="C67" s="2054"/>
      <c r="D67" s="2053"/>
      <c r="E67" s="2053"/>
      <c r="F67" s="2053"/>
      <c r="G67" s="2053"/>
      <c r="H67" s="95"/>
      <c r="I67" s="95"/>
      <c r="J67" s="95"/>
      <c r="K67" s="440"/>
      <c r="L67" s="2055">
        <f>SUM(C67:J67)</f>
        <v>0</v>
      </c>
      <c r="M67" s="1521"/>
    </row>
    <row r="68" spans="1:16">
      <c r="A68" s="237">
        <v>7</v>
      </c>
      <c r="B68" s="95"/>
      <c r="C68" s="1617"/>
      <c r="D68" s="2053"/>
      <c r="E68" s="2053"/>
      <c r="F68" s="2053"/>
      <c r="G68" s="2053"/>
      <c r="H68" s="95"/>
      <c r="I68" s="95"/>
      <c r="J68" s="95"/>
      <c r="K68" s="440"/>
      <c r="L68" s="87"/>
      <c r="M68" s="1521"/>
    </row>
    <row r="69" spans="1:16">
      <c r="A69" s="237">
        <v>8</v>
      </c>
      <c r="B69" s="95"/>
      <c r="C69" s="2054"/>
      <c r="D69" s="2053"/>
      <c r="E69" s="2053"/>
      <c r="F69" s="2053"/>
      <c r="G69" s="2053"/>
      <c r="H69" s="95"/>
      <c r="I69" s="95"/>
      <c r="J69" s="95"/>
      <c r="K69" s="440"/>
      <c r="L69" s="87"/>
      <c r="M69" s="1521"/>
    </row>
    <row r="70" spans="1:16">
      <c r="A70" s="237">
        <v>9</v>
      </c>
      <c r="B70" s="95"/>
      <c r="C70" s="2054"/>
      <c r="D70" s="2053"/>
      <c r="E70" s="2053"/>
      <c r="F70" s="2053"/>
      <c r="G70" s="2053"/>
      <c r="H70" s="95"/>
      <c r="I70" s="95"/>
      <c r="J70" s="95"/>
      <c r="K70" s="440"/>
      <c r="L70" s="87"/>
      <c r="M70" s="1521"/>
    </row>
    <row r="71" spans="1:16">
      <c r="A71" s="237">
        <v>10</v>
      </c>
      <c r="B71" s="230" t="s">
        <v>1323</v>
      </c>
      <c r="C71" s="2054"/>
      <c r="D71" s="2053"/>
      <c r="E71" s="2053"/>
      <c r="F71" s="2053"/>
      <c r="G71" s="2053"/>
      <c r="H71" s="95"/>
      <c r="I71" s="95"/>
      <c r="J71" s="95"/>
      <c r="K71" s="440"/>
      <c r="L71" s="2055">
        <f>SUM(C71:J71)</f>
        <v>0</v>
      </c>
      <c r="M71" s="1521"/>
    </row>
    <row r="72" spans="1:16">
      <c r="A72" s="237">
        <v>11</v>
      </c>
      <c r="B72" s="95"/>
      <c r="C72" s="2054"/>
      <c r="D72" s="2053"/>
      <c r="E72" s="2053"/>
      <c r="F72" s="2053"/>
      <c r="G72" s="2053"/>
      <c r="H72" s="95"/>
      <c r="I72" s="95"/>
      <c r="J72" s="95"/>
      <c r="K72" s="440"/>
      <c r="L72" s="87"/>
      <c r="M72" s="1521"/>
    </row>
    <row r="73" spans="1:16">
      <c r="A73" s="237">
        <v>12</v>
      </c>
      <c r="B73" s="95"/>
      <c r="C73" s="2054"/>
      <c r="D73" s="2053"/>
      <c r="E73" s="2053"/>
      <c r="F73" s="2053"/>
      <c r="G73" s="2053"/>
      <c r="H73" s="95"/>
      <c r="I73" s="95"/>
      <c r="J73" s="95"/>
      <c r="K73" s="440"/>
      <c r="L73" s="87"/>
      <c r="M73" s="1521"/>
    </row>
    <row r="74" spans="1:16">
      <c r="A74" s="237">
        <v>13</v>
      </c>
      <c r="B74" s="95"/>
      <c r="C74" s="2054"/>
      <c r="D74" s="2053"/>
      <c r="E74" s="2053"/>
      <c r="F74" s="2053"/>
      <c r="G74" s="2053"/>
      <c r="H74" s="95"/>
      <c r="I74" s="95"/>
      <c r="J74" s="95"/>
      <c r="K74" s="440"/>
      <c r="L74" s="87"/>
      <c r="M74" s="1521"/>
    </row>
    <row r="75" spans="1:16">
      <c r="A75" s="237">
        <v>14</v>
      </c>
      <c r="B75" s="230" t="s">
        <v>1324</v>
      </c>
      <c r="C75" s="2054"/>
      <c r="D75" s="2053"/>
      <c r="E75" s="2053"/>
      <c r="F75" s="2053"/>
      <c r="G75" s="2053"/>
      <c r="H75" s="95"/>
      <c r="I75" s="95"/>
      <c r="J75" s="95"/>
      <c r="K75" s="440"/>
      <c r="L75" s="2055">
        <f>SUM(C75:J75)</f>
        <v>0</v>
      </c>
      <c r="M75" s="1521"/>
      <c r="P75" s="1941"/>
    </row>
    <row r="76" spans="1:16">
      <c r="A76" s="237">
        <v>15</v>
      </c>
      <c r="B76" s="95"/>
      <c r="C76" s="2054"/>
      <c r="D76" s="2053"/>
      <c r="E76" s="2053"/>
      <c r="F76" s="2053"/>
      <c r="G76" s="2053"/>
      <c r="H76" s="95"/>
      <c r="I76" s="95"/>
      <c r="J76" s="95"/>
      <c r="K76" s="440"/>
      <c r="L76" s="87"/>
      <c r="M76" s="1521"/>
      <c r="P76" s="1941"/>
    </row>
    <row r="77" spans="1:16">
      <c r="A77" s="237">
        <v>16</v>
      </c>
      <c r="B77" s="95"/>
      <c r="C77" s="2054"/>
      <c r="D77" s="2053"/>
      <c r="E77" s="95"/>
      <c r="F77" s="95"/>
      <c r="G77" s="95"/>
      <c r="H77" s="95"/>
      <c r="I77" s="95"/>
      <c r="J77" s="95"/>
      <c r="K77" s="440"/>
      <c r="L77" s="87"/>
      <c r="M77" s="1521"/>
      <c r="P77" s="1941"/>
    </row>
    <row r="78" spans="1:16">
      <c r="A78" s="237">
        <v>17</v>
      </c>
      <c r="B78" s="95"/>
      <c r="C78" s="2054"/>
      <c r="D78" s="2053"/>
      <c r="E78" s="95"/>
      <c r="F78" s="95"/>
      <c r="G78" s="95"/>
      <c r="H78" s="95"/>
      <c r="I78" s="95"/>
      <c r="J78" s="95"/>
      <c r="K78" s="440"/>
      <c r="L78" s="87"/>
      <c r="M78" s="1521"/>
    </row>
    <row r="79" spans="1:16">
      <c r="A79" s="237">
        <v>18</v>
      </c>
      <c r="B79" s="230" t="s">
        <v>4410</v>
      </c>
      <c r="C79" s="2054"/>
      <c r="D79" s="2053"/>
      <c r="E79" s="95"/>
      <c r="F79" s="95"/>
      <c r="G79" s="95"/>
      <c r="H79" s="95"/>
      <c r="I79" s="95"/>
      <c r="J79" s="95"/>
      <c r="K79" s="440"/>
      <c r="L79" s="2055">
        <f>SUM(C79:J79)</f>
        <v>0</v>
      </c>
      <c r="M79" s="1521"/>
    </row>
    <row r="80" spans="1:16">
      <c r="A80" s="237">
        <v>19</v>
      </c>
      <c r="B80" s="86"/>
      <c r="C80" s="2054"/>
      <c r="D80" s="2053"/>
      <c r="E80" s="96"/>
      <c r="F80" s="86"/>
      <c r="G80" s="96"/>
      <c r="H80" s="86"/>
      <c r="I80" s="96"/>
      <c r="J80" s="95"/>
      <c r="K80" s="440"/>
      <c r="L80" s="87"/>
      <c r="M80" s="1521"/>
      <c r="P80" s="1941"/>
    </row>
    <row r="81" spans="1:13">
      <c r="A81" s="237">
        <v>20</v>
      </c>
      <c r="B81" s="86"/>
      <c r="C81" s="2054"/>
      <c r="D81" s="86"/>
      <c r="E81" s="96"/>
      <c r="F81" s="86"/>
      <c r="G81" s="96"/>
      <c r="H81" s="86"/>
      <c r="I81" s="96"/>
      <c r="J81" s="95"/>
      <c r="K81" s="440"/>
      <c r="L81" s="87"/>
      <c r="M81" s="1521"/>
    </row>
    <row r="82" spans="1:13">
      <c r="A82" s="237">
        <v>21</v>
      </c>
      <c r="B82" s="230" t="s">
        <v>4034</v>
      </c>
      <c r="C82" s="2054"/>
      <c r="D82" s="2053">
        <v>0</v>
      </c>
      <c r="E82" s="95"/>
      <c r="F82" s="95"/>
      <c r="G82" s="95"/>
      <c r="H82" s="95"/>
      <c r="I82" s="95"/>
      <c r="J82" s="95"/>
      <c r="K82" s="440"/>
      <c r="L82" s="2055">
        <f>SUM(C82:J82)</f>
        <v>0</v>
      </c>
      <c r="M82" s="1521"/>
    </row>
    <row r="83" spans="1:13">
      <c r="A83" s="237">
        <v>22</v>
      </c>
      <c r="B83" s="239"/>
      <c r="C83" s="2054"/>
      <c r="D83" s="86"/>
      <c r="E83" s="96"/>
      <c r="F83" s="86"/>
      <c r="G83" s="96"/>
      <c r="H83" s="86"/>
      <c r="I83" s="96"/>
      <c r="J83" s="95"/>
      <c r="K83" s="440"/>
      <c r="L83" s="87"/>
      <c r="M83" s="1521"/>
    </row>
    <row r="84" spans="1:13">
      <c r="A84" s="237">
        <v>23</v>
      </c>
      <c r="B84" s="86"/>
      <c r="C84" s="2054"/>
      <c r="D84" s="86"/>
      <c r="E84" s="96"/>
      <c r="F84" s="86"/>
      <c r="G84" s="96"/>
      <c r="H84" s="86"/>
      <c r="I84" s="96"/>
      <c r="J84" s="95"/>
      <c r="K84" s="440"/>
      <c r="L84" s="87"/>
      <c r="M84" s="1521"/>
    </row>
    <row r="85" spans="1:13">
      <c r="A85" s="237">
        <v>24</v>
      </c>
      <c r="B85" s="86"/>
      <c r="C85" s="2063"/>
      <c r="D85" s="86"/>
      <c r="E85" s="96"/>
      <c r="F85" s="86"/>
      <c r="G85" s="96"/>
      <c r="H85" s="86"/>
      <c r="I85" s="96"/>
      <c r="J85" s="86"/>
      <c r="K85" s="109"/>
      <c r="L85" s="87"/>
      <c r="M85" s="1521"/>
    </row>
    <row r="86" spans="1:13">
      <c r="A86" s="240">
        <v>25</v>
      </c>
      <c r="B86" s="94" t="s">
        <v>1325</v>
      </c>
      <c r="C86" s="2064">
        <f>SUM(C63:C66)-SUM(C67:C70)+SUM(C71:C74)-SUM(C75:C78)-SUM(C79:C85)</f>
        <v>0</v>
      </c>
      <c r="D86" s="2064">
        <f t="shared" ref="D86:J86" si="2">SUM(D63:D66)-SUM(D67:D70)+SUM(D71:D74)-SUM(D75:D78)-SUM(D79:D85)</f>
        <v>0</v>
      </c>
      <c r="E86" s="2064">
        <f t="shared" si="2"/>
        <v>0</v>
      </c>
      <c r="F86" s="2064">
        <f t="shared" si="2"/>
        <v>0</v>
      </c>
      <c r="G86" s="2064">
        <f t="shared" si="2"/>
        <v>0</v>
      </c>
      <c r="H86" s="2064">
        <f t="shared" si="2"/>
        <v>0</v>
      </c>
      <c r="I86" s="2064">
        <f t="shared" si="2"/>
        <v>0</v>
      </c>
      <c r="J86" s="2064">
        <f t="shared" si="2"/>
        <v>0</v>
      </c>
      <c r="K86" s="2065"/>
      <c r="L86" s="2066">
        <f>SUM(L63:L66)-SUM(L67:L70)+SUM(L71:L74)-SUM(L75:L78)-SUM(L79:L85)</f>
        <v>0</v>
      </c>
      <c r="M86" s="1521"/>
    </row>
    <row r="87" spans="1:13">
      <c r="A87" s="85"/>
      <c r="B87" s="90"/>
      <c r="C87" s="2067"/>
      <c r="D87" s="90"/>
      <c r="E87" s="90"/>
      <c r="F87" s="90"/>
      <c r="G87" s="90"/>
      <c r="H87" s="90"/>
      <c r="I87" s="90"/>
      <c r="J87" s="90"/>
      <c r="K87" s="994"/>
      <c r="L87" s="93"/>
      <c r="M87" s="1521"/>
    </row>
    <row r="88" spans="1:13" ht="15.75">
      <c r="A88" s="85"/>
      <c r="B88" s="3" t="s">
        <v>1326</v>
      </c>
      <c r="C88" s="2068"/>
      <c r="D88" s="5"/>
      <c r="E88" s="5"/>
      <c r="F88" s="5"/>
      <c r="G88" s="5"/>
      <c r="H88" s="5"/>
      <c r="I88" s="5"/>
      <c r="J88" s="5"/>
      <c r="K88" s="94"/>
      <c r="L88" s="132"/>
      <c r="M88" s="1521"/>
    </row>
    <row r="89" spans="1:13">
      <c r="A89" s="85"/>
      <c r="C89" s="2069"/>
      <c r="D89" s="86"/>
      <c r="E89" s="86"/>
      <c r="F89" s="86"/>
      <c r="G89" s="86"/>
      <c r="H89" s="86"/>
      <c r="I89" s="86"/>
      <c r="J89" s="86"/>
      <c r="K89" s="94"/>
      <c r="L89" s="87"/>
      <c r="M89" s="1521"/>
    </row>
    <row r="90" spans="1:13">
      <c r="A90" s="85"/>
      <c r="C90" s="2069"/>
      <c r="D90" s="86"/>
      <c r="E90" s="86"/>
      <c r="F90" s="86"/>
      <c r="G90" s="86"/>
      <c r="H90" s="86"/>
      <c r="I90" s="86"/>
      <c r="J90" s="86"/>
      <c r="K90" s="94"/>
      <c r="L90" s="87"/>
      <c r="M90" s="1521"/>
    </row>
    <row r="91" spans="1:13">
      <c r="A91" s="85"/>
      <c r="C91" s="2069"/>
      <c r="D91" s="86"/>
      <c r="E91" s="86"/>
      <c r="F91" s="86"/>
      <c r="G91" s="86"/>
      <c r="H91" s="86"/>
      <c r="I91" s="86"/>
      <c r="J91" s="86"/>
      <c r="K91" s="94"/>
      <c r="L91" s="87"/>
      <c r="M91" s="1521"/>
    </row>
    <row r="92" spans="1:13">
      <c r="A92" s="1518"/>
      <c r="B92" s="86"/>
      <c r="C92" s="2069"/>
      <c r="D92" s="86"/>
      <c r="E92" s="86"/>
      <c r="F92" s="86"/>
      <c r="G92" s="86"/>
      <c r="H92" s="86"/>
      <c r="I92" s="86"/>
      <c r="J92" s="86"/>
      <c r="K92" s="94"/>
      <c r="L92" s="87"/>
      <c r="M92" s="2070"/>
    </row>
    <row r="93" spans="1:13">
      <c r="A93" s="1518"/>
      <c r="B93" s="86"/>
      <c r="C93" s="2069"/>
      <c r="D93" s="86"/>
      <c r="E93" s="86"/>
      <c r="F93" s="86"/>
      <c r="G93" s="86"/>
      <c r="H93" s="86"/>
      <c r="I93" s="86"/>
      <c r="J93" s="86"/>
      <c r="K93" s="94"/>
      <c r="L93" s="87"/>
      <c r="M93" s="2070"/>
    </row>
    <row r="94" spans="1:13">
      <c r="A94" s="1518"/>
      <c r="B94" s="86"/>
      <c r="C94" s="2069"/>
      <c r="D94" s="86"/>
      <c r="E94" s="86"/>
      <c r="F94" s="86"/>
      <c r="G94" s="86"/>
      <c r="H94" s="86"/>
      <c r="I94" s="86"/>
      <c r="J94" s="86"/>
      <c r="K94" s="94"/>
      <c r="L94" s="87"/>
      <c r="M94" s="2070"/>
    </row>
    <row r="95" spans="1:13">
      <c r="A95" s="1518"/>
      <c r="B95" s="86"/>
      <c r="C95" s="2069"/>
      <c r="D95" s="86"/>
      <c r="E95" s="86"/>
      <c r="F95" s="86"/>
      <c r="G95" s="86"/>
      <c r="H95" s="86"/>
      <c r="I95" s="86"/>
      <c r="J95" s="86"/>
      <c r="K95" s="94"/>
      <c r="L95" s="87"/>
      <c r="M95" s="1521"/>
    </row>
    <row r="96" spans="1:13">
      <c r="A96" s="85"/>
      <c r="B96" s="86"/>
      <c r="C96" s="2069"/>
      <c r="D96" s="86"/>
      <c r="E96" s="86"/>
      <c r="F96" s="86"/>
      <c r="G96" s="86"/>
      <c r="H96" s="86"/>
      <c r="I96" s="86"/>
      <c r="J96" s="86"/>
      <c r="K96" s="94"/>
      <c r="L96" s="87"/>
      <c r="M96" s="1521"/>
    </row>
    <row r="97" spans="1:13">
      <c r="A97" s="85"/>
      <c r="B97" s="86"/>
      <c r="C97" s="2069"/>
      <c r="D97" s="86"/>
      <c r="E97" s="86"/>
      <c r="F97" s="86"/>
      <c r="G97" s="86"/>
      <c r="H97" s="86"/>
      <c r="I97" s="86"/>
      <c r="J97" s="86"/>
      <c r="K97" s="94"/>
      <c r="L97" s="87"/>
      <c r="M97" s="2070"/>
    </row>
    <row r="98" spans="1:13">
      <c r="A98" s="85"/>
      <c r="B98" s="86"/>
      <c r="C98" s="2069"/>
      <c r="D98" s="86"/>
      <c r="E98" s="86"/>
      <c r="F98" s="86"/>
      <c r="G98" s="86"/>
      <c r="H98" s="86"/>
      <c r="I98" s="86"/>
      <c r="J98" s="86"/>
      <c r="K98" s="94"/>
      <c r="L98" s="87"/>
      <c r="M98" s="1521"/>
    </row>
    <row r="99" spans="1:13">
      <c r="A99" s="85"/>
      <c r="B99" s="86"/>
      <c r="C99" s="2069"/>
      <c r="D99" s="86"/>
      <c r="E99" s="86"/>
      <c r="F99" s="86"/>
      <c r="G99" s="86"/>
      <c r="H99" s="86"/>
      <c r="I99" s="86"/>
      <c r="J99" s="86"/>
      <c r="K99" s="94"/>
      <c r="L99" s="87"/>
      <c r="M99" s="1521"/>
    </row>
    <row r="100" spans="1:13">
      <c r="A100" s="85"/>
      <c r="B100" s="86"/>
      <c r="C100" s="2069"/>
      <c r="D100" s="86"/>
      <c r="E100" s="86"/>
      <c r="F100" s="86"/>
      <c r="G100" s="86"/>
      <c r="H100" s="86"/>
      <c r="I100" s="86"/>
      <c r="J100" s="86"/>
      <c r="K100" s="94"/>
      <c r="L100" s="87"/>
      <c r="M100" s="1521"/>
    </row>
    <row r="101" spans="1:13">
      <c r="A101" s="85"/>
      <c r="B101" s="86"/>
      <c r="C101" s="2069"/>
      <c r="D101" s="86"/>
      <c r="E101" s="86"/>
      <c r="F101" s="86"/>
      <c r="G101" s="86"/>
      <c r="H101" s="86"/>
      <c r="I101" s="86"/>
      <c r="J101" s="86"/>
      <c r="K101" s="94"/>
      <c r="L101" s="87"/>
      <c r="M101" s="1521"/>
    </row>
    <row r="102" spans="1:13">
      <c r="A102" s="85"/>
      <c r="B102" s="86"/>
      <c r="C102" s="2069"/>
      <c r="D102" s="86"/>
      <c r="E102" s="86"/>
      <c r="F102" s="86"/>
      <c r="G102" s="86"/>
      <c r="H102" s="86"/>
      <c r="I102" s="86"/>
      <c r="J102" s="86"/>
      <c r="K102" s="94"/>
      <c r="L102" s="87"/>
      <c r="M102" s="1521"/>
    </row>
    <row r="103" spans="1:13" ht="15.75" thickBot="1">
      <c r="A103" s="124"/>
      <c r="B103" s="125"/>
      <c r="C103" s="2071"/>
      <c r="D103" s="113"/>
      <c r="E103" s="113"/>
      <c r="F103" s="113"/>
      <c r="G103" s="113"/>
      <c r="H103" s="113"/>
      <c r="I103" s="113"/>
      <c r="J103" s="113"/>
      <c r="K103" s="1116"/>
      <c r="L103" s="116"/>
      <c r="M103" s="1521"/>
    </row>
    <row r="104" spans="1:13">
      <c r="A104" s="108" t="s">
        <v>3233</v>
      </c>
      <c r="C104" s="86"/>
      <c r="D104" s="86"/>
      <c r="E104" s="86"/>
      <c r="F104" s="86"/>
      <c r="G104" s="86"/>
      <c r="H104" s="86"/>
      <c r="I104" s="86"/>
      <c r="J104" s="86"/>
      <c r="L104" s="86"/>
      <c r="M104" s="1521"/>
    </row>
    <row r="105" spans="1:13">
      <c r="A105" s="4" t="s">
        <v>1327</v>
      </c>
      <c r="B105" s="4"/>
      <c r="C105" s="5"/>
      <c r="D105" s="5"/>
      <c r="E105" s="5"/>
      <c r="F105" s="5"/>
      <c r="G105" s="5"/>
      <c r="H105" s="5"/>
      <c r="I105" s="5"/>
      <c r="J105" s="5"/>
      <c r="K105" s="94"/>
      <c r="L105" s="5"/>
      <c r="M105" s="1521"/>
    </row>
    <row r="106" spans="1:13" ht="15.75" thickBot="1">
      <c r="A106" s="14" t="str">
        <f>'Data sheet'!A65</f>
        <v>Annual Report of Veolia Water New York, Inc.                                                                                          Year Ended  December 31, 2023</v>
      </c>
      <c r="B106" s="218"/>
      <c r="C106" s="86"/>
      <c r="D106" s="405"/>
      <c r="E106" s="86"/>
      <c r="F106" s="86"/>
      <c r="G106" s="86"/>
      <c r="H106" s="86"/>
      <c r="I106" s="86"/>
      <c r="J106" s="86"/>
      <c r="K106" s="94"/>
      <c r="L106" s="86"/>
      <c r="M106" s="1521"/>
    </row>
    <row r="107" spans="1:13">
      <c r="A107" s="80"/>
      <c r="B107" s="81"/>
      <c r="C107" s="130"/>
      <c r="D107" s="130"/>
      <c r="E107" s="130"/>
      <c r="F107" s="130"/>
      <c r="G107" s="130"/>
      <c r="H107" s="130"/>
      <c r="I107" s="130"/>
      <c r="J107" s="130"/>
      <c r="K107" s="1140"/>
      <c r="L107" s="131"/>
      <c r="M107" s="1521"/>
    </row>
    <row r="108" spans="1:13" ht="15.75">
      <c r="A108" s="118" t="s">
        <v>1328</v>
      </c>
      <c r="B108" s="3"/>
      <c r="C108" s="5"/>
      <c r="D108" s="5"/>
      <c r="E108" s="5"/>
      <c r="F108" s="5"/>
      <c r="G108" s="5"/>
      <c r="H108" s="5"/>
      <c r="I108" s="5"/>
      <c r="J108" s="5"/>
      <c r="K108" s="94"/>
      <c r="L108" s="132"/>
      <c r="M108" s="1521"/>
    </row>
    <row r="109" spans="1:13" ht="15.75">
      <c r="A109" s="118" t="s">
        <v>1882</v>
      </c>
      <c r="B109" s="3"/>
      <c r="C109" s="5"/>
      <c r="D109" s="219"/>
      <c r="E109" s="5"/>
      <c r="F109" s="5"/>
      <c r="G109" s="5"/>
      <c r="H109" s="5"/>
      <c r="I109" s="5"/>
      <c r="J109" s="5"/>
      <c r="K109" s="94"/>
      <c r="L109" s="132"/>
      <c r="M109" s="1521"/>
    </row>
    <row r="110" spans="1:13" ht="18">
      <c r="A110" s="220" t="s">
        <v>1116</v>
      </c>
      <c r="B110" s="1"/>
      <c r="C110" s="2"/>
      <c r="D110" s="3"/>
      <c r="E110" s="3"/>
      <c r="F110" s="3"/>
      <c r="G110" s="3"/>
      <c r="H110" s="3"/>
      <c r="I110" s="3"/>
      <c r="J110" s="3"/>
      <c r="K110" s="106"/>
      <c r="L110" s="84"/>
      <c r="M110" s="1521"/>
    </row>
    <row r="111" spans="1:13">
      <c r="A111" s="221"/>
      <c r="B111" s="222"/>
      <c r="C111" s="223"/>
      <c r="D111" s="98"/>
      <c r="E111" s="98"/>
      <c r="F111" s="98"/>
      <c r="G111" s="98"/>
      <c r="H111" s="98"/>
      <c r="I111" s="98"/>
      <c r="J111" s="98"/>
      <c r="K111" s="996"/>
      <c r="L111" s="101"/>
      <c r="M111" s="1521"/>
    </row>
    <row r="112" spans="1:13">
      <c r="A112" s="237" t="s">
        <v>1727</v>
      </c>
      <c r="B112" s="95"/>
      <c r="C112" s="2048" t="s">
        <v>1117</v>
      </c>
      <c r="D112" s="95"/>
      <c r="E112" s="95"/>
      <c r="F112" s="95"/>
      <c r="G112" s="95"/>
      <c r="H112" s="95"/>
      <c r="I112" s="95"/>
      <c r="J112" s="440" t="s">
        <v>1118</v>
      </c>
      <c r="K112" s="440" t="s">
        <v>1119</v>
      </c>
      <c r="L112" s="428" t="s">
        <v>1120</v>
      </c>
      <c r="M112" s="1521"/>
    </row>
    <row r="113" spans="1:13">
      <c r="A113" s="240" t="s">
        <v>1739</v>
      </c>
      <c r="B113" s="1000" t="s">
        <v>1121</v>
      </c>
      <c r="C113" s="2049" t="s">
        <v>1122</v>
      </c>
      <c r="D113" s="1000" t="s">
        <v>1123</v>
      </c>
      <c r="E113" s="1000" t="s">
        <v>1123</v>
      </c>
      <c r="F113" s="1000" t="s">
        <v>1123</v>
      </c>
      <c r="G113" s="1000" t="s">
        <v>1123</v>
      </c>
      <c r="H113" s="99"/>
      <c r="I113" s="99"/>
      <c r="J113" s="1000" t="s">
        <v>1124</v>
      </c>
      <c r="K113" s="1000" t="s">
        <v>1125</v>
      </c>
      <c r="L113" s="424" t="s">
        <v>1126</v>
      </c>
      <c r="M113" s="1521"/>
    </row>
    <row r="114" spans="1:13" ht="15.75">
      <c r="A114" s="237">
        <v>1</v>
      </c>
      <c r="B114" s="107" t="s">
        <v>3526</v>
      </c>
      <c r="C114" s="2062"/>
      <c r="D114" s="95"/>
      <c r="E114" s="95"/>
      <c r="F114" s="95"/>
      <c r="G114" s="95"/>
      <c r="H114" s="95"/>
      <c r="I114" s="95"/>
      <c r="J114" s="95"/>
      <c r="K114" s="440"/>
      <c r="L114" s="87"/>
      <c r="M114" s="1521"/>
    </row>
    <row r="115" spans="1:13">
      <c r="A115" s="237">
        <v>2</v>
      </c>
      <c r="B115" s="230" t="s">
        <v>1329</v>
      </c>
      <c r="C115" s="1552"/>
      <c r="D115" s="608"/>
      <c r="E115" s="608"/>
      <c r="F115" s="608"/>
      <c r="G115" s="608"/>
      <c r="H115" s="608"/>
      <c r="I115" s="608"/>
      <c r="J115" s="608"/>
      <c r="K115" s="440">
        <v>11</v>
      </c>
      <c r="L115" s="435">
        <f>SUM(C115:J115)</f>
        <v>0</v>
      </c>
      <c r="M115" s="1521"/>
    </row>
    <row r="116" spans="1:13">
      <c r="A116" s="237">
        <v>3</v>
      </c>
      <c r="B116" s="230"/>
      <c r="C116" s="1976"/>
      <c r="D116" s="95"/>
      <c r="E116" s="95"/>
      <c r="F116" s="608"/>
      <c r="G116" s="608"/>
      <c r="H116" s="608"/>
      <c r="I116" s="608"/>
      <c r="J116" s="95"/>
      <c r="K116" s="440"/>
      <c r="L116" s="87"/>
      <c r="M116" s="1521"/>
    </row>
    <row r="117" spans="1:13">
      <c r="A117" s="237">
        <v>4</v>
      </c>
      <c r="B117" s="230"/>
      <c r="C117" s="2072"/>
      <c r="D117" s="95"/>
      <c r="E117" s="95"/>
      <c r="F117" s="608"/>
      <c r="G117" s="608"/>
      <c r="H117" s="608"/>
      <c r="I117" s="608"/>
      <c r="J117" s="95"/>
      <c r="K117" s="440"/>
      <c r="L117" s="87"/>
      <c r="M117" s="1521"/>
    </row>
    <row r="118" spans="1:13">
      <c r="A118" s="237">
        <v>5</v>
      </c>
      <c r="B118" s="95"/>
      <c r="C118" s="2062"/>
      <c r="D118" s="95"/>
      <c r="E118" s="95"/>
      <c r="F118" s="608"/>
      <c r="G118" s="608"/>
      <c r="H118" s="608"/>
      <c r="I118" s="608"/>
      <c r="J118" s="95"/>
      <c r="K118" s="440"/>
      <c r="L118" s="87"/>
      <c r="M118" s="1521"/>
    </row>
    <row r="119" spans="1:13">
      <c r="A119" s="237">
        <v>6</v>
      </c>
      <c r="B119" s="95"/>
      <c r="C119" s="2062"/>
      <c r="D119" s="95"/>
      <c r="E119" s="95"/>
      <c r="F119" s="608"/>
      <c r="G119" s="608"/>
      <c r="H119" s="608"/>
      <c r="I119" s="608"/>
      <c r="J119" s="95"/>
      <c r="K119" s="440"/>
      <c r="L119" s="87"/>
      <c r="M119" s="1521"/>
    </row>
    <row r="120" spans="1:13">
      <c r="A120" s="237">
        <v>7</v>
      </c>
      <c r="B120" s="95"/>
      <c r="C120" s="2062"/>
      <c r="D120" s="95"/>
      <c r="E120" s="95"/>
      <c r="F120" s="95"/>
      <c r="G120" s="95"/>
      <c r="H120" s="95"/>
      <c r="I120" s="95"/>
      <c r="J120" s="95"/>
      <c r="K120" s="440"/>
      <c r="L120" s="87"/>
      <c r="M120" s="1521"/>
    </row>
    <row r="121" spans="1:13">
      <c r="A121" s="237">
        <v>8</v>
      </c>
      <c r="B121" s="230" t="s">
        <v>1330</v>
      </c>
      <c r="C121" s="2235"/>
      <c r="D121" s="2053"/>
      <c r="E121" s="95"/>
      <c r="F121" s="95"/>
      <c r="G121" s="95"/>
      <c r="H121" s="95"/>
      <c r="I121" s="95"/>
      <c r="J121" s="95"/>
      <c r="K121" s="440">
        <v>12</v>
      </c>
      <c r="L121" s="2055">
        <f>SUM(C121:J121)</f>
        <v>0</v>
      </c>
      <c r="M121" s="1521"/>
    </row>
    <row r="122" spans="1:13">
      <c r="A122" s="237">
        <v>9</v>
      </c>
      <c r="B122" s="95"/>
      <c r="C122" s="2236"/>
      <c r="D122" s="95"/>
      <c r="E122" s="95"/>
      <c r="F122" s="95"/>
      <c r="G122" s="95"/>
      <c r="H122" s="95"/>
      <c r="I122" s="95"/>
      <c r="J122" s="95"/>
      <c r="K122" s="440"/>
      <c r="L122" s="87"/>
      <c r="M122" s="1521"/>
    </row>
    <row r="123" spans="1:13">
      <c r="A123" s="237">
        <v>10</v>
      </c>
      <c r="B123" s="95"/>
      <c r="C123" s="2236"/>
      <c r="D123" s="95"/>
      <c r="E123" s="95"/>
      <c r="F123" s="95"/>
      <c r="G123" s="95"/>
      <c r="H123" s="95"/>
      <c r="I123" s="95"/>
      <c r="J123" s="95"/>
      <c r="K123" s="440"/>
      <c r="L123" s="87"/>
      <c r="M123" s="1521"/>
    </row>
    <row r="124" spans="1:13">
      <c r="A124" s="237">
        <v>11</v>
      </c>
      <c r="B124" s="95"/>
      <c r="C124" s="2236"/>
      <c r="D124" s="95"/>
      <c r="E124" s="95"/>
      <c r="F124" s="95"/>
      <c r="G124" s="95"/>
      <c r="H124" s="95"/>
      <c r="I124" s="95"/>
      <c r="J124" s="95"/>
      <c r="K124" s="440"/>
      <c r="L124" s="87"/>
      <c r="M124" s="1521"/>
    </row>
    <row r="125" spans="1:13">
      <c r="A125" s="237">
        <v>12</v>
      </c>
      <c r="B125" s="95"/>
      <c r="C125" s="2236"/>
      <c r="D125" s="95"/>
      <c r="E125" s="95"/>
      <c r="F125" s="95"/>
      <c r="G125" s="95"/>
      <c r="H125" s="95"/>
      <c r="I125" s="95"/>
      <c r="J125" s="95"/>
      <c r="K125" s="440"/>
      <c r="L125" s="87"/>
      <c r="M125" s="1521"/>
    </row>
    <row r="126" spans="1:13">
      <c r="A126" s="237">
        <v>13</v>
      </c>
      <c r="B126" s="95"/>
      <c r="C126" s="2236"/>
      <c r="D126" s="95"/>
      <c r="E126" s="95"/>
      <c r="F126" s="95"/>
      <c r="G126" s="95"/>
      <c r="H126" s="95"/>
      <c r="I126" s="95"/>
      <c r="J126" s="95"/>
      <c r="K126" s="440"/>
      <c r="L126" s="87"/>
      <c r="M126" s="1521"/>
    </row>
    <row r="127" spans="1:13">
      <c r="A127" s="237">
        <v>14</v>
      </c>
      <c r="B127" s="230" t="s">
        <v>2915</v>
      </c>
      <c r="C127" s="2235"/>
      <c r="D127" s="2053"/>
      <c r="E127" s="95"/>
      <c r="F127" s="95"/>
      <c r="G127" s="95"/>
      <c r="H127" s="95"/>
      <c r="I127" s="95"/>
      <c r="J127" s="95"/>
      <c r="K127" s="440">
        <v>13</v>
      </c>
      <c r="L127" s="2055">
        <f>SUM(C127:J127)</f>
        <v>0</v>
      </c>
      <c r="M127" s="1521"/>
    </row>
    <row r="128" spans="1:13">
      <c r="A128" s="237">
        <v>15</v>
      </c>
      <c r="B128" s="95"/>
      <c r="C128" s="2236"/>
      <c r="D128" s="95"/>
      <c r="E128" s="95"/>
      <c r="F128" s="95"/>
      <c r="G128" s="95"/>
      <c r="H128" s="95"/>
      <c r="I128" s="95"/>
      <c r="J128" s="95"/>
      <c r="K128" s="440"/>
      <c r="L128" s="87"/>
      <c r="M128" s="1521"/>
    </row>
    <row r="129" spans="1:13">
      <c r="A129" s="237">
        <v>16</v>
      </c>
      <c r="B129" s="95"/>
      <c r="C129" s="2053"/>
      <c r="D129" s="95"/>
      <c r="E129" s="95"/>
      <c r="F129" s="95"/>
      <c r="G129" s="95"/>
      <c r="H129" s="95"/>
      <c r="I129" s="95"/>
      <c r="J129" s="95"/>
      <c r="K129" s="440"/>
      <c r="L129" s="87"/>
      <c r="M129" s="1521"/>
    </row>
    <row r="130" spans="1:13">
      <c r="A130" s="237">
        <v>17</v>
      </c>
      <c r="B130" s="95"/>
      <c r="C130" s="2053"/>
      <c r="D130" s="99"/>
      <c r="E130" s="99"/>
      <c r="F130" s="99"/>
      <c r="G130" s="99"/>
      <c r="H130" s="99"/>
      <c r="I130" s="99"/>
      <c r="J130" s="99"/>
      <c r="K130" s="440"/>
      <c r="L130" s="101"/>
      <c r="M130" s="1521"/>
    </row>
    <row r="131" spans="1:13">
      <c r="A131" s="237">
        <v>18</v>
      </c>
      <c r="B131" s="95" t="s">
        <v>1617</v>
      </c>
      <c r="C131" s="2073"/>
      <c r="D131" s="95"/>
      <c r="E131" s="95"/>
      <c r="F131" s="95"/>
      <c r="G131" s="95"/>
      <c r="H131" s="95"/>
      <c r="I131" s="95"/>
      <c r="J131" s="95"/>
      <c r="K131" s="440"/>
      <c r="L131" s="87"/>
      <c r="M131" s="1521"/>
    </row>
    <row r="132" spans="1:13">
      <c r="A132" s="237">
        <v>19</v>
      </c>
      <c r="B132" s="95" t="s">
        <v>1618</v>
      </c>
      <c r="C132" s="1986">
        <f>SUM(C115:C130)</f>
        <v>0</v>
      </c>
      <c r="D132" s="1986">
        <f>SUM(D115:D130)</f>
        <v>0</v>
      </c>
      <c r="E132" s="1986">
        <f t="shared" ref="E132:J132" si="3">SUM(E115:E130)</f>
        <v>0</v>
      </c>
      <c r="F132" s="1986">
        <f t="shared" si="3"/>
        <v>0</v>
      </c>
      <c r="G132" s="1986">
        <f t="shared" si="3"/>
        <v>0</v>
      </c>
      <c r="H132" s="1986">
        <f t="shared" si="3"/>
        <v>0</v>
      </c>
      <c r="I132" s="1986">
        <f t="shared" si="3"/>
        <v>0</v>
      </c>
      <c r="J132" s="1986">
        <f t="shared" si="3"/>
        <v>0</v>
      </c>
      <c r="K132" s="440"/>
      <c r="L132" s="427">
        <f>SUM(L115:L130)</f>
        <v>0</v>
      </c>
      <c r="M132" s="1521"/>
    </row>
    <row r="133" spans="1:13">
      <c r="A133" s="237">
        <v>20</v>
      </c>
      <c r="B133" s="95"/>
      <c r="C133" s="2072"/>
      <c r="D133" s="95"/>
      <c r="E133" s="95"/>
      <c r="F133" s="95"/>
      <c r="G133" s="95"/>
      <c r="H133" s="95"/>
      <c r="I133" s="95"/>
      <c r="J133" s="95"/>
      <c r="K133" s="440"/>
      <c r="L133" s="87"/>
      <c r="M133" s="1521"/>
    </row>
    <row r="134" spans="1:13">
      <c r="A134" s="237">
        <v>21</v>
      </c>
      <c r="B134" s="95"/>
      <c r="C134" s="2072"/>
      <c r="D134" s="95"/>
      <c r="E134" s="95"/>
      <c r="F134" s="95"/>
      <c r="G134" s="95"/>
      <c r="H134" s="95"/>
      <c r="I134" s="95"/>
      <c r="J134" s="95"/>
      <c r="K134" s="440"/>
      <c r="L134" s="87"/>
      <c r="M134" s="1521"/>
    </row>
    <row r="135" spans="1:13">
      <c r="A135" s="237">
        <v>22</v>
      </c>
      <c r="B135" s="95" t="s">
        <v>1619</v>
      </c>
      <c r="C135" s="2072"/>
      <c r="D135" s="95"/>
      <c r="E135" s="95"/>
      <c r="F135" s="95"/>
      <c r="G135" s="95"/>
      <c r="H135" s="95"/>
      <c r="I135" s="95"/>
      <c r="J135" s="95"/>
      <c r="K135" s="440"/>
      <c r="L135" s="87"/>
      <c r="M135" s="1521"/>
    </row>
    <row r="136" spans="1:13">
      <c r="A136" s="237">
        <v>23</v>
      </c>
      <c r="B136" s="86" t="s">
        <v>1620</v>
      </c>
      <c r="C136" s="2053"/>
      <c r="D136" s="1986">
        <v>0</v>
      </c>
      <c r="E136" s="96"/>
      <c r="F136" s="86"/>
      <c r="G136" s="96"/>
      <c r="H136" s="86"/>
      <c r="I136" s="96"/>
      <c r="J136" s="95"/>
      <c r="K136" s="440">
        <v>11</v>
      </c>
      <c r="L136" s="2055">
        <f>SUM(C136:J136)</f>
        <v>0</v>
      </c>
      <c r="M136" s="1521"/>
    </row>
    <row r="137" spans="1:13">
      <c r="A137" s="237">
        <v>24</v>
      </c>
      <c r="B137" s="86"/>
      <c r="C137" s="2074"/>
      <c r="D137" s="86"/>
      <c r="E137" s="96"/>
      <c r="F137" s="86"/>
      <c r="G137" s="96"/>
      <c r="H137" s="86"/>
      <c r="I137" s="96"/>
      <c r="J137" s="95"/>
      <c r="K137" s="440"/>
      <c r="L137" s="87"/>
      <c r="M137" s="1521"/>
    </row>
    <row r="138" spans="1:13">
      <c r="A138" s="237">
        <v>25</v>
      </c>
      <c r="B138" s="95" t="s">
        <v>1619</v>
      </c>
      <c r="C138" s="2074"/>
      <c r="D138" s="86"/>
      <c r="E138" s="96"/>
      <c r="F138" s="86"/>
      <c r="G138" s="96"/>
      <c r="H138" s="86"/>
      <c r="I138" s="96"/>
      <c r="J138" s="95"/>
      <c r="K138" s="440"/>
      <c r="L138" s="87"/>
      <c r="M138" s="1521"/>
    </row>
    <row r="139" spans="1:13">
      <c r="A139" s="240">
        <v>26</v>
      </c>
      <c r="B139" s="86" t="s">
        <v>1621</v>
      </c>
      <c r="C139" s="2051">
        <f>C132+C136</f>
        <v>0</v>
      </c>
      <c r="D139" s="2051">
        <f t="shared" ref="D139:J139" si="4">D132+D136</f>
        <v>0</v>
      </c>
      <c r="E139" s="2051">
        <f t="shared" si="4"/>
        <v>0</v>
      </c>
      <c r="F139" s="2051">
        <f t="shared" si="4"/>
        <v>0</v>
      </c>
      <c r="G139" s="2051">
        <f t="shared" si="4"/>
        <v>0</v>
      </c>
      <c r="H139" s="2051">
        <f t="shared" si="4"/>
        <v>0</v>
      </c>
      <c r="I139" s="2051">
        <f t="shared" si="4"/>
        <v>0</v>
      </c>
      <c r="J139" s="2051">
        <f t="shared" si="4"/>
        <v>0</v>
      </c>
      <c r="K139" s="2065"/>
      <c r="L139" s="2075">
        <f>L132+L136</f>
        <v>0</v>
      </c>
      <c r="M139" s="1521"/>
    </row>
    <row r="140" spans="1:13">
      <c r="A140" s="85"/>
      <c r="B140" s="90"/>
      <c r="C140" s="1977"/>
      <c r="D140" s="242"/>
      <c r="E140" s="242"/>
      <c r="F140" s="242"/>
      <c r="G140" s="242"/>
      <c r="H140" s="242"/>
      <c r="I140" s="242"/>
      <c r="J140" s="242"/>
      <c r="K140" s="855"/>
      <c r="L140" s="243"/>
    </row>
    <row r="141" spans="1:13" ht="15.75">
      <c r="A141" s="85"/>
      <c r="B141" s="3" t="s">
        <v>1326</v>
      </c>
      <c r="C141" s="244"/>
      <c r="D141" s="4"/>
      <c r="E141" s="4"/>
      <c r="F141" s="4"/>
      <c r="G141" s="4"/>
      <c r="H141" s="4"/>
      <c r="I141" s="4"/>
      <c r="J141" s="4"/>
      <c r="L141" s="119"/>
    </row>
    <row r="142" spans="1:13">
      <c r="A142" s="85"/>
      <c r="B142" s="86"/>
      <c r="C142" s="215"/>
      <c r="L142" s="214"/>
    </row>
    <row r="143" spans="1:13">
      <c r="A143" s="85"/>
      <c r="B143" s="86"/>
      <c r="C143" s="215"/>
      <c r="L143" s="214"/>
    </row>
    <row r="144" spans="1:13">
      <c r="A144" s="85"/>
      <c r="B144" s="86"/>
      <c r="C144" s="215"/>
      <c r="L144" s="214"/>
      <c r="M144" s="1747"/>
    </row>
    <row r="145" spans="1:12">
      <c r="A145" s="85"/>
      <c r="B145" s="86"/>
      <c r="C145" s="215"/>
      <c r="L145" s="214"/>
    </row>
    <row r="146" spans="1:12">
      <c r="A146" s="85"/>
      <c r="B146" s="86"/>
      <c r="C146" s="86"/>
      <c r="L146" s="214"/>
    </row>
    <row r="147" spans="1:12">
      <c r="A147" s="83"/>
      <c r="C147" s="215"/>
      <c r="L147" s="214"/>
    </row>
    <row r="148" spans="1:12">
      <c r="A148" s="83"/>
      <c r="B148" s="977"/>
      <c r="C148" s="215"/>
      <c r="L148" s="214"/>
    </row>
    <row r="149" spans="1:12">
      <c r="A149" s="83"/>
      <c r="C149" s="215"/>
      <c r="L149" s="214"/>
    </row>
    <row r="150" spans="1:12">
      <c r="A150" s="83"/>
      <c r="C150" s="215"/>
      <c r="L150" s="214"/>
    </row>
    <row r="151" spans="1:12">
      <c r="A151" s="83"/>
      <c r="C151" s="215"/>
      <c r="L151" s="214"/>
    </row>
    <row r="152" spans="1:12">
      <c r="A152" s="83"/>
      <c r="C152" s="215"/>
      <c r="L152" s="214"/>
    </row>
    <row r="153" spans="1:12">
      <c r="A153" s="83"/>
      <c r="C153" s="215"/>
      <c r="L153" s="214"/>
    </row>
    <row r="154" spans="1:12" ht="15.75" thickBot="1">
      <c r="A154" s="124"/>
      <c r="B154" s="125"/>
      <c r="C154" s="216"/>
      <c r="D154" s="125"/>
      <c r="E154" s="125"/>
      <c r="F154" s="125"/>
      <c r="G154" s="125"/>
      <c r="H154" s="125"/>
      <c r="I154" s="125"/>
      <c r="J154" s="125"/>
      <c r="K154" s="584"/>
      <c r="L154" s="217"/>
    </row>
    <row r="155" spans="1:12">
      <c r="A155" s="977" t="s">
        <v>3233</v>
      </c>
    </row>
    <row r="156" spans="1:12">
      <c r="A156" s="4" t="s">
        <v>1622</v>
      </c>
      <c r="B156" s="4"/>
      <c r="C156" s="4"/>
      <c r="D156" s="4"/>
      <c r="E156" s="4"/>
      <c r="F156" s="4"/>
      <c r="G156" s="4"/>
      <c r="H156" s="4"/>
      <c r="I156" s="4"/>
      <c r="J156" s="4"/>
      <c r="L156" s="4"/>
    </row>
  </sheetData>
  <phoneticPr fontId="0" type="noConversion"/>
  <printOptions horizontalCentered="1" verticalCentered="1"/>
  <pageMargins left="0.25" right="0.25" top="0.25" bottom="0.25" header="0" footer="0"/>
  <pageSetup scale="70" fitToHeight="3" orientation="landscape" r:id="rId1"/>
  <headerFooter alignWithMargins="0"/>
  <rowBreaks count="2" manualBreakCount="2">
    <brk id="53" max="16383" man="1"/>
    <brk id="105" max="16383" man="1"/>
  </rowBreaks>
  <legacy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transitionEvaluation="1">
    <pageSetUpPr fitToPage="1"/>
  </sheetPr>
  <dimension ref="A1:AF70"/>
  <sheetViews>
    <sheetView defaultGridColor="0" colorId="22" zoomScaleNormal="100" workbookViewId="0">
      <pane xSplit="2" ySplit="15" topLeftCell="C16" activePane="bottomRight" state="frozen"/>
      <selection activeCell="S32" sqref="S32"/>
      <selection pane="topRight" activeCell="S32" sqref="S32"/>
      <selection pane="bottomLeft" activeCell="S32" sqref="S32"/>
      <selection pane="bottomRight" activeCell="K16" sqref="K16"/>
    </sheetView>
  </sheetViews>
  <sheetFormatPr defaultColWidth="9.77734375" defaultRowHeight="15"/>
  <cols>
    <col min="1" max="1" width="4.77734375" customWidth="1"/>
    <col min="2" max="2" width="28.88671875" customWidth="1"/>
    <col min="3" max="3" width="10.77734375" customWidth="1"/>
    <col min="4" max="4" width="11.44140625" bestFit="1" customWidth="1"/>
    <col min="5" max="5" width="10.21875" bestFit="1" customWidth="1"/>
    <col min="6" max="6" width="15.21875" customWidth="1"/>
    <col min="8" max="8" width="10.21875" bestFit="1" customWidth="1"/>
    <col min="9" max="9" width="9.5546875" bestFit="1" customWidth="1"/>
    <col min="10" max="10" width="22" bestFit="1" customWidth="1"/>
  </cols>
  <sheetData>
    <row r="1" spans="1:27" ht="15.75" thickBot="1">
      <c r="A1" s="86" t="str">
        <f>'Data sheet'!A69</f>
        <v>Annual Report of Veolia Water New York, Inc.                                                                                                                   Year Ended  December 31, 2023</v>
      </c>
      <c r="B1" s="86"/>
      <c r="C1" s="86"/>
      <c r="D1" s="86"/>
      <c r="E1" s="86"/>
      <c r="F1" s="86"/>
      <c r="G1" s="86"/>
      <c r="H1" s="86"/>
      <c r="I1" s="86"/>
      <c r="J1" s="86"/>
    </row>
    <row r="2" spans="1:27">
      <c r="A2" s="677"/>
      <c r="B2" s="678"/>
      <c r="C2" s="678"/>
      <c r="D2" s="678"/>
      <c r="E2" s="678"/>
      <c r="F2" s="678"/>
      <c r="G2" s="678"/>
      <c r="H2" s="678"/>
      <c r="I2" s="678"/>
      <c r="J2" s="679"/>
      <c r="K2" s="931"/>
      <c r="L2" s="931"/>
      <c r="M2" s="931"/>
      <c r="N2" s="931"/>
      <c r="O2" s="931"/>
    </row>
    <row r="3" spans="1:27" ht="15.75">
      <c r="A3" s="328" t="s">
        <v>3429</v>
      </c>
      <c r="B3" s="539"/>
      <c r="C3" s="539"/>
      <c r="D3" s="5"/>
      <c r="E3" s="785"/>
      <c r="F3" s="539"/>
      <c r="G3" s="539"/>
      <c r="H3" s="539"/>
      <c r="I3" s="539"/>
      <c r="J3" s="680"/>
      <c r="K3" s="931"/>
      <c r="L3" s="931"/>
      <c r="M3" s="931"/>
      <c r="N3" s="931"/>
      <c r="O3" s="931"/>
    </row>
    <row r="4" spans="1:27">
      <c r="A4" s="351"/>
      <c r="B4" s="432"/>
      <c r="C4" s="432"/>
      <c r="D4" s="432"/>
      <c r="E4" s="432"/>
      <c r="F4" s="432"/>
      <c r="G4" s="432"/>
      <c r="H4" s="432"/>
      <c r="I4" s="432"/>
      <c r="J4" s="681"/>
      <c r="K4" s="931"/>
      <c r="L4" s="931"/>
      <c r="M4" s="931"/>
      <c r="N4" s="931"/>
      <c r="O4" s="931"/>
    </row>
    <row r="5" spans="1:27">
      <c r="A5" s="351"/>
      <c r="B5" s="432" t="s">
        <v>3430</v>
      </c>
      <c r="C5" s="432"/>
      <c r="D5" s="432"/>
      <c r="E5" s="432"/>
      <c r="F5" s="432" t="s">
        <v>3431</v>
      </c>
      <c r="G5" s="86"/>
      <c r="H5" s="432"/>
      <c r="I5" s="432"/>
      <c r="J5" s="681"/>
      <c r="K5" s="931"/>
      <c r="L5" s="931"/>
      <c r="M5" s="931"/>
      <c r="N5" s="931"/>
      <c r="O5" s="931"/>
    </row>
    <row r="6" spans="1:27">
      <c r="A6" s="351"/>
      <c r="B6" s="432" t="s">
        <v>3432</v>
      </c>
      <c r="C6" s="432"/>
      <c r="D6" s="432"/>
      <c r="E6" s="432"/>
      <c r="F6" s="432" t="s">
        <v>2739</v>
      </c>
      <c r="G6" s="86"/>
      <c r="H6" s="432"/>
      <c r="I6" s="432"/>
      <c r="J6" s="681"/>
      <c r="K6" s="931"/>
      <c r="L6" s="931"/>
      <c r="M6" s="931"/>
      <c r="N6" s="931"/>
      <c r="O6" s="931"/>
    </row>
    <row r="7" spans="1:27">
      <c r="A7" s="351"/>
      <c r="B7" s="432"/>
      <c r="C7" s="432"/>
      <c r="D7" s="432"/>
      <c r="E7" s="432"/>
      <c r="F7" s="432" t="s">
        <v>2740</v>
      </c>
      <c r="G7" s="86"/>
      <c r="H7" s="432"/>
      <c r="I7" s="432"/>
      <c r="J7" s="681"/>
      <c r="K7" s="931"/>
      <c r="L7" s="931"/>
      <c r="M7" s="931"/>
      <c r="N7" s="931"/>
      <c r="O7" s="931"/>
    </row>
    <row r="8" spans="1:27">
      <c r="A8" s="351"/>
      <c r="B8" s="432" t="s">
        <v>1261</v>
      </c>
      <c r="C8" s="432"/>
      <c r="D8" s="432"/>
      <c r="E8" s="432"/>
      <c r="F8" s="86"/>
      <c r="G8" s="432"/>
      <c r="H8" s="432"/>
      <c r="I8" s="432"/>
      <c r="J8" s="681"/>
      <c r="K8" s="931"/>
      <c r="L8" s="931"/>
      <c r="M8" s="931"/>
      <c r="N8" s="931"/>
      <c r="O8" s="931"/>
    </row>
    <row r="9" spans="1:27">
      <c r="A9" s="351"/>
      <c r="B9" s="432" t="s">
        <v>170</v>
      </c>
      <c r="C9" s="432"/>
      <c r="D9" s="432"/>
      <c r="E9" s="432"/>
      <c r="F9" s="432"/>
      <c r="G9" s="432"/>
      <c r="H9" s="432"/>
      <c r="I9" s="432"/>
      <c r="J9" s="681"/>
      <c r="K9" s="931"/>
      <c r="L9" s="931"/>
      <c r="M9" s="931"/>
      <c r="N9" s="931"/>
      <c r="O9" s="931"/>
    </row>
    <row r="10" spans="1:27">
      <c r="A10" s="351"/>
      <c r="B10" s="432"/>
      <c r="C10" s="432"/>
      <c r="D10" s="432"/>
      <c r="E10" s="432"/>
      <c r="F10" s="432"/>
      <c r="G10" s="432"/>
      <c r="H10" s="432"/>
      <c r="I10" s="432"/>
      <c r="J10" s="681"/>
      <c r="K10" s="931"/>
      <c r="L10" s="931"/>
      <c r="M10" s="931"/>
      <c r="N10" s="931"/>
      <c r="O10" s="931"/>
    </row>
    <row r="11" spans="1:27">
      <c r="A11" s="542"/>
      <c r="B11" s="1144"/>
      <c r="C11" s="1144"/>
      <c r="D11" s="1144"/>
      <c r="E11" s="1144"/>
      <c r="F11" s="1144"/>
      <c r="G11" s="1144"/>
      <c r="H11" s="1144"/>
      <c r="I11" s="1144"/>
      <c r="J11" s="685"/>
      <c r="K11" s="931"/>
      <c r="L11" s="931"/>
      <c r="M11" s="931"/>
      <c r="N11" s="931"/>
      <c r="O11" s="931"/>
      <c r="P11" s="931"/>
      <c r="Q11" s="931"/>
      <c r="R11" s="931"/>
      <c r="S11" s="931"/>
      <c r="T11" s="931"/>
      <c r="U11" s="931"/>
      <c r="V11" s="931"/>
      <c r="W11" s="931"/>
      <c r="X11" s="931"/>
      <c r="Y11" s="931"/>
      <c r="Z11" s="931"/>
      <c r="AA11" s="931"/>
    </row>
    <row r="12" spans="1:27">
      <c r="A12" s="828"/>
      <c r="B12" s="1146" t="s">
        <v>3055</v>
      </c>
      <c r="C12" s="440" t="s">
        <v>2182</v>
      </c>
      <c r="D12" s="1146"/>
      <c r="E12" s="1146" t="s">
        <v>1552</v>
      </c>
      <c r="F12" s="1146"/>
      <c r="G12" s="1146" t="s">
        <v>171</v>
      </c>
      <c r="H12" s="1146" t="s">
        <v>172</v>
      </c>
      <c r="I12" s="1146" t="s">
        <v>4238</v>
      </c>
      <c r="J12" s="352" t="s">
        <v>173</v>
      </c>
      <c r="K12" s="931"/>
      <c r="L12" s="938"/>
      <c r="M12" s="938"/>
      <c r="N12" s="938"/>
      <c r="P12" s="938"/>
    </row>
    <row r="13" spans="1:27">
      <c r="A13" s="330" t="s">
        <v>2048</v>
      </c>
      <c r="B13" s="1146" t="s">
        <v>2185</v>
      </c>
      <c r="C13" s="1146" t="s">
        <v>174</v>
      </c>
      <c r="D13" s="1146" t="s">
        <v>2993</v>
      </c>
      <c r="E13" s="1146" t="s">
        <v>394</v>
      </c>
      <c r="F13" s="1146" t="s">
        <v>175</v>
      </c>
      <c r="G13" s="1146" t="s">
        <v>4237</v>
      </c>
      <c r="H13" s="1146" t="s">
        <v>176</v>
      </c>
      <c r="I13" s="1146" t="s">
        <v>3223</v>
      </c>
      <c r="J13" s="352" t="s">
        <v>177</v>
      </c>
      <c r="K13" s="931"/>
      <c r="L13" s="938"/>
      <c r="M13" s="938"/>
      <c r="N13" s="938"/>
      <c r="O13" s="938"/>
    </row>
    <row r="14" spans="1:27">
      <c r="A14" s="330" t="s">
        <v>2051</v>
      </c>
      <c r="B14" s="1146" t="s">
        <v>1843</v>
      </c>
      <c r="C14" s="1146" t="s">
        <v>3068</v>
      </c>
      <c r="D14" s="1146"/>
      <c r="E14" s="1146"/>
      <c r="F14" s="1146"/>
      <c r="G14" s="1146" t="s">
        <v>178</v>
      </c>
      <c r="H14" s="1146"/>
      <c r="I14" s="1146"/>
      <c r="J14" s="352" t="s">
        <v>179</v>
      </c>
      <c r="K14" s="931"/>
      <c r="L14" s="938"/>
      <c r="M14" s="938"/>
      <c r="N14" s="938"/>
      <c r="O14" s="938"/>
    </row>
    <row r="15" spans="1:27">
      <c r="A15" s="330"/>
      <c r="B15" s="1542" t="s">
        <v>3279</v>
      </c>
      <c r="C15" s="1146" t="s">
        <v>1611</v>
      </c>
      <c r="D15" s="1146" t="s">
        <v>1612</v>
      </c>
      <c r="E15" s="1146" t="s">
        <v>1613</v>
      </c>
      <c r="F15" s="1146" t="s">
        <v>721</v>
      </c>
      <c r="G15" s="1146" t="s">
        <v>722</v>
      </c>
      <c r="H15" s="1146" t="s">
        <v>723</v>
      </c>
      <c r="I15" s="1146" t="s">
        <v>335</v>
      </c>
      <c r="J15" s="352" t="s">
        <v>336</v>
      </c>
      <c r="K15" s="931"/>
      <c r="L15" s="938"/>
      <c r="M15" s="938"/>
      <c r="N15" s="938"/>
      <c r="O15" s="938"/>
    </row>
    <row r="16" spans="1:27">
      <c r="A16" s="812">
        <v>1</v>
      </c>
      <c r="B16" s="1338" t="s">
        <v>4901</v>
      </c>
      <c r="C16" s="2563">
        <v>1038</v>
      </c>
      <c r="D16" s="1457" t="s">
        <v>5567</v>
      </c>
      <c r="E16" s="1374">
        <v>1986</v>
      </c>
      <c r="F16" s="1374" t="s">
        <v>1810</v>
      </c>
      <c r="G16" s="1374" t="s">
        <v>1535</v>
      </c>
      <c r="H16" s="1374" t="s">
        <v>4931</v>
      </c>
      <c r="I16" s="1458">
        <v>1</v>
      </c>
      <c r="J16" s="1356" t="s">
        <v>5087</v>
      </c>
      <c r="K16" s="931"/>
      <c r="L16" s="931"/>
      <c r="M16" s="931"/>
      <c r="N16" s="931"/>
      <c r="O16" s="931"/>
    </row>
    <row r="17" spans="1:15">
      <c r="A17" s="817">
        <v>2</v>
      </c>
      <c r="B17" s="1338" t="s">
        <v>4899</v>
      </c>
      <c r="C17" s="2563">
        <v>1002</v>
      </c>
      <c r="D17" s="1457" t="s">
        <v>5567</v>
      </c>
      <c r="E17" s="1374">
        <v>1966</v>
      </c>
      <c r="F17" s="1374" t="s">
        <v>1810</v>
      </c>
      <c r="G17" s="1374" t="s">
        <v>1535</v>
      </c>
      <c r="H17" s="1374" t="s">
        <v>4932</v>
      </c>
      <c r="I17" s="1458">
        <v>0.75</v>
      </c>
      <c r="J17" s="1356" t="s">
        <v>5588</v>
      </c>
      <c r="K17" s="931"/>
      <c r="L17" s="931"/>
      <c r="M17" s="931"/>
      <c r="N17" s="931"/>
      <c r="O17" s="931"/>
    </row>
    <row r="18" spans="1:15">
      <c r="A18" s="817">
        <v>3</v>
      </c>
      <c r="B18" s="1338" t="s">
        <v>4903</v>
      </c>
      <c r="C18" s="2563">
        <v>935</v>
      </c>
      <c r="D18" s="1457" t="s">
        <v>5567</v>
      </c>
      <c r="E18" s="1374">
        <v>1890</v>
      </c>
      <c r="F18" s="1374" t="s">
        <v>5568</v>
      </c>
      <c r="G18" s="1374" t="s">
        <v>1535</v>
      </c>
      <c r="H18" s="1374" t="s">
        <v>4933</v>
      </c>
      <c r="I18" s="1458">
        <v>0.28000000000000003</v>
      </c>
      <c r="J18" s="1356" t="s">
        <v>5588</v>
      </c>
      <c r="K18" s="931"/>
      <c r="L18" s="931"/>
      <c r="M18" s="931"/>
      <c r="N18" s="931"/>
      <c r="O18" s="931"/>
    </row>
    <row r="19" spans="1:15">
      <c r="A19" s="817">
        <v>4</v>
      </c>
      <c r="B19" s="1338" t="s">
        <v>5569</v>
      </c>
      <c r="C19" s="2563">
        <v>1133.3699999999999</v>
      </c>
      <c r="D19" s="1457" t="s">
        <v>5567</v>
      </c>
      <c r="E19" s="1374">
        <v>2023</v>
      </c>
      <c r="F19" s="1374" t="s">
        <v>5565</v>
      </c>
      <c r="G19" s="1374" t="s">
        <v>1535</v>
      </c>
      <c r="H19" s="1374" t="s">
        <v>5570</v>
      </c>
      <c r="I19" s="1458">
        <v>248</v>
      </c>
      <c r="J19" s="1356" t="s">
        <v>5589</v>
      </c>
      <c r="K19" s="931"/>
      <c r="L19" s="931"/>
      <c r="M19" s="931"/>
      <c r="N19" s="931"/>
      <c r="O19" s="931"/>
    </row>
    <row r="20" spans="1:15">
      <c r="A20" s="817">
        <v>5</v>
      </c>
      <c r="B20" s="1338"/>
      <c r="C20" s="1456"/>
      <c r="D20" s="1457"/>
      <c r="E20" s="1374"/>
      <c r="F20" s="1374"/>
      <c r="G20" s="1374"/>
      <c r="H20" s="1374"/>
      <c r="I20" s="1458"/>
      <c r="J20" s="1356"/>
      <c r="K20" s="931"/>
      <c r="L20" s="931"/>
      <c r="M20" s="931"/>
      <c r="N20" s="931"/>
      <c r="O20" s="931"/>
    </row>
    <row r="21" spans="1:15">
      <c r="A21" s="817">
        <v>6</v>
      </c>
      <c r="B21" s="1338"/>
      <c r="C21" s="2563"/>
      <c r="D21" s="1457"/>
      <c r="E21" s="1374"/>
      <c r="F21" s="1374"/>
      <c r="G21" s="1374"/>
      <c r="H21" s="1374"/>
      <c r="I21" s="1458"/>
      <c r="J21" s="1356"/>
      <c r="K21" s="931"/>
      <c r="L21" s="931"/>
      <c r="M21" s="931"/>
      <c r="N21" s="931"/>
      <c r="O21" s="931"/>
    </row>
    <row r="22" spans="1:15">
      <c r="A22" s="817">
        <v>7</v>
      </c>
      <c r="B22" s="1338"/>
      <c r="C22" s="2563"/>
      <c r="D22" s="1457"/>
      <c r="E22" s="1374"/>
      <c r="F22" s="1374"/>
      <c r="G22" s="1374"/>
      <c r="H22" s="1374"/>
      <c r="I22" s="1458"/>
      <c r="J22" s="1356"/>
      <c r="K22" s="931"/>
      <c r="L22" s="931"/>
      <c r="M22" s="931"/>
      <c r="N22" s="931"/>
      <c r="O22" s="931"/>
    </row>
    <row r="23" spans="1:15">
      <c r="A23" s="817">
        <v>8</v>
      </c>
      <c r="B23" s="1338"/>
      <c r="C23" s="2563"/>
      <c r="D23" s="1457"/>
      <c r="E23" s="1374"/>
      <c r="F23" s="1374"/>
      <c r="G23" s="1374"/>
      <c r="H23" s="1374"/>
      <c r="I23" s="1458"/>
      <c r="J23" s="1356"/>
      <c r="K23" s="931"/>
      <c r="L23" s="931"/>
      <c r="M23" s="931"/>
      <c r="N23" s="931"/>
      <c r="O23" s="931"/>
    </row>
    <row r="24" spans="1:15">
      <c r="A24" s="817">
        <v>9</v>
      </c>
      <c r="B24" s="1338"/>
      <c r="C24" s="2563"/>
      <c r="D24" s="1457"/>
      <c r="E24" s="1374"/>
      <c r="F24" s="1374"/>
      <c r="G24" s="1374"/>
      <c r="H24" s="1374"/>
      <c r="I24" s="1458"/>
      <c r="J24" s="1356"/>
      <c r="K24" s="931"/>
      <c r="L24" s="931"/>
      <c r="M24" s="931"/>
      <c r="N24" s="931"/>
      <c r="O24" s="931"/>
    </row>
    <row r="25" spans="1:15">
      <c r="A25" s="817">
        <v>10</v>
      </c>
      <c r="B25" s="1338"/>
      <c r="C25" s="1456"/>
      <c r="D25" s="1457"/>
      <c r="E25" s="1374"/>
      <c r="F25" s="1374"/>
      <c r="G25" s="1374"/>
      <c r="H25" s="1374"/>
      <c r="I25" s="1458"/>
      <c r="J25" s="1356"/>
      <c r="K25" s="931"/>
      <c r="L25" s="931"/>
      <c r="M25" s="931"/>
      <c r="N25" s="931"/>
      <c r="O25" s="931"/>
    </row>
    <row r="26" spans="1:15">
      <c r="A26" s="817">
        <v>11</v>
      </c>
      <c r="B26" s="1338"/>
      <c r="C26" s="1456"/>
      <c r="D26" s="1457"/>
      <c r="E26" s="1374"/>
      <c r="F26" s="1374"/>
      <c r="G26" s="1374"/>
      <c r="H26" s="1374"/>
      <c r="I26" s="1458"/>
      <c r="J26" s="1356"/>
      <c r="K26" s="931"/>
      <c r="L26" s="931"/>
      <c r="M26" s="931"/>
      <c r="N26" s="931"/>
      <c r="O26" s="931"/>
    </row>
    <row r="27" spans="1:15">
      <c r="A27" s="817">
        <v>12</v>
      </c>
      <c r="B27" s="1338"/>
      <c r="C27" s="1456"/>
      <c r="D27" s="1457"/>
      <c r="E27" s="1374"/>
      <c r="F27" s="1374"/>
      <c r="G27" s="1374"/>
      <c r="H27" s="1374"/>
      <c r="I27" s="1458"/>
      <c r="J27" s="1356"/>
      <c r="K27" s="931"/>
      <c r="L27" s="931"/>
      <c r="M27" s="931"/>
      <c r="N27" s="931"/>
      <c r="O27" s="931"/>
    </row>
    <row r="28" spans="1:15">
      <c r="A28" s="817">
        <v>13</v>
      </c>
      <c r="B28" s="1338"/>
      <c r="C28" s="1456"/>
      <c r="D28" s="1457"/>
      <c r="E28" s="1374"/>
      <c r="F28" s="1374"/>
      <c r="G28" s="1374"/>
      <c r="H28" s="1374"/>
      <c r="I28" s="1458"/>
      <c r="J28" s="1356"/>
      <c r="K28" s="931"/>
      <c r="L28" s="931"/>
      <c r="M28" s="931"/>
      <c r="N28" s="931"/>
      <c r="O28" s="931"/>
    </row>
    <row r="29" spans="1:15">
      <c r="A29" s="817">
        <v>14</v>
      </c>
      <c r="B29" s="1338"/>
      <c r="C29" s="1456"/>
      <c r="D29" s="1457"/>
      <c r="E29" s="1374"/>
      <c r="F29" s="1374"/>
      <c r="G29" s="1374"/>
      <c r="H29" s="1459"/>
      <c r="I29" s="1458"/>
      <c r="J29" s="1356"/>
      <c r="K29" s="931"/>
      <c r="L29" s="931"/>
      <c r="M29" s="931"/>
      <c r="N29" s="931"/>
      <c r="O29" s="931"/>
    </row>
    <row r="30" spans="1:15">
      <c r="A30" s="817">
        <v>15</v>
      </c>
      <c r="B30" s="1338"/>
      <c r="C30" s="1456"/>
      <c r="D30" s="1457"/>
      <c r="E30" s="1374"/>
      <c r="F30" s="1374"/>
      <c r="G30" s="1374"/>
      <c r="H30" s="1374"/>
      <c r="I30" s="1458"/>
      <c r="J30" s="1356"/>
      <c r="K30" s="931"/>
      <c r="L30" s="931"/>
      <c r="M30" s="931"/>
      <c r="N30" s="931"/>
      <c r="O30" s="931"/>
    </row>
    <row r="31" spans="1:15">
      <c r="A31" s="817">
        <v>16</v>
      </c>
      <c r="B31" s="1338"/>
      <c r="C31" s="1456"/>
      <c r="D31" s="1457"/>
      <c r="E31" s="1374"/>
      <c r="F31" s="1374"/>
      <c r="G31" s="1374"/>
      <c r="H31" s="1374"/>
      <c r="I31" s="1458"/>
      <c r="J31" s="1356"/>
      <c r="K31" s="931"/>
      <c r="L31" s="931"/>
      <c r="M31" s="931"/>
      <c r="N31" s="931"/>
      <c r="O31" s="931"/>
    </row>
    <row r="32" spans="1:15">
      <c r="A32" s="817">
        <v>17</v>
      </c>
      <c r="B32" s="1338"/>
      <c r="C32" s="1456"/>
      <c r="D32" s="1457"/>
      <c r="E32" s="1374"/>
      <c r="F32" s="1374"/>
      <c r="G32" s="1374"/>
      <c r="H32" s="1374"/>
      <c r="I32" s="1879"/>
      <c r="J32" s="1378"/>
      <c r="K32" s="931"/>
      <c r="L32" s="931"/>
      <c r="M32" s="931"/>
      <c r="N32" s="931"/>
      <c r="O32" s="931"/>
    </row>
    <row r="33" spans="1:32">
      <c r="A33" s="817">
        <v>18</v>
      </c>
      <c r="B33" s="1338"/>
      <c r="C33" s="1456"/>
      <c r="D33" s="1457"/>
      <c r="E33" s="1374"/>
      <c r="F33" s="1374"/>
      <c r="G33" s="1374"/>
      <c r="H33" s="1374"/>
      <c r="I33" s="1458"/>
      <c r="J33" s="1356"/>
      <c r="K33" s="931"/>
      <c r="L33" s="931"/>
      <c r="M33" s="931"/>
      <c r="N33" s="931"/>
      <c r="O33" s="931"/>
    </row>
    <row r="34" spans="1:32">
      <c r="A34" s="817">
        <v>19</v>
      </c>
      <c r="B34" s="2575"/>
      <c r="C34" s="1456"/>
      <c r="D34" s="1457"/>
      <c r="E34" s="1374"/>
      <c r="F34" s="1374"/>
      <c r="G34" s="1374"/>
      <c r="H34" s="1374"/>
      <c r="I34" s="1879"/>
      <c r="J34" s="1378"/>
      <c r="K34" s="931"/>
      <c r="L34" s="931"/>
      <c r="M34" s="931"/>
      <c r="N34" s="931"/>
      <c r="O34" s="931"/>
    </row>
    <row r="35" spans="1:32">
      <c r="A35" s="817">
        <v>20</v>
      </c>
      <c r="B35" s="1338"/>
      <c r="C35" s="1456"/>
      <c r="D35" s="1457"/>
      <c r="E35" s="1374"/>
      <c r="F35" s="1374"/>
      <c r="G35" s="1374"/>
      <c r="H35" s="1374"/>
      <c r="I35" s="1458"/>
      <c r="J35" s="1356"/>
      <c r="K35" s="931"/>
      <c r="L35" s="931"/>
      <c r="M35" s="931"/>
      <c r="N35" s="931"/>
      <c r="O35" s="931"/>
    </row>
    <row r="36" spans="1:32">
      <c r="A36" s="817">
        <v>21</v>
      </c>
      <c r="B36" s="1338"/>
      <c r="C36" s="1456"/>
      <c r="D36" s="1457"/>
      <c r="E36" s="1374"/>
      <c r="F36" s="1374"/>
      <c r="G36" s="1374"/>
      <c r="H36" s="1374"/>
      <c r="I36" s="1458"/>
      <c r="J36" s="1356"/>
      <c r="K36" s="931"/>
      <c r="L36" s="931"/>
      <c r="M36" s="931"/>
      <c r="N36" s="931"/>
      <c r="O36" s="931"/>
    </row>
    <row r="37" spans="1:32">
      <c r="A37" s="817">
        <v>22</v>
      </c>
      <c r="B37" s="1338"/>
      <c r="C37" s="1456"/>
      <c r="D37" s="1457"/>
      <c r="E37" s="1374"/>
      <c r="F37" s="1374"/>
      <c r="G37" s="1374"/>
      <c r="H37" s="1374"/>
      <c r="I37" s="1458"/>
      <c r="J37" s="1356"/>
      <c r="K37" s="931"/>
      <c r="L37" s="931"/>
      <c r="M37" s="931"/>
      <c r="N37" s="931"/>
      <c r="O37" s="931"/>
      <c r="S37" s="931"/>
      <c r="T37" s="931"/>
      <c r="U37" s="931"/>
    </row>
    <row r="38" spans="1:32">
      <c r="A38" s="817">
        <v>23</v>
      </c>
      <c r="B38" s="1338"/>
      <c r="C38" s="1456"/>
      <c r="D38" s="1457"/>
      <c r="E38" s="1374"/>
      <c r="F38" s="1374"/>
      <c r="G38" s="1374"/>
      <c r="H38" s="1374"/>
      <c r="I38" s="1458"/>
      <c r="J38" s="1356"/>
      <c r="K38" s="931"/>
      <c r="L38" s="931"/>
      <c r="M38" s="931"/>
      <c r="N38" s="931"/>
      <c r="O38" s="931"/>
      <c r="S38" s="931"/>
      <c r="T38" s="931"/>
      <c r="U38" s="931"/>
    </row>
    <row r="39" spans="1:32">
      <c r="A39" s="817">
        <v>24</v>
      </c>
      <c r="B39" s="1338"/>
      <c r="C39" s="1456"/>
      <c r="D39" s="1457"/>
      <c r="E39" s="1374"/>
      <c r="F39" s="1374"/>
      <c r="G39" s="1374"/>
      <c r="H39" s="1374"/>
      <c r="I39" s="1458"/>
      <c r="J39" s="1356"/>
      <c r="K39" s="931"/>
      <c r="L39" s="931"/>
      <c r="M39" s="931"/>
      <c r="N39" s="931"/>
      <c r="O39" s="931"/>
    </row>
    <row r="40" spans="1:32">
      <c r="A40" s="817">
        <v>25</v>
      </c>
      <c r="B40" s="1338"/>
      <c r="C40" s="1456"/>
      <c r="D40" s="1457"/>
      <c r="E40" s="1374"/>
      <c r="F40" s="1374"/>
      <c r="G40" s="1374"/>
      <c r="H40" s="1374"/>
      <c r="I40" s="1458"/>
      <c r="J40" s="1356"/>
      <c r="K40" s="931"/>
      <c r="L40" s="931"/>
      <c r="M40" s="931"/>
      <c r="N40" s="931"/>
      <c r="O40" s="931"/>
    </row>
    <row r="41" spans="1:32">
      <c r="A41" s="817">
        <v>26</v>
      </c>
      <c r="B41" s="1338"/>
      <c r="C41" s="1456"/>
      <c r="D41" s="1457"/>
      <c r="E41" s="1374"/>
      <c r="F41" s="1374"/>
      <c r="G41" s="1374"/>
      <c r="H41" s="1374"/>
      <c r="I41" s="1458"/>
      <c r="J41" s="1356"/>
      <c r="K41" s="931"/>
      <c r="L41" s="931"/>
      <c r="M41" s="931"/>
      <c r="N41" s="931"/>
      <c r="O41" s="931"/>
    </row>
    <row r="42" spans="1:32">
      <c r="A42" s="817">
        <v>27</v>
      </c>
      <c r="B42" s="1338"/>
      <c r="C42" s="1456"/>
      <c r="D42" s="1457"/>
      <c r="E42" s="1374"/>
      <c r="F42" s="1374"/>
      <c r="G42" s="1374"/>
      <c r="H42" s="1374"/>
      <c r="I42" s="1458"/>
      <c r="J42" s="1356"/>
      <c r="K42" s="931"/>
      <c r="L42" s="931"/>
      <c r="M42" s="931"/>
      <c r="N42" s="931"/>
      <c r="O42" s="931"/>
    </row>
    <row r="43" spans="1:32">
      <c r="A43" s="817">
        <v>28</v>
      </c>
      <c r="B43" s="1338"/>
      <c r="C43" s="1456"/>
      <c r="D43" s="1457"/>
      <c r="E43" s="1374"/>
      <c r="F43" s="1374"/>
      <c r="G43" s="1374"/>
      <c r="H43" s="1374"/>
      <c r="I43" s="1458"/>
      <c r="J43" s="1356"/>
      <c r="K43" s="931"/>
      <c r="L43" s="931"/>
      <c r="M43" s="931"/>
      <c r="N43" s="931"/>
      <c r="O43" s="931"/>
      <c r="S43" s="931"/>
      <c r="T43" s="931"/>
      <c r="U43" s="931"/>
      <c r="V43" s="931"/>
      <c r="W43" s="931"/>
      <c r="X43" s="931"/>
      <c r="Y43" s="931"/>
      <c r="Z43" s="931"/>
      <c r="AA43" s="931"/>
      <c r="AB43" s="931"/>
      <c r="AC43" s="931"/>
      <c r="AD43" s="931"/>
      <c r="AE43" s="931"/>
      <c r="AF43" s="931"/>
    </row>
    <row r="44" spans="1:32">
      <c r="A44" s="817">
        <v>29</v>
      </c>
      <c r="B44" s="1338"/>
      <c r="C44" s="1456"/>
      <c r="D44" s="1457"/>
      <c r="E44" s="1374"/>
      <c r="F44" s="1374"/>
      <c r="G44" s="1374"/>
      <c r="H44" s="1374"/>
      <c r="I44" s="1458"/>
      <c r="J44" s="1356"/>
      <c r="K44" s="931"/>
      <c r="L44" s="931"/>
      <c r="M44" s="931"/>
      <c r="N44" s="931"/>
      <c r="O44" s="931"/>
    </row>
    <row r="45" spans="1:32">
      <c r="A45" s="817">
        <v>30</v>
      </c>
      <c r="B45" s="1338"/>
      <c r="C45" s="1456"/>
      <c r="D45" s="1457"/>
      <c r="E45" s="1374"/>
      <c r="F45" s="1374"/>
      <c r="G45" s="1374"/>
      <c r="H45" s="1374"/>
      <c r="I45" s="1458"/>
      <c r="J45" s="1356"/>
      <c r="K45" s="931"/>
      <c r="L45" s="931"/>
      <c r="M45" s="931"/>
      <c r="N45" s="931"/>
      <c r="O45" s="931"/>
    </row>
    <row r="46" spans="1:32">
      <c r="A46" s="817">
        <v>31</v>
      </c>
      <c r="B46" s="1338"/>
      <c r="C46" s="1456"/>
      <c r="D46" s="1457"/>
      <c r="E46" s="1374"/>
      <c r="F46" s="1374"/>
      <c r="G46" s="1374"/>
      <c r="H46" s="1374"/>
      <c r="I46" s="1458"/>
      <c r="J46" s="1356"/>
      <c r="K46" s="931"/>
      <c r="L46" s="931"/>
      <c r="M46" s="931"/>
      <c r="N46" s="931"/>
      <c r="O46" s="931"/>
    </row>
    <row r="47" spans="1:32">
      <c r="A47" s="817">
        <v>32</v>
      </c>
      <c r="B47" s="1338"/>
      <c r="C47" s="1456"/>
      <c r="D47" s="1457"/>
      <c r="E47" s="1374"/>
      <c r="F47" s="1374"/>
      <c r="G47" s="1374"/>
      <c r="H47" s="1374"/>
      <c r="I47" s="1458"/>
      <c r="J47" s="1356"/>
      <c r="K47" s="931"/>
      <c r="L47" s="931"/>
      <c r="M47" s="931"/>
      <c r="N47" s="931"/>
      <c r="O47" s="931"/>
    </row>
    <row r="48" spans="1:32">
      <c r="A48" s="817">
        <v>33</v>
      </c>
      <c r="B48" s="2412"/>
      <c r="C48" s="1456"/>
      <c r="D48" s="1457"/>
      <c r="E48" s="1374"/>
      <c r="F48" s="1374"/>
      <c r="G48" s="1374"/>
      <c r="H48" s="1374"/>
      <c r="I48" s="1458"/>
      <c r="J48" s="1356"/>
      <c r="K48" s="931"/>
      <c r="L48" s="931"/>
      <c r="M48" s="931"/>
      <c r="N48" s="931"/>
      <c r="O48" s="931"/>
    </row>
    <row r="49" spans="1:16">
      <c r="A49" s="817">
        <v>34</v>
      </c>
      <c r="B49" s="1338"/>
      <c r="C49" s="1456"/>
      <c r="D49" s="1457"/>
      <c r="E49" s="1374"/>
      <c r="F49" s="1374"/>
      <c r="G49" s="1374"/>
      <c r="H49" s="1374"/>
      <c r="I49" s="1458"/>
      <c r="J49" s="1356"/>
      <c r="K49" s="931"/>
      <c r="L49" s="931"/>
      <c r="M49" s="931"/>
      <c r="N49" s="931"/>
      <c r="O49" s="931"/>
    </row>
    <row r="50" spans="1:16">
      <c r="A50" s="817">
        <v>35</v>
      </c>
      <c r="B50" s="1338"/>
      <c r="C50" s="1456"/>
      <c r="D50" s="1457"/>
      <c r="E50" s="1374"/>
      <c r="F50" s="1374"/>
      <c r="G50" s="1374"/>
      <c r="H50" s="1374"/>
      <c r="I50" s="1458"/>
      <c r="J50" s="1356"/>
      <c r="K50" s="931"/>
      <c r="L50" s="931"/>
      <c r="M50" s="931"/>
      <c r="N50" s="931"/>
      <c r="O50" s="931"/>
    </row>
    <row r="51" spans="1:16">
      <c r="A51" s="817">
        <v>36</v>
      </c>
      <c r="B51" s="1338"/>
      <c r="C51" s="1456"/>
      <c r="D51" s="1457"/>
      <c r="E51" s="1374"/>
      <c r="F51" s="1374"/>
      <c r="G51" s="1374"/>
      <c r="H51" s="1374"/>
      <c r="I51" s="1458"/>
      <c r="J51" s="1356"/>
      <c r="K51" s="931"/>
      <c r="L51" s="931"/>
      <c r="M51" s="931"/>
      <c r="N51" s="931"/>
      <c r="O51" s="931"/>
    </row>
    <row r="52" spans="1:16">
      <c r="A52" s="817">
        <v>37</v>
      </c>
      <c r="B52" s="1338"/>
      <c r="C52" s="1456"/>
      <c r="D52" s="1457"/>
      <c r="E52" s="1374"/>
      <c r="F52" s="1374"/>
      <c r="G52" s="1374"/>
      <c r="H52" s="1374"/>
      <c r="I52" s="1458"/>
      <c r="J52" s="681"/>
      <c r="K52" s="931"/>
      <c r="L52" s="931"/>
      <c r="M52" s="931"/>
      <c r="N52" s="931"/>
      <c r="O52" s="931"/>
    </row>
    <row r="53" spans="1:16">
      <c r="A53" s="817">
        <v>38</v>
      </c>
      <c r="B53" s="1338"/>
      <c r="C53" s="1456"/>
      <c r="D53" s="1457"/>
      <c r="E53" s="1374"/>
      <c r="F53" s="1374"/>
      <c r="G53" s="1374"/>
      <c r="H53" s="1374"/>
      <c r="I53" s="1458"/>
      <c r="J53" s="681"/>
      <c r="K53" s="931"/>
      <c r="L53" s="931"/>
      <c r="M53" s="931"/>
      <c r="N53" s="931"/>
      <c r="O53" s="931"/>
    </row>
    <row r="54" spans="1:16">
      <c r="A54" s="817">
        <v>39</v>
      </c>
      <c r="B54" s="2412"/>
      <c r="C54" s="1456"/>
      <c r="D54" s="1457"/>
      <c r="E54" s="1374"/>
      <c r="F54" s="1374"/>
      <c r="G54" s="1374"/>
      <c r="H54" s="1374"/>
      <c r="I54" s="1458"/>
      <c r="J54" s="681"/>
      <c r="K54" s="931"/>
      <c r="L54" s="931"/>
      <c r="M54" s="931"/>
      <c r="N54" s="931"/>
      <c r="O54" s="931"/>
    </row>
    <row r="55" spans="1:16">
      <c r="A55" s="817">
        <v>40</v>
      </c>
      <c r="B55" s="1338"/>
      <c r="C55" s="1456"/>
      <c r="D55" s="1457"/>
      <c r="E55" s="1374"/>
      <c r="F55" s="1374"/>
      <c r="G55" s="1374"/>
      <c r="H55" s="1374"/>
      <c r="I55" s="1458"/>
      <c r="J55" s="2406"/>
      <c r="K55" s="931"/>
      <c r="L55" s="931"/>
      <c r="M55" s="931"/>
      <c r="N55" s="931"/>
      <c r="O55" s="931"/>
    </row>
    <row r="56" spans="1:16">
      <c r="A56" s="817">
        <v>41</v>
      </c>
      <c r="B56" s="1338"/>
      <c r="C56" s="1456"/>
      <c r="D56" s="1457"/>
      <c r="E56" s="1374"/>
      <c r="F56" s="1374"/>
      <c r="G56" s="1374"/>
      <c r="H56" s="1374"/>
      <c r="I56" s="2405"/>
      <c r="J56" s="2406"/>
      <c r="K56" s="931"/>
      <c r="L56" s="931"/>
      <c r="M56" s="931"/>
      <c r="N56" s="931"/>
      <c r="O56" s="931"/>
    </row>
    <row r="57" spans="1:16" ht="15.75" thickBot="1">
      <c r="A57" s="1156">
        <v>42</v>
      </c>
      <c r="B57" s="2413"/>
      <c r="C57" s="912"/>
      <c r="D57" s="912"/>
      <c r="E57" s="912"/>
      <c r="F57" s="912"/>
      <c r="G57" s="912"/>
      <c r="H57" s="912"/>
      <c r="I57" s="912"/>
      <c r="J57" s="1152"/>
      <c r="K57" s="931"/>
      <c r="L57" s="931"/>
      <c r="M57" s="931"/>
      <c r="N57" s="931"/>
      <c r="O57" s="931"/>
    </row>
    <row r="58" spans="1:16">
      <c r="A58" s="357"/>
      <c r="B58" s="432"/>
      <c r="C58" s="432"/>
      <c r="D58" s="432"/>
      <c r="E58" s="432"/>
      <c r="F58" s="432"/>
      <c r="G58" s="432"/>
      <c r="H58" s="432"/>
      <c r="I58" s="432"/>
      <c r="J58" s="786" t="s">
        <v>2024</v>
      </c>
      <c r="K58" s="931"/>
      <c r="L58" s="931"/>
      <c r="M58" s="931"/>
      <c r="N58" s="931"/>
      <c r="O58" s="931"/>
    </row>
    <row r="59" spans="1:16">
      <c r="A59" s="900" t="s">
        <v>5112</v>
      </c>
      <c r="B59" s="1189"/>
      <c r="C59" s="1189"/>
      <c r="D59" s="1189"/>
      <c r="E59" s="1189"/>
      <c r="F59" s="900"/>
      <c r="G59" s="1189"/>
      <c r="H59" s="1189"/>
      <c r="I59" s="1189"/>
      <c r="J59" s="1189"/>
      <c r="K59" s="931"/>
      <c r="L59" s="931"/>
      <c r="M59" s="931"/>
      <c r="N59" s="931"/>
      <c r="O59" s="931"/>
      <c r="P59" s="931"/>
    </row>
    <row r="60" spans="1:16">
      <c r="A60" s="539"/>
      <c r="B60" s="539"/>
      <c r="C60" s="539"/>
      <c r="D60" s="539"/>
      <c r="E60" s="539"/>
      <c r="F60" s="539"/>
      <c r="G60" s="539"/>
      <c r="H60" s="539"/>
      <c r="I60" s="539"/>
      <c r="J60" s="539"/>
      <c r="K60" s="931"/>
      <c r="L60" s="931"/>
      <c r="M60" s="931"/>
      <c r="N60" s="931"/>
      <c r="O60" s="931"/>
      <c r="P60" s="931"/>
    </row>
    <row r="61" spans="1:16">
      <c r="A61" s="938"/>
      <c r="B61" s="931"/>
      <c r="C61" s="931"/>
      <c r="D61" s="931"/>
      <c r="E61" s="931"/>
      <c r="F61" s="931"/>
      <c r="G61" s="931"/>
      <c r="H61" s="931"/>
      <c r="I61" s="931"/>
      <c r="J61" s="931"/>
      <c r="K61" s="931"/>
      <c r="L61" s="931"/>
      <c r="M61" s="931"/>
      <c r="N61" s="931"/>
      <c r="O61" s="931"/>
      <c r="P61" s="931"/>
    </row>
    <row r="62" spans="1:16">
      <c r="A62" s="938"/>
      <c r="B62" s="931"/>
      <c r="C62" s="931"/>
      <c r="D62" s="931"/>
      <c r="E62" s="931"/>
      <c r="F62" s="931"/>
      <c r="G62" s="4"/>
      <c r="H62" s="4"/>
      <c r="I62" s="4"/>
      <c r="J62" s="931"/>
      <c r="K62" s="931"/>
      <c r="L62" s="931"/>
      <c r="M62" s="931"/>
      <c r="N62" s="931"/>
      <c r="O62" s="931"/>
      <c r="P62" s="931"/>
    </row>
    <row r="63" spans="1:16">
      <c r="A63" s="938"/>
      <c r="B63" s="931"/>
      <c r="C63" s="931"/>
      <c r="D63" s="931"/>
      <c r="E63" s="931"/>
      <c r="F63" s="931"/>
      <c r="G63" s="4"/>
      <c r="H63" s="4"/>
      <c r="I63" s="4"/>
      <c r="J63" s="931"/>
      <c r="K63" s="931"/>
      <c r="L63" s="931"/>
      <c r="M63" s="931"/>
      <c r="N63" s="931"/>
      <c r="O63" s="931"/>
      <c r="P63" s="931"/>
    </row>
    <row r="64" spans="1:16">
      <c r="A64" s="938"/>
      <c r="C64" s="931"/>
      <c r="D64" s="931"/>
      <c r="E64" s="931"/>
      <c r="F64" s="931"/>
      <c r="G64" s="4"/>
      <c r="H64" s="4"/>
      <c r="I64" s="4"/>
      <c r="J64" s="931"/>
      <c r="K64" s="931"/>
      <c r="L64" s="931"/>
      <c r="M64" s="931"/>
      <c r="N64" s="931"/>
      <c r="O64" s="931"/>
      <c r="P64" s="931"/>
    </row>
    <row r="65" spans="1:16">
      <c r="A65" s="938"/>
      <c r="C65" s="931"/>
      <c r="D65" s="931"/>
      <c r="E65" s="931"/>
      <c r="F65" s="931"/>
      <c r="G65" s="4"/>
      <c r="H65" s="4"/>
      <c r="I65" s="4"/>
      <c r="J65" s="931"/>
      <c r="K65" s="931"/>
      <c r="L65" s="931"/>
      <c r="M65" s="931"/>
      <c r="N65" s="931"/>
      <c r="O65" s="931"/>
      <c r="P65" s="931"/>
    </row>
    <row r="66" spans="1:16">
      <c r="A66" s="938"/>
      <c r="C66" s="931"/>
      <c r="D66" s="931"/>
      <c r="E66" s="931"/>
      <c r="F66" s="931"/>
      <c r="G66" s="4"/>
      <c r="H66" s="4"/>
      <c r="I66" s="4"/>
      <c r="J66" s="931"/>
      <c r="K66" s="931"/>
      <c r="L66" s="931"/>
      <c r="M66" s="931"/>
      <c r="N66" s="931"/>
      <c r="O66" s="931"/>
      <c r="P66" s="931"/>
    </row>
    <row r="67" spans="1:16">
      <c r="A67" s="938"/>
      <c r="C67" s="931"/>
      <c r="D67" s="931"/>
      <c r="E67" s="931"/>
      <c r="F67" s="931"/>
      <c r="G67" s="4"/>
      <c r="H67" s="4"/>
      <c r="I67" s="4"/>
      <c r="J67" s="931"/>
      <c r="K67" s="931"/>
      <c r="L67" s="931"/>
      <c r="M67" s="931"/>
      <c r="N67" s="931"/>
      <c r="O67" s="931"/>
      <c r="P67" s="931"/>
    </row>
    <row r="68" spans="1:16">
      <c r="G68" s="4"/>
      <c r="H68" s="4"/>
      <c r="I68" s="4"/>
      <c r="J68" s="4"/>
      <c r="P68" s="931"/>
    </row>
    <row r="69" spans="1:16">
      <c r="C69" s="4"/>
      <c r="D69" s="4"/>
      <c r="E69" s="4"/>
      <c r="G69" s="4"/>
      <c r="H69" s="4"/>
      <c r="I69" s="4"/>
      <c r="J69" s="4"/>
      <c r="P69" s="931"/>
    </row>
    <row r="70" spans="1:16">
      <c r="P70" s="931"/>
    </row>
  </sheetData>
  <pageMargins left="0.4" right="0.4" top="0.3" bottom="0.3" header="0.5" footer="0.5"/>
  <pageSetup scale="64" orientation="landscape" r:id="rId1"/>
  <headerFooter alignWithMargins="0"/>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10">
    <pageSetUpPr fitToPage="1"/>
  </sheetPr>
  <dimension ref="A1:I46"/>
  <sheetViews>
    <sheetView zoomScaleNormal="100" workbookViewId="0">
      <selection activeCell="G36" sqref="G35:G36"/>
    </sheetView>
  </sheetViews>
  <sheetFormatPr defaultRowHeight="12.75"/>
  <cols>
    <col min="1" max="1" width="26.44140625" style="1440" customWidth="1"/>
    <col min="2" max="2" width="7" style="1440" bestFit="1" customWidth="1"/>
    <col min="3" max="3" width="8" style="1765" customWidth="1"/>
    <col min="4" max="4" width="8.21875" style="1440" customWidth="1"/>
    <col min="5" max="5" width="10" style="1440" bestFit="1" customWidth="1"/>
    <col min="6" max="6" width="10.33203125" style="1440" customWidth="1"/>
    <col min="7" max="7" width="10.21875" style="1440" customWidth="1"/>
    <col min="8" max="16384" width="8.88671875" style="1440"/>
  </cols>
  <sheetData>
    <row r="1" spans="1:7" customFormat="1" ht="15.75" thickBot="1">
      <c r="A1" t="str">
        <f>'Data sheet'!A55</f>
        <v>Annual Report of Veolia Water New York, Inc.                                  Year Ended  December 31, 2023</v>
      </c>
      <c r="C1" s="1758"/>
    </row>
    <row r="2" spans="1:7">
      <c r="A2" s="1693"/>
      <c r="B2" s="1462" t="s">
        <v>247</v>
      </c>
      <c r="C2" s="1759" t="s">
        <v>78</v>
      </c>
      <c r="D2" s="1463"/>
      <c r="E2" s="1464"/>
      <c r="F2" s="1694" t="s">
        <v>248</v>
      </c>
      <c r="G2" s="1465"/>
    </row>
    <row r="3" spans="1:7">
      <c r="A3" s="1695" t="s">
        <v>1042</v>
      </c>
      <c r="B3" s="1696" t="s">
        <v>250</v>
      </c>
      <c r="C3" s="1760" t="s">
        <v>1738</v>
      </c>
      <c r="D3" s="1696" t="s">
        <v>79</v>
      </c>
      <c r="E3" s="1546" t="s">
        <v>79</v>
      </c>
      <c r="F3" s="1696" t="s">
        <v>80</v>
      </c>
      <c r="G3" s="1697" t="s">
        <v>249</v>
      </c>
    </row>
    <row r="4" spans="1:7">
      <c r="A4" s="1695" t="s">
        <v>1843</v>
      </c>
      <c r="B4" s="1696" t="s">
        <v>3071</v>
      </c>
      <c r="C4" s="1760" t="s">
        <v>1943</v>
      </c>
      <c r="D4" s="2162">
        <v>44926</v>
      </c>
      <c r="E4" s="2163" t="s">
        <v>5433</v>
      </c>
      <c r="F4" s="1696" t="s">
        <v>81</v>
      </c>
      <c r="G4" s="1698" t="s">
        <v>1588</v>
      </c>
    </row>
    <row r="5" spans="1:7">
      <c r="A5" s="1695" t="s">
        <v>3279</v>
      </c>
      <c r="B5" s="1696" t="s">
        <v>1611</v>
      </c>
      <c r="C5" s="2161" t="s">
        <v>5432</v>
      </c>
      <c r="D5" s="1696" t="s">
        <v>4276</v>
      </c>
      <c r="E5" s="1699" t="s">
        <v>4276</v>
      </c>
      <c r="F5" s="1696" t="s">
        <v>722</v>
      </c>
      <c r="G5" s="1698" t="s">
        <v>723</v>
      </c>
    </row>
    <row r="6" spans="1:7">
      <c r="A6" s="1700" t="s">
        <v>257</v>
      </c>
      <c r="B6" s="1701"/>
      <c r="C6" s="1761"/>
      <c r="D6" s="1702"/>
      <c r="F6" s="1761"/>
      <c r="G6" s="1703"/>
    </row>
    <row r="7" spans="1:7">
      <c r="A7" s="1704" t="s">
        <v>258</v>
      </c>
      <c r="B7" s="1705"/>
      <c r="C7" s="1762"/>
      <c r="D7" s="1706"/>
      <c r="F7" s="1762"/>
      <c r="G7" s="1707"/>
    </row>
    <row r="8" spans="1:7">
      <c r="A8" s="1469"/>
      <c r="B8" s="1705"/>
      <c r="C8" s="1762"/>
      <c r="D8" s="1706"/>
      <c r="F8" s="1762"/>
      <c r="G8" s="1708"/>
    </row>
    <row r="9" spans="1:7">
      <c r="A9" s="1709" t="s">
        <v>2861</v>
      </c>
      <c r="B9" s="1710" t="s">
        <v>82</v>
      </c>
      <c r="C9" s="1702"/>
      <c r="D9" s="2219">
        <v>350</v>
      </c>
      <c r="E9" s="2219">
        <f>C9+D9</f>
        <v>350</v>
      </c>
      <c r="F9" s="1711"/>
      <c r="G9" s="1712">
        <f t="shared" ref="G9:G19" si="0">E9-F9</f>
        <v>350</v>
      </c>
    </row>
    <row r="10" spans="1:7">
      <c r="A10" s="1713" t="s">
        <v>607</v>
      </c>
      <c r="B10" s="1696" t="s">
        <v>608</v>
      </c>
      <c r="C10" s="1706"/>
      <c r="D10" s="2220">
        <v>3037</v>
      </c>
      <c r="E10" s="2220">
        <f t="shared" ref="E10:E19" si="1">D10+C10</f>
        <v>3037</v>
      </c>
      <c r="F10" s="1714"/>
      <c r="G10" s="1712">
        <f t="shared" si="0"/>
        <v>3037</v>
      </c>
    </row>
    <row r="11" spans="1:7">
      <c r="A11" s="1715"/>
      <c r="B11" s="1696" t="s">
        <v>609</v>
      </c>
      <c r="C11" s="1706"/>
      <c r="D11" s="2220">
        <v>192</v>
      </c>
      <c r="E11" s="2220">
        <f t="shared" si="1"/>
        <v>192</v>
      </c>
      <c r="F11" s="1714"/>
      <c r="G11" s="1712">
        <f t="shared" si="0"/>
        <v>192</v>
      </c>
    </row>
    <row r="12" spans="1:7">
      <c r="A12" s="1715"/>
      <c r="B12" s="1696" t="s">
        <v>610</v>
      </c>
      <c r="C12" s="1706"/>
      <c r="D12" s="2220">
        <v>2630</v>
      </c>
      <c r="E12" s="2220">
        <f t="shared" si="1"/>
        <v>2630</v>
      </c>
      <c r="F12" s="1714"/>
      <c r="G12" s="1712">
        <f t="shared" si="0"/>
        <v>2630</v>
      </c>
    </row>
    <row r="13" spans="1:7">
      <c r="A13" s="1715"/>
      <c r="B13" s="1696" t="s">
        <v>2901</v>
      </c>
      <c r="C13" s="1706">
        <v>-8555</v>
      </c>
      <c r="D13" s="2220">
        <v>660524.80000000005</v>
      </c>
      <c r="E13" s="2220">
        <f t="shared" si="1"/>
        <v>651969.80000000005</v>
      </c>
      <c r="F13" s="1716">
        <v>6000</v>
      </c>
      <c r="G13" s="1712">
        <f t="shared" si="0"/>
        <v>645969.80000000005</v>
      </c>
    </row>
    <row r="14" spans="1:7">
      <c r="A14" s="1715"/>
      <c r="B14" s="1696" t="s">
        <v>2902</v>
      </c>
      <c r="C14" s="1706">
        <v>8704</v>
      </c>
      <c r="D14" s="2220">
        <v>656994.19999999995</v>
      </c>
      <c r="E14" s="2220">
        <f t="shared" si="1"/>
        <v>665698.19999999995</v>
      </c>
      <c r="F14" s="1714">
        <v>21020</v>
      </c>
      <c r="G14" s="1712">
        <f t="shared" si="0"/>
        <v>644678.19999999995</v>
      </c>
    </row>
    <row r="15" spans="1:7">
      <c r="A15" s="1715"/>
      <c r="B15" s="1696" t="s">
        <v>2903</v>
      </c>
      <c r="C15" s="1706"/>
      <c r="D15" s="2220">
        <v>111</v>
      </c>
      <c r="E15" s="2220">
        <f t="shared" si="1"/>
        <v>111</v>
      </c>
      <c r="F15" s="1714"/>
      <c r="G15" s="1712">
        <f t="shared" si="0"/>
        <v>111</v>
      </c>
    </row>
    <row r="16" spans="1:7">
      <c r="A16" s="1715"/>
      <c r="B16" s="1696" t="s">
        <v>2904</v>
      </c>
      <c r="C16" s="1706"/>
      <c r="D16" s="2220">
        <v>339309</v>
      </c>
      <c r="E16" s="2220">
        <f t="shared" si="1"/>
        <v>339309</v>
      </c>
      <c r="F16" s="1714">
        <v>5037</v>
      </c>
      <c r="G16" s="1712">
        <f t="shared" si="0"/>
        <v>334272</v>
      </c>
    </row>
    <row r="17" spans="1:7">
      <c r="A17" s="1715"/>
      <c r="B17" s="1696" t="s">
        <v>2905</v>
      </c>
      <c r="C17" s="1706"/>
      <c r="D17" s="2220">
        <v>49606</v>
      </c>
      <c r="E17" s="2220">
        <f t="shared" si="1"/>
        <v>49606</v>
      </c>
      <c r="F17" s="1714">
        <v>263</v>
      </c>
      <c r="G17" s="1712">
        <f t="shared" si="0"/>
        <v>49343</v>
      </c>
    </row>
    <row r="18" spans="1:7">
      <c r="A18" s="1715"/>
      <c r="B18" s="1696" t="s">
        <v>2906</v>
      </c>
      <c r="C18" s="1706"/>
      <c r="D18" s="2220">
        <v>45397</v>
      </c>
      <c r="E18" s="2220">
        <f t="shared" si="1"/>
        <v>45397</v>
      </c>
      <c r="F18" s="1714">
        <v>212</v>
      </c>
      <c r="G18" s="1712">
        <f t="shared" si="0"/>
        <v>45185</v>
      </c>
    </row>
    <row r="19" spans="1:7">
      <c r="A19" s="1715"/>
      <c r="B19" s="1696" t="s">
        <v>2907</v>
      </c>
      <c r="C19" s="1706"/>
      <c r="D19" s="2220">
        <v>29238</v>
      </c>
      <c r="E19" s="2220">
        <f t="shared" si="1"/>
        <v>29238</v>
      </c>
      <c r="F19" s="1714">
        <v>8186</v>
      </c>
      <c r="G19" s="1717">
        <f t="shared" si="0"/>
        <v>21052</v>
      </c>
    </row>
    <row r="20" spans="1:7" ht="13.5" thickBot="1">
      <c r="A20" s="1718" t="s">
        <v>2908</v>
      </c>
      <c r="B20" s="1719"/>
      <c r="C20" s="1720">
        <f>SUM(C9:C19)</f>
        <v>149</v>
      </c>
      <c r="D20" s="1720">
        <f>SUM(D9:D19)</f>
        <v>1787389</v>
      </c>
      <c r="E20" s="1720">
        <f>SUM(E9:E19)</f>
        <v>1787538</v>
      </c>
      <c r="F20" s="1720">
        <f>SUM(F9:F19)</f>
        <v>40718</v>
      </c>
      <c r="G20" s="1721">
        <f>SUM(G9:G19)</f>
        <v>1746820</v>
      </c>
    </row>
    <row r="21" spans="1:7" ht="13.5" thickTop="1">
      <c r="A21" s="1709" t="s">
        <v>1346</v>
      </c>
      <c r="B21" s="1710" t="s">
        <v>2909</v>
      </c>
      <c r="C21" s="1702"/>
      <c r="D21" s="2220">
        <v>144</v>
      </c>
      <c r="E21" s="2220">
        <f t="shared" ref="E21:E28" si="2">D21+C21</f>
        <v>144</v>
      </c>
      <c r="F21" s="1702"/>
      <c r="G21" s="1707">
        <f t="shared" ref="G21:G37" si="3">E21-F21</f>
        <v>144</v>
      </c>
    </row>
    <row r="22" spans="1:7">
      <c r="A22" s="1715"/>
      <c r="B22" s="1696" t="s">
        <v>610</v>
      </c>
      <c r="C22" s="1706"/>
      <c r="D22" s="2220">
        <v>143</v>
      </c>
      <c r="E22" s="2220">
        <f t="shared" si="2"/>
        <v>143</v>
      </c>
      <c r="F22" s="1706"/>
      <c r="G22" s="1707">
        <f t="shared" si="3"/>
        <v>143</v>
      </c>
    </row>
    <row r="23" spans="1:7">
      <c r="A23" s="1715"/>
      <c r="B23" s="1696" t="s">
        <v>2901</v>
      </c>
      <c r="C23" s="1706"/>
      <c r="D23" s="2220">
        <v>33192.5</v>
      </c>
      <c r="E23" s="2220">
        <f t="shared" si="2"/>
        <v>33192.5</v>
      </c>
      <c r="F23" s="1706">
        <v>1342</v>
      </c>
      <c r="G23" s="1707">
        <f t="shared" si="3"/>
        <v>31850.5</v>
      </c>
    </row>
    <row r="24" spans="1:7">
      <c r="A24" s="1715"/>
      <c r="B24" s="1696" t="s">
        <v>2902</v>
      </c>
      <c r="C24" s="1706"/>
      <c r="D24" s="2220">
        <v>68938</v>
      </c>
      <c r="E24" s="2220">
        <f t="shared" si="2"/>
        <v>68938</v>
      </c>
      <c r="F24" s="1706">
        <v>3491</v>
      </c>
      <c r="G24" s="1707">
        <f t="shared" si="3"/>
        <v>65447</v>
      </c>
    </row>
    <row r="25" spans="1:7">
      <c r="A25" s="1715"/>
      <c r="B25" s="1696" t="s">
        <v>2903</v>
      </c>
      <c r="C25" s="1706"/>
      <c r="D25" s="2220">
        <v>-2981</v>
      </c>
      <c r="E25" s="2220">
        <f t="shared" si="2"/>
        <v>-2981</v>
      </c>
      <c r="F25" s="1706"/>
      <c r="G25" s="1707">
        <f t="shared" si="3"/>
        <v>-2981</v>
      </c>
    </row>
    <row r="26" spans="1:7">
      <c r="A26" s="1715"/>
      <c r="B26" s="1696" t="s">
        <v>2904</v>
      </c>
      <c r="C26" s="1706"/>
      <c r="D26" s="2220">
        <v>32294</v>
      </c>
      <c r="E26" s="2220">
        <f t="shared" si="2"/>
        <v>32294</v>
      </c>
      <c r="F26" s="1706">
        <v>2470</v>
      </c>
      <c r="G26" s="1707">
        <f t="shared" si="3"/>
        <v>29824</v>
      </c>
    </row>
    <row r="27" spans="1:7">
      <c r="A27" s="1715"/>
      <c r="B27" s="1696" t="s">
        <v>2905</v>
      </c>
      <c r="C27" s="1706"/>
      <c r="D27" s="2220">
        <v>21774</v>
      </c>
      <c r="E27" s="2220">
        <f t="shared" si="2"/>
        <v>21774</v>
      </c>
      <c r="F27" s="1706"/>
      <c r="G27" s="1707">
        <f t="shared" si="3"/>
        <v>21774</v>
      </c>
    </row>
    <row r="28" spans="1:7">
      <c r="A28" s="1715"/>
      <c r="B28" s="1696" t="s">
        <v>2906</v>
      </c>
      <c r="C28" s="1706"/>
      <c r="D28" s="2220">
        <v>17068</v>
      </c>
      <c r="E28" s="2220">
        <f t="shared" si="2"/>
        <v>17068</v>
      </c>
      <c r="F28" s="1706"/>
      <c r="G28" s="1707">
        <f t="shared" si="3"/>
        <v>17068</v>
      </c>
    </row>
    <row r="29" spans="1:7" ht="13.5" thickBot="1">
      <c r="A29" s="1718" t="s">
        <v>3348</v>
      </c>
      <c r="B29" s="1719"/>
      <c r="C29" s="1720">
        <f>SUM(C21:C28)</f>
        <v>0</v>
      </c>
      <c r="D29" s="1720">
        <f>SUM(D21:D28)</f>
        <v>170572.5</v>
      </c>
      <c r="E29" s="1720">
        <f>SUM(E21:E28)</f>
        <v>170572.5</v>
      </c>
      <c r="F29" s="1720">
        <f>SUM(F21:F28)</f>
        <v>7303</v>
      </c>
      <c r="G29" s="1722">
        <f>SUM(G21:G28)</f>
        <v>163269.5</v>
      </c>
    </row>
    <row r="30" spans="1:7" ht="13.5" thickTop="1">
      <c r="A30" s="1709" t="s">
        <v>1649</v>
      </c>
      <c r="B30" s="1696" t="s">
        <v>610</v>
      </c>
      <c r="C30" s="1702"/>
      <c r="D30" s="2220">
        <v>290</v>
      </c>
      <c r="E30" s="2220">
        <f t="shared" ref="E30:E37" si="4">D30+C30</f>
        <v>290</v>
      </c>
      <c r="F30" s="1702"/>
      <c r="G30" s="1707">
        <f t="shared" si="3"/>
        <v>290</v>
      </c>
    </row>
    <row r="31" spans="1:7">
      <c r="A31" s="1715"/>
      <c r="B31" s="1696" t="s">
        <v>2901</v>
      </c>
      <c r="C31" s="1706">
        <v>-5996</v>
      </c>
      <c r="D31" s="2220">
        <v>437839.9</v>
      </c>
      <c r="E31" s="2220">
        <f t="shared" si="4"/>
        <v>431843.9</v>
      </c>
      <c r="F31" s="1706">
        <v>2817</v>
      </c>
      <c r="G31" s="1707">
        <f t="shared" si="3"/>
        <v>429026.9</v>
      </c>
    </row>
    <row r="32" spans="1:7">
      <c r="A32" s="1715"/>
      <c r="B32" s="1696" t="s">
        <v>2902</v>
      </c>
      <c r="C32" s="1706">
        <v>6065</v>
      </c>
      <c r="D32" s="2220">
        <v>209106.5</v>
      </c>
      <c r="E32" s="2220">
        <f t="shared" si="4"/>
        <v>215171.5</v>
      </c>
      <c r="F32" s="1706">
        <v>4774</v>
      </c>
      <c r="G32" s="1707">
        <f t="shared" si="3"/>
        <v>210397.5</v>
      </c>
    </row>
    <row r="33" spans="1:9">
      <c r="A33" s="1715"/>
      <c r="B33" s="2221" t="s">
        <v>2903</v>
      </c>
      <c r="C33" s="1706"/>
      <c r="D33" s="2220">
        <v>2034</v>
      </c>
      <c r="E33" s="2220">
        <f t="shared" si="4"/>
        <v>2034</v>
      </c>
      <c r="F33" s="2222"/>
      <c r="G33" s="1707">
        <f t="shared" si="3"/>
        <v>2034</v>
      </c>
    </row>
    <row r="34" spans="1:9">
      <c r="A34" s="1715"/>
      <c r="B34" s="1696" t="s">
        <v>2904</v>
      </c>
      <c r="C34" s="1706">
        <v>726</v>
      </c>
      <c r="D34" s="2220">
        <v>152144</v>
      </c>
      <c r="E34" s="2220">
        <f t="shared" si="4"/>
        <v>152870</v>
      </c>
      <c r="F34" s="1706">
        <v>1611</v>
      </c>
      <c r="G34" s="1707">
        <f t="shared" si="3"/>
        <v>151259</v>
      </c>
    </row>
    <row r="35" spans="1:9">
      <c r="A35" s="1715"/>
      <c r="B35" s="1696" t="s">
        <v>2905</v>
      </c>
      <c r="C35" s="1706"/>
      <c r="D35" s="2220">
        <v>69080</v>
      </c>
      <c r="E35" s="2220">
        <f t="shared" si="4"/>
        <v>69080</v>
      </c>
      <c r="F35" s="1706">
        <v>6943</v>
      </c>
      <c r="G35" s="1707">
        <f t="shared" si="3"/>
        <v>62137</v>
      </c>
    </row>
    <row r="36" spans="1:9">
      <c r="A36" s="1715"/>
      <c r="B36" s="1696" t="s">
        <v>2906</v>
      </c>
      <c r="C36" s="1706"/>
      <c r="D36" s="2220">
        <v>15269</v>
      </c>
      <c r="E36" s="2220">
        <f t="shared" si="4"/>
        <v>15269</v>
      </c>
      <c r="F36" s="1706"/>
      <c r="G36" s="1707">
        <f t="shared" si="3"/>
        <v>15269</v>
      </c>
    </row>
    <row r="37" spans="1:9">
      <c r="A37" s="1715"/>
      <c r="B37" s="1696" t="s">
        <v>2907</v>
      </c>
      <c r="C37" s="1706"/>
      <c r="D37" s="2220">
        <v>10475</v>
      </c>
      <c r="E37" s="2220">
        <f t="shared" si="4"/>
        <v>10475</v>
      </c>
      <c r="F37" s="1706">
        <v>1994</v>
      </c>
      <c r="G37" s="1707">
        <f t="shared" si="3"/>
        <v>8481</v>
      </c>
    </row>
    <row r="38" spans="1:9" ht="13.5" thickBot="1">
      <c r="A38" s="1718" t="s">
        <v>3349</v>
      </c>
      <c r="B38" s="1719"/>
      <c r="C38" s="1720">
        <f>SUM(C30:C37)</f>
        <v>795</v>
      </c>
      <c r="D38" s="1720">
        <f>SUM(D30:D37)</f>
        <v>896238.4</v>
      </c>
      <c r="E38" s="1720">
        <f>SUM(E30:E37)</f>
        <v>897033.4</v>
      </c>
      <c r="F38" s="1720">
        <f>SUM(F30:F37)</f>
        <v>18139</v>
      </c>
      <c r="G38" s="1722">
        <f>SUM(G30:G37)</f>
        <v>878894.4</v>
      </c>
    </row>
    <row r="39" spans="1:9" ht="13.5" thickTop="1">
      <c r="A39" s="1723"/>
      <c r="B39" s="1724"/>
      <c r="C39" s="1763"/>
      <c r="D39" s="1711"/>
      <c r="F39" s="1711"/>
      <c r="G39" s="1703"/>
    </row>
    <row r="40" spans="1:9" ht="13.5" thickBot="1">
      <c r="A40" s="1725"/>
      <c r="B40" s="1726"/>
      <c r="C40" s="1764"/>
      <c r="D40" s="1727"/>
      <c r="E40" s="1726"/>
      <c r="F40" s="1726"/>
      <c r="G40" s="1728"/>
    </row>
    <row r="41" spans="1:9">
      <c r="A41" s="1729" t="s">
        <v>2024</v>
      </c>
    </row>
    <row r="42" spans="1:9">
      <c r="A42" s="1367" t="s">
        <v>3350</v>
      </c>
      <c r="B42" s="1367"/>
      <c r="C42" s="1766"/>
      <c r="D42" s="1367"/>
      <c r="E42" s="1367"/>
      <c r="F42" s="1367"/>
      <c r="G42" s="1367"/>
    </row>
    <row r="44" spans="1:9" hidden="1">
      <c r="A44" s="1475" t="s">
        <v>3351</v>
      </c>
      <c r="B44" s="1476"/>
      <c r="C44" s="1767">
        <f>SUM(C20+C29+C38)</f>
        <v>944</v>
      </c>
      <c r="D44" s="1477">
        <f>SUM(D20+D29+D38)</f>
        <v>2854199.9</v>
      </c>
      <c r="E44" s="1477">
        <f>SUM(E20+E29+E38)</f>
        <v>2855143.9</v>
      </c>
      <c r="F44" s="1477">
        <f>SUM(F20+F29+F38)</f>
        <v>66160</v>
      </c>
      <c r="G44" s="1477">
        <f>SUM(G20+G29+G38)</f>
        <v>2788983.9</v>
      </c>
    </row>
    <row r="45" spans="1:9">
      <c r="A45" s="2549"/>
      <c r="B45" s="2549"/>
      <c r="C45" s="2548">
        <f>+C20+C29+C38</f>
        <v>944</v>
      </c>
      <c r="D45" s="2548">
        <f>+D20+D29+D38</f>
        <v>2854199.9</v>
      </c>
      <c r="E45" s="2548">
        <f>+E20+E29+E38</f>
        <v>2855143.9</v>
      </c>
      <c r="F45" s="2548">
        <f>+F20+F29+F38</f>
        <v>66160</v>
      </c>
      <c r="G45" s="2548">
        <f>+G20+G29+G38</f>
        <v>2788983.9</v>
      </c>
      <c r="H45" s="2549" t="str">
        <f>IF(SUM(F45:G45)=E45,"ok","error")</f>
        <v>ok</v>
      </c>
      <c r="I45" s="2549" t="s">
        <v>4906</v>
      </c>
    </row>
    <row r="46" spans="1:9">
      <c r="C46" s="2199"/>
      <c r="D46" s="2199"/>
      <c r="E46" s="2199"/>
      <c r="F46" s="2199"/>
      <c r="G46" s="2199"/>
    </row>
  </sheetData>
  <phoneticPr fontId="0" type="noConversion"/>
  <pageMargins left="0.25" right="0.25" top="0.75" bottom="0.5" header="0.3" footer="0.3"/>
  <pageSetup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11">
    <pageSetUpPr fitToPage="1"/>
  </sheetPr>
  <dimension ref="A1:J49"/>
  <sheetViews>
    <sheetView zoomScaleNormal="100" workbookViewId="0">
      <pane xSplit="2" ySplit="5" topLeftCell="C20" activePane="bottomRight" state="frozen"/>
      <selection activeCell="S32" sqref="S32"/>
      <selection pane="topRight" activeCell="S32" sqref="S32"/>
      <selection pane="bottomLeft" activeCell="S32" sqref="S32"/>
      <selection pane="bottomRight" activeCell="D33" sqref="D33:E33"/>
    </sheetView>
  </sheetViews>
  <sheetFormatPr defaultRowHeight="12.75"/>
  <cols>
    <col min="1" max="1" width="31.6640625" style="1440" customWidth="1"/>
    <col min="2" max="2" width="9.77734375" style="1440" customWidth="1"/>
    <col min="3" max="3" width="8.77734375" style="1765" customWidth="1"/>
    <col min="4" max="4" width="9.109375" style="1440" customWidth="1"/>
    <col min="5" max="5" width="9.88671875" style="1440" customWidth="1"/>
    <col min="6" max="6" width="9.77734375" style="1440" customWidth="1"/>
    <col min="7" max="7" width="10" style="1440" customWidth="1"/>
    <col min="8" max="16384" width="8.88671875" style="1440"/>
  </cols>
  <sheetData>
    <row r="1" spans="1:10" customFormat="1" ht="15.75" thickBot="1">
      <c r="A1" t="str">
        <f>'Data sheet'!A55</f>
        <v>Annual Report of Veolia Water New York, Inc.                                  Year Ended  December 31, 2023</v>
      </c>
      <c r="C1" s="1758"/>
    </row>
    <row r="2" spans="1:10">
      <c r="A2" s="1693"/>
      <c r="B2" s="1462" t="s">
        <v>247</v>
      </c>
      <c r="C2" s="1759" t="s">
        <v>78</v>
      </c>
      <c r="D2" s="1463"/>
      <c r="E2" s="1464"/>
      <c r="F2" s="1694" t="s">
        <v>248</v>
      </c>
      <c r="G2" s="1465"/>
    </row>
    <row r="3" spans="1:10">
      <c r="A3" s="1695" t="s">
        <v>1042</v>
      </c>
      <c r="B3" s="2530" t="s">
        <v>250</v>
      </c>
      <c r="C3" s="1760" t="s">
        <v>1738</v>
      </c>
      <c r="D3" s="1696" t="s">
        <v>79</v>
      </c>
      <c r="E3" s="1546" t="s">
        <v>79</v>
      </c>
      <c r="F3" s="1696" t="s">
        <v>80</v>
      </c>
      <c r="G3" s="1697" t="s">
        <v>249</v>
      </c>
    </row>
    <row r="4" spans="1:10">
      <c r="A4" s="1695" t="s">
        <v>1843</v>
      </c>
      <c r="B4" s="1546" t="s">
        <v>3071</v>
      </c>
      <c r="C4" s="1760" t="s">
        <v>1943</v>
      </c>
      <c r="D4" s="2162">
        <v>44926</v>
      </c>
      <c r="E4" s="2163" t="s">
        <v>5433</v>
      </c>
      <c r="F4" s="1696" t="s">
        <v>81</v>
      </c>
      <c r="G4" s="1698" t="s">
        <v>1588</v>
      </c>
    </row>
    <row r="5" spans="1:10">
      <c r="A5" s="1695" t="s">
        <v>3279</v>
      </c>
      <c r="B5" s="1546" t="s">
        <v>1611</v>
      </c>
      <c r="C5" s="2161" t="s">
        <v>5432</v>
      </c>
      <c r="D5" s="1696" t="s">
        <v>4276</v>
      </c>
      <c r="E5" s="1699" t="s">
        <v>4276</v>
      </c>
      <c r="F5" s="1696" t="s">
        <v>722</v>
      </c>
      <c r="G5" s="1698" t="s">
        <v>723</v>
      </c>
    </row>
    <row r="6" spans="1:10">
      <c r="A6" s="1700" t="s">
        <v>257</v>
      </c>
      <c r="B6" s="2531"/>
      <c r="C6" s="1761"/>
      <c r="D6" s="1702"/>
      <c r="E6" s="1702"/>
      <c r="F6" s="1702"/>
      <c r="G6" s="1703"/>
    </row>
    <row r="7" spans="1:10">
      <c r="A7" s="1704" t="s">
        <v>258</v>
      </c>
      <c r="B7" s="1658"/>
      <c r="C7" s="1706"/>
      <c r="D7" s="1706"/>
      <c r="E7" s="1706"/>
      <c r="F7" s="1706"/>
      <c r="G7" s="1707"/>
    </row>
    <row r="8" spans="1:10">
      <c r="A8" s="1469"/>
      <c r="B8" s="1658"/>
      <c r="C8" s="1706"/>
      <c r="D8" s="1706"/>
      <c r="E8" s="1706"/>
      <c r="F8" s="1706"/>
      <c r="G8" s="1707"/>
    </row>
    <row r="9" spans="1:10">
      <c r="A9" s="1709" t="s">
        <v>2872</v>
      </c>
      <c r="B9" s="1546" t="s">
        <v>608</v>
      </c>
      <c r="C9" s="1706"/>
      <c r="D9" s="1706"/>
      <c r="E9" s="1706"/>
      <c r="F9" s="1706"/>
      <c r="G9" s="1707"/>
    </row>
    <row r="10" spans="1:10">
      <c r="A10" s="1713" t="s">
        <v>607</v>
      </c>
      <c r="B10" s="1546" t="s">
        <v>610</v>
      </c>
      <c r="C10" s="1706"/>
      <c r="D10" s="1706">
        <v>1609</v>
      </c>
      <c r="E10" s="1706">
        <f t="shared" ref="E10:E20" si="0">D10+C10</f>
        <v>1609</v>
      </c>
      <c r="F10" s="1706"/>
      <c r="G10" s="1707">
        <f t="shared" ref="G10:G41" si="1">E10-F10</f>
        <v>1609</v>
      </c>
      <c r="J10" s="1769"/>
    </row>
    <row r="11" spans="1:10">
      <c r="A11" s="1715"/>
      <c r="B11" s="1546" t="s">
        <v>2901</v>
      </c>
      <c r="C11" s="1706">
        <v>-350</v>
      </c>
      <c r="D11" s="1706">
        <v>194136</v>
      </c>
      <c r="E11" s="1706">
        <f t="shared" si="0"/>
        <v>193786</v>
      </c>
      <c r="F11" s="1706">
        <v>5372</v>
      </c>
      <c r="G11" s="1707">
        <f t="shared" si="1"/>
        <v>188414</v>
      </c>
      <c r="J11" s="1769"/>
    </row>
    <row r="12" spans="1:10">
      <c r="A12" s="1715"/>
      <c r="B12" s="1546" t="s">
        <v>2902</v>
      </c>
      <c r="C12" s="1706">
        <v>4520</v>
      </c>
      <c r="D12" s="1706">
        <v>240810.5</v>
      </c>
      <c r="E12" s="1706">
        <f t="shared" si="0"/>
        <v>245330.5</v>
      </c>
      <c r="F12" s="1706">
        <v>4320</v>
      </c>
      <c r="G12" s="1707">
        <f t="shared" si="1"/>
        <v>241010.5</v>
      </c>
      <c r="J12" s="1769"/>
    </row>
    <row r="13" spans="1:10">
      <c r="A13" s="1715"/>
      <c r="B13" s="1546" t="s">
        <v>2903</v>
      </c>
      <c r="C13" s="1706"/>
      <c r="D13" s="1706">
        <v>4337</v>
      </c>
      <c r="E13" s="1706">
        <f t="shared" si="0"/>
        <v>4337</v>
      </c>
      <c r="F13" s="1706"/>
      <c r="G13" s="1707">
        <f t="shared" si="1"/>
        <v>4337</v>
      </c>
      <c r="J13" s="1769"/>
    </row>
    <row r="14" spans="1:10">
      <c r="A14" s="1715"/>
      <c r="B14" s="1546" t="s">
        <v>2904</v>
      </c>
      <c r="C14" s="1706"/>
      <c r="D14" s="1706">
        <v>111947</v>
      </c>
      <c r="E14" s="1706">
        <f t="shared" si="0"/>
        <v>111947</v>
      </c>
      <c r="F14" s="1706">
        <v>4243</v>
      </c>
      <c r="G14" s="1707">
        <f t="shared" si="1"/>
        <v>107704</v>
      </c>
      <c r="J14" s="1769"/>
    </row>
    <row r="15" spans="1:10">
      <c r="A15" s="1715"/>
      <c r="B15" s="1546" t="s">
        <v>2905</v>
      </c>
      <c r="C15" s="1706"/>
      <c r="D15" s="1706">
        <v>27030</v>
      </c>
      <c r="E15" s="1706">
        <f t="shared" si="0"/>
        <v>27030</v>
      </c>
      <c r="F15" s="1706"/>
      <c r="G15" s="1707">
        <f t="shared" si="1"/>
        <v>27030</v>
      </c>
      <c r="J15" s="1769"/>
    </row>
    <row r="16" spans="1:10">
      <c r="A16" s="1715"/>
      <c r="B16" s="1546" t="s">
        <v>2906</v>
      </c>
      <c r="C16" s="1706"/>
      <c r="D16" s="1706">
        <v>13184</v>
      </c>
      <c r="E16" s="1706">
        <f t="shared" si="0"/>
        <v>13184</v>
      </c>
      <c r="F16" s="1706"/>
      <c r="G16" s="1707">
        <f t="shared" si="1"/>
        <v>13184</v>
      </c>
      <c r="J16" s="1769"/>
    </row>
    <row r="17" spans="1:10">
      <c r="A17" s="1715"/>
      <c r="B17" s="1546" t="s">
        <v>2907</v>
      </c>
      <c r="C17" s="1706"/>
      <c r="D17" s="1706">
        <v>3943</v>
      </c>
      <c r="E17" s="1706">
        <f t="shared" si="0"/>
        <v>3943</v>
      </c>
      <c r="F17" s="1706"/>
      <c r="G17" s="1707">
        <f t="shared" si="1"/>
        <v>3943</v>
      </c>
      <c r="J17" s="1769"/>
    </row>
    <row r="18" spans="1:10">
      <c r="A18" s="1715"/>
      <c r="B18" s="1546" t="s">
        <v>3352</v>
      </c>
      <c r="C18" s="1706"/>
      <c r="D18" s="1706">
        <v>23302</v>
      </c>
      <c r="E18" s="1706">
        <f t="shared" si="0"/>
        <v>23302</v>
      </c>
      <c r="F18" s="1706"/>
      <c r="G18" s="1707">
        <f t="shared" si="1"/>
        <v>23302</v>
      </c>
      <c r="J18" s="1769"/>
    </row>
    <row r="19" spans="1:10" ht="13.5" thickBot="1">
      <c r="A19" s="1718" t="s">
        <v>3353</v>
      </c>
      <c r="B19" s="2532"/>
      <c r="C19" s="1720">
        <f>SUM(C9:C18)</f>
        <v>4170</v>
      </c>
      <c r="D19" s="1720">
        <f>SUM(D9:D18)</f>
        <v>620298.5</v>
      </c>
      <c r="E19" s="1720">
        <f>SUM(E9:E18)</f>
        <v>624468.5</v>
      </c>
      <c r="F19" s="1720">
        <f>SUM(F9:F18)</f>
        <v>13935</v>
      </c>
      <c r="G19" s="1722">
        <f>SUM(G9:G18)</f>
        <v>610533.5</v>
      </c>
      <c r="J19" s="1769"/>
    </row>
    <row r="20" spans="1:10" ht="13.5" thickTop="1">
      <c r="A20" s="1709" t="s">
        <v>1778</v>
      </c>
      <c r="B20" s="2530" t="s">
        <v>608</v>
      </c>
      <c r="C20" s="1702"/>
      <c r="D20" s="1702">
        <v>400</v>
      </c>
      <c r="E20" s="1702">
        <f t="shared" si="0"/>
        <v>400</v>
      </c>
      <c r="F20" s="1702">
        <v>198</v>
      </c>
      <c r="G20" s="1707">
        <f t="shared" si="1"/>
        <v>202</v>
      </c>
      <c r="J20" s="1769"/>
    </row>
    <row r="21" spans="1:10">
      <c r="A21" s="1715"/>
      <c r="B21" s="1546" t="s">
        <v>610</v>
      </c>
      <c r="C21" s="1706"/>
      <c r="D21" s="1706">
        <v>57259.75</v>
      </c>
      <c r="E21" s="1706">
        <f t="shared" ref="E21:E28" si="2">D21+C21</f>
        <v>57259.75</v>
      </c>
      <c r="F21" s="1706">
        <v>400</v>
      </c>
      <c r="G21" s="1707">
        <f t="shared" si="1"/>
        <v>56859.75</v>
      </c>
      <c r="J21" s="1769"/>
    </row>
    <row r="22" spans="1:10">
      <c r="A22" s="1715"/>
      <c r="B22" s="1546" t="s">
        <v>2901</v>
      </c>
      <c r="C22" s="1706">
        <v>-5221</v>
      </c>
      <c r="D22" s="1706">
        <v>180866</v>
      </c>
      <c r="E22" s="1706">
        <f t="shared" si="2"/>
        <v>175645</v>
      </c>
      <c r="F22" s="1706">
        <v>2003</v>
      </c>
      <c r="G22" s="1707">
        <f t="shared" si="1"/>
        <v>173642</v>
      </c>
      <c r="J22" s="1769"/>
    </row>
    <row r="23" spans="1:10">
      <c r="A23" s="1715"/>
      <c r="B23" s="1546" t="s">
        <v>2902</v>
      </c>
      <c r="C23" s="1706">
        <v>5221</v>
      </c>
      <c r="D23" s="1706">
        <v>167851.25</v>
      </c>
      <c r="E23" s="1706">
        <f t="shared" si="2"/>
        <v>173072.25</v>
      </c>
      <c r="F23" s="1706">
        <v>4865</v>
      </c>
      <c r="G23" s="1707">
        <f t="shared" si="1"/>
        <v>168207.25</v>
      </c>
      <c r="J23" s="1769"/>
    </row>
    <row r="24" spans="1:10">
      <c r="A24" s="1715"/>
      <c r="B24" s="1546" t="s">
        <v>2903</v>
      </c>
      <c r="C24" s="1706"/>
      <c r="D24" s="1706">
        <v>25695</v>
      </c>
      <c r="E24" s="1706">
        <f t="shared" si="2"/>
        <v>25695</v>
      </c>
      <c r="F24" s="1706"/>
      <c r="G24" s="1707">
        <f t="shared" si="1"/>
        <v>25695</v>
      </c>
      <c r="J24" s="1769"/>
    </row>
    <row r="25" spans="1:10">
      <c r="A25" s="1715"/>
      <c r="B25" s="1546" t="s">
        <v>2904</v>
      </c>
      <c r="C25" s="1706"/>
      <c r="D25" s="1706">
        <v>41191</v>
      </c>
      <c r="E25" s="1706">
        <f t="shared" si="2"/>
        <v>41191</v>
      </c>
      <c r="F25" s="1706">
        <v>5801</v>
      </c>
      <c r="G25" s="1707">
        <f t="shared" si="1"/>
        <v>35390</v>
      </c>
      <c r="J25" s="1769"/>
    </row>
    <row r="26" spans="1:10">
      <c r="A26" s="1715"/>
      <c r="B26" s="1546" t="s">
        <v>2905</v>
      </c>
      <c r="C26" s="1706"/>
      <c r="D26" s="1706">
        <v>12505</v>
      </c>
      <c r="E26" s="1706">
        <f t="shared" si="2"/>
        <v>12505</v>
      </c>
      <c r="F26" s="1706"/>
      <c r="G26" s="1707">
        <f t="shared" si="1"/>
        <v>12505</v>
      </c>
      <c r="J26" s="1769"/>
    </row>
    <row r="27" spans="1:10">
      <c r="A27" s="1715"/>
      <c r="B27" s="1546" t="s">
        <v>2906</v>
      </c>
      <c r="C27" s="1706"/>
      <c r="D27" s="1706">
        <v>8374</v>
      </c>
      <c r="E27" s="1706">
        <f t="shared" si="2"/>
        <v>8374</v>
      </c>
      <c r="F27" s="1706"/>
      <c r="G27" s="1707">
        <f t="shared" si="1"/>
        <v>8374</v>
      </c>
      <c r="J27" s="1769"/>
    </row>
    <row r="28" spans="1:10">
      <c r="A28" s="1715"/>
      <c r="B28" s="1546" t="s">
        <v>2907</v>
      </c>
      <c r="C28" s="1706"/>
      <c r="D28" s="1706">
        <v>5017</v>
      </c>
      <c r="E28" s="1706">
        <f t="shared" si="2"/>
        <v>5017</v>
      </c>
      <c r="F28" s="1706"/>
      <c r="G28" s="1707">
        <f t="shared" si="1"/>
        <v>5017</v>
      </c>
      <c r="J28" s="1769"/>
    </row>
    <row r="29" spans="1:10" ht="13.5" thickBot="1">
      <c r="A29" s="1718" t="s">
        <v>3354</v>
      </c>
      <c r="B29" s="2533"/>
      <c r="C29" s="1720">
        <f>SUM(C20:C28)</f>
        <v>0</v>
      </c>
      <c r="D29" s="1720">
        <f>SUM(D20:D28)</f>
        <v>499159</v>
      </c>
      <c r="E29" s="1720">
        <f>SUM(E20:E28)</f>
        <v>499159</v>
      </c>
      <c r="F29" s="1720">
        <f>SUM(F20:F28)</f>
        <v>13267</v>
      </c>
      <c r="G29" s="1722">
        <f>SUM(G20:G28)</f>
        <v>485892</v>
      </c>
      <c r="J29" s="1769"/>
    </row>
    <row r="30" spans="1:10" ht="13.5" thickTop="1">
      <c r="A30" s="1709" t="s">
        <v>1331</v>
      </c>
      <c r="B30" s="1546" t="s">
        <v>2901</v>
      </c>
      <c r="C30" s="1702"/>
      <c r="D30" s="1702">
        <v>1958</v>
      </c>
      <c r="E30" s="1702">
        <f>D30+C30</f>
        <v>1958</v>
      </c>
      <c r="F30" s="1702">
        <v>1086</v>
      </c>
      <c r="G30" s="1707">
        <f t="shared" si="1"/>
        <v>872</v>
      </c>
      <c r="J30" s="1769"/>
    </row>
    <row r="31" spans="1:10">
      <c r="A31" s="1715"/>
      <c r="B31" s="1546" t="s">
        <v>2902</v>
      </c>
      <c r="C31" s="1706">
        <v>1453</v>
      </c>
      <c r="D31" s="1706">
        <v>13848</v>
      </c>
      <c r="E31" s="1706">
        <f>D31+C31</f>
        <v>15301</v>
      </c>
      <c r="F31" s="1706">
        <v>2243</v>
      </c>
      <c r="G31" s="1707">
        <f t="shared" si="1"/>
        <v>13058</v>
      </c>
      <c r="J31" s="1769"/>
    </row>
    <row r="32" spans="1:10">
      <c r="A32" s="1715"/>
      <c r="B32" s="1877" t="s">
        <v>2904</v>
      </c>
      <c r="C32" s="1706">
        <v>60</v>
      </c>
      <c r="D32" s="1706">
        <v>5252</v>
      </c>
      <c r="E32" s="1706">
        <f>D32+C32</f>
        <v>5312</v>
      </c>
      <c r="F32" s="1706">
        <v>541</v>
      </c>
      <c r="G32" s="1707">
        <f t="shared" si="1"/>
        <v>4771</v>
      </c>
      <c r="J32" s="1769"/>
    </row>
    <row r="33" spans="1:10" ht="13.5" thickBot="1">
      <c r="A33" s="1718" t="s">
        <v>1635</v>
      </c>
      <c r="B33" s="2533"/>
      <c r="C33" s="1720">
        <f>SUM(C30:C32)</f>
        <v>1513</v>
      </c>
      <c r="D33" s="1720">
        <f>SUM(D30:D32)</f>
        <v>21058</v>
      </c>
      <c r="E33" s="1720">
        <f>SUM(E30:E32)</f>
        <v>22571</v>
      </c>
      <c r="F33" s="1720">
        <f>SUM(F30:F32)</f>
        <v>3870</v>
      </c>
      <c r="G33" s="1722">
        <f>SUM(G30:G32)</f>
        <v>18701</v>
      </c>
      <c r="J33" s="1769"/>
    </row>
    <row r="34" spans="1:10" ht="13.5" thickTop="1">
      <c r="A34" s="1709" t="s">
        <v>1421</v>
      </c>
      <c r="B34" s="1546" t="s">
        <v>2902</v>
      </c>
      <c r="C34" s="1702"/>
      <c r="D34" s="1702">
        <v>533</v>
      </c>
      <c r="E34" s="1702">
        <f>D34+C34</f>
        <v>533</v>
      </c>
      <c r="F34" s="1702"/>
      <c r="G34" s="1707">
        <f t="shared" si="1"/>
        <v>533</v>
      </c>
      <c r="J34" s="1769"/>
    </row>
    <row r="35" spans="1:10">
      <c r="A35" s="1715"/>
      <c r="B35" s="1877" t="s">
        <v>2904</v>
      </c>
      <c r="C35" s="1706"/>
      <c r="D35" s="1706">
        <v>8508</v>
      </c>
      <c r="E35" s="1706">
        <f>D35+C35</f>
        <v>8508</v>
      </c>
      <c r="F35" s="1706"/>
      <c r="G35" s="1707">
        <f t="shared" si="1"/>
        <v>8508</v>
      </c>
      <c r="J35" s="1769"/>
    </row>
    <row r="36" spans="1:10" ht="13.5" thickBot="1">
      <c r="A36" s="1718" t="s">
        <v>3727</v>
      </c>
      <c r="B36" s="2533"/>
      <c r="C36" s="1720">
        <f>SUM(C34:C35)</f>
        <v>0</v>
      </c>
      <c r="D36" s="1720">
        <f>SUM(D34:D35)</f>
        <v>9041</v>
      </c>
      <c r="E36" s="1720">
        <f>SUM(E34:E35)</f>
        <v>9041</v>
      </c>
      <c r="F36" s="1720">
        <f>SUM(F34:F35)</f>
        <v>0</v>
      </c>
      <c r="G36" s="1722">
        <f>SUM(G34:G35)</f>
        <v>9041</v>
      </c>
      <c r="J36" s="1769"/>
    </row>
    <row r="37" spans="1:10" ht="13.5" thickTop="1">
      <c r="A37" s="1709" t="s">
        <v>3728</v>
      </c>
      <c r="B37" s="1546" t="s">
        <v>2901</v>
      </c>
      <c r="C37" s="1702"/>
      <c r="D37" s="1702">
        <v>3824</v>
      </c>
      <c r="E37" s="1702">
        <f>D37+C37</f>
        <v>3824</v>
      </c>
      <c r="F37" s="1702"/>
      <c r="G37" s="1707">
        <f t="shared" si="1"/>
        <v>3824</v>
      </c>
      <c r="J37" s="1769"/>
    </row>
    <row r="38" spans="1:10">
      <c r="A38" s="1715"/>
      <c r="B38" s="1546" t="s">
        <v>2902</v>
      </c>
      <c r="C38" s="1706"/>
      <c r="D38" s="1706">
        <v>10153</v>
      </c>
      <c r="E38" s="1706">
        <f>D38+C38</f>
        <v>10153</v>
      </c>
      <c r="F38" s="1706"/>
      <c r="G38" s="1707">
        <f t="shared" si="1"/>
        <v>10153</v>
      </c>
      <c r="J38" s="1769"/>
    </row>
    <row r="39" spans="1:10">
      <c r="A39" s="1715"/>
      <c r="B39" s="1546" t="s">
        <v>2903</v>
      </c>
      <c r="C39" s="1706"/>
      <c r="D39" s="1706">
        <v>1250</v>
      </c>
      <c r="E39" s="1706">
        <f>D39+C39</f>
        <v>1250</v>
      </c>
      <c r="F39" s="1706"/>
      <c r="G39" s="1707">
        <f t="shared" si="1"/>
        <v>1250</v>
      </c>
      <c r="J39" s="1769"/>
    </row>
    <row r="40" spans="1:10">
      <c r="A40" s="1715"/>
      <c r="B40" s="1546" t="s">
        <v>2904</v>
      </c>
      <c r="C40" s="1706"/>
      <c r="D40" s="1706">
        <v>570</v>
      </c>
      <c r="E40" s="1706">
        <f>D40+C40</f>
        <v>570</v>
      </c>
      <c r="F40" s="1706"/>
      <c r="G40" s="1707">
        <f t="shared" si="1"/>
        <v>570</v>
      </c>
      <c r="J40" s="1769"/>
    </row>
    <row r="41" spans="1:10">
      <c r="A41" s="1715"/>
      <c r="B41" s="1877" t="s">
        <v>2905</v>
      </c>
      <c r="C41" s="1706"/>
      <c r="D41" s="1706">
        <v>544</v>
      </c>
      <c r="E41" s="1706">
        <f>D41+C41</f>
        <v>544</v>
      </c>
      <c r="F41" s="1706"/>
      <c r="G41" s="1707">
        <f t="shared" si="1"/>
        <v>544</v>
      </c>
      <c r="J41" s="1769"/>
    </row>
    <row r="42" spans="1:10" ht="13.5" thickBot="1">
      <c r="A42" s="1718" t="s">
        <v>3729</v>
      </c>
      <c r="B42" s="2534"/>
      <c r="C42" s="1720">
        <f>SUM(C37:C41)</f>
        <v>0</v>
      </c>
      <c r="D42" s="1720">
        <f>SUM(D37:D41)</f>
        <v>16341</v>
      </c>
      <c r="E42" s="1720">
        <f>SUM(E37:E41)</f>
        <v>16341</v>
      </c>
      <c r="F42" s="1720">
        <f>SUM(F37:F41)</f>
        <v>0</v>
      </c>
      <c r="G42" s="1722">
        <f>SUM(G37:G41)</f>
        <v>16341</v>
      </c>
      <c r="J42" s="1769"/>
    </row>
    <row r="43" spans="1:10" ht="13.5" thickTop="1">
      <c r="A43" s="1660"/>
      <c r="B43" s="1714"/>
      <c r="C43" s="2416"/>
      <c r="D43" s="1714"/>
      <c r="E43" s="1769"/>
      <c r="F43" s="1714"/>
      <c r="G43" s="1707"/>
    </row>
    <row r="44" spans="1:10" ht="13.5" thickBot="1">
      <c r="A44" s="1725"/>
      <c r="B44" s="1726"/>
      <c r="C44" s="1764"/>
      <c r="D44" s="1727"/>
      <c r="E44" s="1726"/>
      <c r="F44" s="1726"/>
      <c r="G44" s="1728"/>
    </row>
    <row r="45" spans="1:10">
      <c r="A45" s="1364" t="s">
        <v>2024</v>
      </c>
    </row>
    <row r="46" spans="1:10">
      <c r="A46" s="1367" t="s">
        <v>3730</v>
      </c>
      <c r="B46" s="1367"/>
      <c r="C46" s="1766"/>
      <c r="D46" s="1367"/>
      <c r="E46" s="1367"/>
      <c r="F46" s="1367"/>
      <c r="G46" s="1367"/>
    </row>
    <row r="48" spans="1:10">
      <c r="A48" s="2549"/>
      <c r="B48" s="2549"/>
      <c r="C48" s="2550">
        <f>+C19+C29+C33+C36+C42</f>
        <v>5683</v>
      </c>
      <c r="D48" s="2550">
        <f>+D19+D29+D33+D36+D42</f>
        <v>1165897.5</v>
      </c>
      <c r="E48" s="2550">
        <f>+E19+E29+E33+E36+E42</f>
        <v>1171580.5</v>
      </c>
      <c r="F48" s="2550">
        <f>+F19+F29+F33+F36+F42</f>
        <v>31072</v>
      </c>
      <c r="G48" s="2550">
        <f>+G19+G29+G33+G36+G42</f>
        <v>1140508.5</v>
      </c>
      <c r="H48" s="2549" t="str">
        <f>IF(SUM(F48:G48)=E48,"ok","error")</f>
        <v>ok</v>
      </c>
      <c r="I48" s="2549" t="s">
        <v>4906</v>
      </c>
    </row>
    <row r="49" spans="1:7" hidden="1">
      <c r="A49" s="1475" t="s">
        <v>3351</v>
      </c>
      <c r="B49" s="1476"/>
      <c r="C49" s="1767">
        <f>SUM(C19+C29+C33+C36+C42)</f>
        <v>5683</v>
      </c>
      <c r="D49" s="1477">
        <f>SUM(D19+D29+D33+D36+D42)</f>
        <v>1165897.5</v>
      </c>
      <c r="E49" s="1477">
        <f>SUM(E19+E29+E33+E36+E42)</f>
        <v>1171580.5</v>
      </c>
      <c r="F49" s="1477">
        <f>SUM(F19+F29+F33+F36+F42)</f>
        <v>31072</v>
      </c>
      <c r="G49" s="1477">
        <f>SUM(G19+G29+G33+G36+G42)</f>
        <v>1140508.5</v>
      </c>
    </row>
  </sheetData>
  <phoneticPr fontId="0" type="noConversion"/>
  <pageMargins left="0.25" right="0.25" top="0.75" bottom="0.5" header="0.3" footer="0.3"/>
  <pageSetup scale="96"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12"/>
  <dimension ref="A1:I60"/>
  <sheetViews>
    <sheetView zoomScaleNormal="100" workbookViewId="0">
      <pane xSplit="2" ySplit="5" topLeftCell="C6" activePane="bottomRight" state="frozen"/>
      <selection activeCell="S32" sqref="S32"/>
      <selection pane="topRight" activeCell="S32" sqref="S32"/>
      <selection pane="bottomLeft" activeCell="S32" sqref="S32"/>
      <selection pane="bottomRight" activeCell="G62" sqref="G62"/>
    </sheetView>
  </sheetViews>
  <sheetFormatPr defaultRowHeight="12.75"/>
  <cols>
    <col min="1" max="1" width="36.77734375" style="1440" customWidth="1"/>
    <col min="2" max="2" width="10.109375" style="1440" customWidth="1"/>
    <col min="3" max="3" width="10.109375" style="1769" customWidth="1"/>
    <col min="4" max="6" width="10" style="1440" customWidth="1"/>
    <col min="7" max="7" width="9.6640625" style="1440" customWidth="1"/>
    <col min="8" max="16384" width="8.88671875" style="1440"/>
  </cols>
  <sheetData>
    <row r="1" spans="1:7" customFormat="1" ht="15.75" thickBot="1">
      <c r="A1" t="str">
        <f>'Data sheet'!A57</f>
        <v>Annual Report of Veolia Water New York, Inc.                                              Year Ended  December 31, 2023</v>
      </c>
      <c r="C1" s="140"/>
    </row>
    <row r="2" spans="1:7">
      <c r="A2" s="1461"/>
      <c r="B2" s="1462" t="s">
        <v>247</v>
      </c>
      <c r="C2" s="1768" t="s">
        <v>78</v>
      </c>
      <c r="D2" s="1463"/>
      <c r="E2" s="1464"/>
      <c r="F2" s="1447" t="s">
        <v>248</v>
      </c>
      <c r="G2" s="1465"/>
    </row>
    <row r="3" spans="1:7">
      <c r="A3" s="1466" t="s">
        <v>1042</v>
      </c>
      <c r="B3" s="1696" t="s">
        <v>250</v>
      </c>
      <c r="C3" s="1760" t="s">
        <v>1738</v>
      </c>
      <c r="D3" s="1696" t="s">
        <v>79</v>
      </c>
      <c r="E3" s="1546" t="s">
        <v>79</v>
      </c>
      <c r="F3" s="1696" t="s">
        <v>80</v>
      </c>
      <c r="G3" s="1697" t="s">
        <v>249</v>
      </c>
    </row>
    <row r="4" spans="1:7">
      <c r="A4" s="1466" t="s">
        <v>1843</v>
      </c>
      <c r="B4" s="1696" t="s">
        <v>3071</v>
      </c>
      <c r="C4" s="1760" t="s">
        <v>1943</v>
      </c>
      <c r="D4" s="2162">
        <v>44926</v>
      </c>
      <c r="E4" s="2163" t="s">
        <v>5433</v>
      </c>
      <c r="F4" s="1696" t="s">
        <v>81</v>
      </c>
      <c r="G4" s="1698" t="s">
        <v>1588</v>
      </c>
    </row>
    <row r="5" spans="1:7">
      <c r="A5" s="1466" t="s">
        <v>3279</v>
      </c>
      <c r="B5" s="1696" t="s">
        <v>1611</v>
      </c>
      <c r="C5" s="2161" t="s">
        <v>5432</v>
      </c>
      <c r="D5" s="1696" t="s">
        <v>4276</v>
      </c>
      <c r="E5" s="1699" t="s">
        <v>4276</v>
      </c>
      <c r="F5" s="1696" t="s">
        <v>722</v>
      </c>
      <c r="G5" s="1698" t="s">
        <v>723</v>
      </c>
    </row>
    <row r="6" spans="1:7">
      <c r="A6" s="1467" t="s">
        <v>257</v>
      </c>
      <c r="B6" s="1701"/>
      <c r="C6" s="1702"/>
      <c r="D6" s="1702"/>
      <c r="E6" s="1731"/>
      <c r="F6" s="1702"/>
      <c r="G6" s="1703"/>
    </row>
    <row r="7" spans="1:7">
      <c r="A7" s="1468" t="s">
        <v>258</v>
      </c>
      <c r="B7" s="1705"/>
      <c r="C7" s="1706"/>
      <c r="D7" s="1706"/>
      <c r="E7" s="1732"/>
      <c r="F7" s="1706"/>
      <c r="G7" s="1707"/>
    </row>
    <row r="8" spans="1:7">
      <c r="A8" s="1469"/>
      <c r="B8" s="1705"/>
      <c r="C8" s="1706"/>
      <c r="D8" s="1706"/>
      <c r="E8" s="1732"/>
      <c r="F8" s="1706"/>
      <c r="G8" s="1707"/>
    </row>
    <row r="9" spans="1:7">
      <c r="A9" s="1470" t="s">
        <v>1362</v>
      </c>
      <c r="B9" s="1696" t="s">
        <v>3731</v>
      </c>
      <c r="C9" s="1706"/>
      <c r="D9" s="2223"/>
      <c r="E9" s="2220"/>
      <c r="F9" s="1706"/>
      <c r="G9" s="1707"/>
    </row>
    <row r="10" spans="1:7">
      <c r="A10" s="1479"/>
      <c r="B10" s="1696" t="s">
        <v>608</v>
      </c>
      <c r="C10" s="1706"/>
      <c r="D10" s="2220"/>
      <c r="E10" s="2220"/>
      <c r="F10" s="1706"/>
      <c r="G10" s="1707"/>
    </row>
    <row r="11" spans="1:7">
      <c r="A11" s="1472"/>
      <c r="B11" s="1696" t="s">
        <v>610</v>
      </c>
      <c r="C11" s="1706"/>
      <c r="D11" s="2220">
        <v>-2519</v>
      </c>
      <c r="E11" s="2220">
        <f t="shared" ref="E11:E16" si="0">D11+C11</f>
        <v>-2519</v>
      </c>
      <c r="F11" s="1706"/>
      <c r="G11" s="1707">
        <f t="shared" ref="G11:G16" si="1">E11-F11</f>
        <v>-2519</v>
      </c>
    </row>
    <row r="12" spans="1:7">
      <c r="A12" s="1472"/>
      <c r="B12" s="1696" t="s">
        <v>2901</v>
      </c>
      <c r="C12" s="1706"/>
      <c r="D12" s="2220">
        <v>-264</v>
      </c>
      <c r="E12" s="2220">
        <f t="shared" si="0"/>
        <v>-264</v>
      </c>
      <c r="F12" s="1706">
        <v>364</v>
      </c>
      <c r="G12" s="1707">
        <f t="shared" si="1"/>
        <v>-628</v>
      </c>
    </row>
    <row r="13" spans="1:7">
      <c r="A13" s="1472"/>
      <c r="B13" s="1696" t="s">
        <v>2902</v>
      </c>
      <c r="C13" s="1706"/>
      <c r="D13" s="2220">
        <v>36658</v>
      </c>
      <c r="E13" s="2220">
        <f t="shared" si="0"/>
        <v>36658</v>
      </c>
      <c r="F13" s="1706">
        <v>6623</v>
      </c>
      <c r="G13" s="1707">
        <f t="shared" si="1"/>
        <v>30035</v>
      </c>
    </row>
    <row r="14" spans="1:7">
      <c r="A14" s="1472"/>
      <c r="B14" s="1696" t="s">
        <v>2903</v>
      </c>
      <c r="C14" s="1706"/>
      <c r="D14" s="2220">
        <v>80</v>
      </c>
      <c r="E14" s="2220">
        <f t="shared" si="0"/>
        <v>80</v>
      </c>
      <c r="F14" s="1706"/>
      <c r="G14" s="1707">
        <f t="shared" si="1"/>
        <v>80</v>
      </c>
    </row>
    <row r="15" spans="1:7">
      <c r="A15" s="1472"/>
      <c r="B15" s="1696" t="s">
        <v>2904</v>
      </c>
      <c r="C15" s="1706"/>
      <c r="D15" s="2220">
        <v>12259</v>
      </c>
      <c r="E15" s="2220">
        <f t="shared" si="0"/>
        <v>12259</v>
      </c>
      <c r="F15" s="1706"/>
      <c r="G15" s="1707">
        <f t="shared" si="1"/>
        <v>12259</v>
      </c>
    </row>
    <row r="16" spans="1:7">
      <c r="A16" s="1472"/>
      <c r="B16" s="1696" t="s">
        <v>2905</v>
      </c>
      <c r="C16" s="1706"/>
      <c r="D16" s="2220">
        <v>4051</v>
      </c>
      <c r="E16" s="2220">
        <f t="shared" si="0"/>
        <v>4051</v>
      </c>
      <c r="F16" s="1706"/>
      <c r="G16" s="1707">
        <f t="shared" si="1"/>
        <v>4051</v>
      </c>
    </row>
    <row r="17" spans="1:7" ht="13.5" thickBot="1">
      <c r="A17" s="1473" t="s">
        <v>3732</v>
      </c>
      <c r="B17" s="1733"/>
      <c r="C17" s="1720">
        <f>SUM(C9:C16)</f>
        <v>0</v>
      </c>
      <c r="D17" s="1720">
        <f>SUM(D9:D16)</f>
        <v>50265</v>
      </c>
      <c r="E17" s="1720">
        <f>SUM(E9:E16)</f>
        <v>50265</v>
      </c>
      <c r="F17" s="1720">
        <f>SUM(F9:F16)</f>
        <v>6987</v>
      </c>
      <c r="G17" s="1722">
        <f>SUM(G9:G16)</f>
        <v>43278</v>
      </c>
    </row>
    <row r="18" spans="1:7" ht="13.5" thickTop="1">
      <c r="A18" s="1472" t="s">
        <v>31</v>
      </c>
      <c r="B18" s="1696" t="s">
        <v>32</v>
      </c>
      <c r="C18" s="1706"/>
      <c r="D18" s="2220">
        <v>325</v>
      </c>
      <c r="E18" s="2220">
        <f t="shared" ref="E18:E24" si="2">D18+C18</f>
        <v>325</v>
      </c>
      <c r="F18" s="1706"/>
      <c r="G18" s="1707">
        <f t="shared" ref="G18:G24" si="3">E18-F18</f>
        <v>325</v>
      </c>
    </row>
    <row r="19" spans="1:7">
      <c r="A19" s="1472"/>
      <c r="B19" s="1696" t="s">
        <v>610</v>
      </c>
      <c r="C19" s="1706"/>
      <c r="D19" s="2220">
        <v>69</v>
      </c>
      <c r="E19" s="2220">
        <f t="shared" si="2"/>
        <v>69</v>
      </c>
      <c r="F19" s="1706"/>
      <c r="G19" s="1707">
        <f t="shared" si="3"/>
        <v>69</v>
      </c>
    </row>
    <row r="20" spans="1:7">
      <c r="A20" s="1472"/>
      <c r="B20" s="1696" t="s">
        <v>2901</v>
      </c>
      <c r="C20" s="1706">
        <v>-2437</v>
      </c>
      <c r="D20" s="2220">
        <v>4371</v>
      </c>
      <c r="E20" s="2220">
        <f t="shared" si="2"/>
        <v>1934</v>
      </c>
      <c r="F20" s="1706">
        <v>1250</v>
      </c>
      <c r="G20" s="1707">
        <f t="shared" si="3"/>
        <v>684</v>
      </c>
    </row>
    <row r="21" spans="1:7">
      <c r="A21" s="1472"/>
      <c r="B21" s="1696" t="s">
        <v>2902</v>
      </c>
      <c r="C21" s="1706">
        <v>37</v>
      </c>
      <c r="D21" s="2220">
        <v>39035</v>
      </c>
      <c r="E21" s="2220">
        <f t="shared" si="2"/>
        <v>39072</v>
      </c>
      <c r="F21" s="1706">
        <v>4559</v>
      </c>
      <c r="G21" s="1707">
        <f t="shared" si="3"/>
        <v>34513</v>
      </c>
    </row>
    <row r="22" spans="1:7">
      <c r="A22" s="1472"/>
      <c r="B22" s="1696" t="s">
        <v>2903</v>
      </c>
      <c r="C22" s="1706"/>
      <c r="D22" s="2220">
        <v>-440</v>
      </c>
      <c r="E22" s="2220">
        <f t="shared" si="2"/>
        <v>-440</v>
      </c>
      <c r="F22" s="1706"/>
      <c r="G22" s="1707">
        <f t="shared" si="3"/>
        <v>-440</v>
      </c>
    </row>
    <row r="23" spans="1:7">
      <c r="A23" s="1472"/>
      <c r="B23" s="1696" t="s">
        <v>2904</v>
      </c>
      <c r="C23" s="1706">
        <v>2400</v>
      </c>
      <c r="D23" s="2220">
        <v>4189</v>
      </c>
      <c r="E23" s="2220">
        <f t="shared" si="2"/>
        <v>6589</v>
      </c>
      <c r="F23" s="1706"/>
      <c r="G23" s="1707">
        <f t="shared" si="3"/>
        <v>6589</v>
      </c>
    </row>
    <row r="24" spans="1:7">
      <c r="A24" s="1472"/>
      <c r="B24" s="1696" t="s">
        <v>2905</v>
      </c>
      <c r="C24" s="1706"/>
      <c r="D24" s="2220">
        <v>2064</v>
      </c>
      <c r="E24" s="2220">
        <f t="shared" si="2"/>
        <v>2064</v>
      </c>
      <c r="F24" s="1706"/>
      <c r="G24" s="1707">
        <f t="shared" si="3"/>
        <v>2064</v>
      </c>
    </row>
    <row r="25" spans="1:7" ht="13.5" thickBot="1">
      <c r="A25" s="1473" t="s">
        <v>31</v>
      </c>
      <c r="B25" s="1719"/>
      <c r="C25" s="1720">
        <f>SUM(C18:C24)</f>
        <v>0</v>
      </c>
      <c r="D25" s="1720">
        <f>SUM(D18:D24)</f>
        <v>49613</v>
      </c>
      <c r="E25" s="1720">
        <f>SUM(E18:E24)</f>
        <v>49613</v>
      </c>
      <c r="F25" s="1720">
        <f>SUM(F18:F24)</f>
        <v>5809</v>
      </c>
      <c r="G25" s="1722">
        <f>SUM(G18:G24)</f>
        <v>43804</v>
      </c>
    </row>
    <row r="26" spans="1:7" ht="13.5" thickTop="1">
      <c r="A26" s="1470" t="s">
        <v>2294</v>
      </c>
      <c r="B26" s="1696" t="s">
        <v>2901</v>
      </c>
      <c r="C26" s="1702"/>
      <c r="D26" s="2220">
        <v>1862</v>
      </c>
      <c r="E26" s="2220">
        <f>D26+C26</f>
        <v>1862</v>
      </c>
      <c r="F26" s="1702"/>
      <c r="G26" s="1707">
        <f t="shared" ref="G26:G52" si="4">E26-F26</f>
        <v>1862</v>
      </c>
    </row>
    <row r="27" spans="1:7">
      <c r="A27" s="1472" t="s">
        <v>33</v>
      </c>
      <c r="B27" s="1696" t="s">
        <v>2902</v>
      </c>
      <c r="C27" s="1706"/>
      <c r="D27" s="2220">
        <v>635</v>
      </c>
      <c r="E27" s="2220">
        <f>D27+C27</f>
        <v>635</v>
      </c>
      <c r="F27" s="1706"/>
      <c r="G27" s="1707">
        <f t="shared" si="4"/>
        <v>635</v>
      </c>
    </row>
    <row r="28" spans="1:7">
      <c r="A28" s="1472"/>
      <c r="B28" s="2224" t="s">
        <v>2904</v>
      </c>
      <c r="C28" s="1730"/>
      <c r="D28" s="2220">
        <v>2960</v>
      </c>
      <c r="E28" s="2220">
        <f>D28+C28</f>
        <v>2960</v>
      </c>
      <c r="F28" s="1706"/>
      <c r="G28" s="1707">
        <f t="shared" si="4"/>
        <v>2960</v>
      </c>
    </row>
    <row r="29" spans="1:7" ht="13.5" thickBot="1">
      <c r="A29" s="1473" t="s">
        <v>34</v>
      </c>
      <c r="B29" s="1719"/>
      <c r="C29" s="1720">
        <f>SUM(C26:C28)</f>
        <v>0</v>
      </c>
      <c r="D29" s="1720">
        <f>SUM(D26:D28)</f>
        <v>5457</v>
      </c>
      <c r="E29" s="1720">
        <f>SUM(E26:E28)</f>
        <v>5457</v>
      </c>
      <c r="F29" s="1720">
        <f>SUM(F26:F28)</f>
        <v>0</v>
      </c>
      <c r="G29" s="1722">
        <f>SUM(G26:G28)</f>
        <v>5457</v>
      </c>
    </row>
    <row r="30" spans="1:7" ht="13.5" thickTop="1">
      <c r="A30" s="1470" t="s">
        <v>1334</v>
      </c>
      <c r="B30" s="1696" t="s">
        <v>2901</v>
      </c>
      <c r="C30" s="1702">
        <v>-1980</v>
      </c>
      <c r="D30" s="1702">
        <v>3154</v>
      </c>
      <c r="E30" s="1646">
        <f>D30+C30</f>
        <v>1174</v>
      </c>
      <c r="F30" s="1702">
        <v>741</v>
      </c>
      <c r="G30" s="1707">
        <f t="shared" si="4"/>
        <v>433</v>
      </c>
    </row>
    <row r="31" spans="1:7">
      <c r="A31" s="1472" t="s">
        <v>33</v>
      </c>
      <c r="B31" s="1696" t="s">
        <v>2902</v>
      </c>
      <c r="C31" s="1706">
        <v>3644</v>
      </c>
      <c r="D31" s="1706">
        <v>24981</v>
      </c>
      <c r="E31" s="1646">
        <f>D31+C31</f>
        <v>28625</v>
      </c>
      <c r="F31" s="1706">
        <v>4434</v>
      </c>
      <c r="G31" s="1707">
        <f t="shared" si="4"/>
        <v>24191</v>
      </c>
    </row>
    <row r="32" spans="1:7">
      <c r="A32" s="1472"/>
      <c r="B32" s="1696" t="s">
        <v>2904</v>
      </c>
      <c r="C32" s="1706"/>
      <c r="D32" s="1706">
        <v>13455</v>
      </c>
      <c r="E32" s="1646">
        <f>D32+C32</f>
        <v>13455</v>
      </c>
      <c r="F32" s="1706">
        <v>1739</v>
      </c>
      <c r="G32" s="1707">
        <f t="shared" si="4"/>
        <v>11716</v>
      </c>
    </row>
    <row r="33" spans="1:7">
      <c r="A33" s="1472"/>
      <c r="B33" s="1696" t="s">
        <v>2905</v>
      </c>
      <c r="C33" s="1706"/>
      <c r="D33" s="1706">
        <v>860</v>
      </c>
      <c r="E33" s="1646">
        <f>D33+C33</f>
        <v>860</v>
      </c>
      <c r="F33" s="1706"/>
      <c r="G33" s="1707">
        <f t="shared" si="4"/>
        <v>860</v>
      </c>
    </row>
    <row r="34" spans="1:7">
      <c r="A34" s="1472"/>
      <c r="B34" s="1881" t="s">
        <v>2906</v>
      </c>
      <c r="C34" s="1730"/>
      <c r="D34" s="1706">
        <v>2</v>
      </c>
      <c r="E34" s="1646">
        <f>D34+C34</f>
        <v>2</v>
      </c>
      <c r="F34" s="1706"/>
      <c r="G34" s="1707">
        <f t="shared" si="4"/>
        <v>2</v>
      </c>
    </row>
    <row r="35" spans="1:7" ht="13.5" thickBot="1">
      <c r="A35" s="1473" t="s">
        <v>35</v>
      </c>
      <c r="B35" s="1719"/>
      <c r="C35" s="1720">
        <f>SUM(C30:C34)</f>
        <v>1664</v>
      </c>
      <c r="D35" s="1720">
        <f>SUM(D30:D34)</f>
        <v>42452</v>
      </c>
      <c r="E35" s="1720">
        <f>SUM(E30:E34)</f>
        <v>44116</v>
      </c>
      <c r="F35" s="1720">
        <f>SUM(F30:F34)</f>
        <v>6914</v>
      </c>
      <c r="G35" s="1722">
        <f>SUM(G30:G34)</f>
        <v>37202</v>
      </c>
    </row>
    <row r="36" spans="1:7" ht="13.5" thickTop="1">
      <c r="A36" s="1470" t="s">
        <v>2571</v>
      </c>
      <c r="B36" s="1696" t="s">
        <v>2901</v>
      </c>
      <c r="C36" s="1702"/>
      <c r="D36" s="2220">
        <v>131265</v>
      </c>
      <c r="E36" s="2220">
        <f>D36+C36</f>
        <v>131265</v>
      </c>
      <c r="F36" s="1702">
        <v>296</v>
      </c>
      <c r="G36" s="1707">
        <f t="shared" si="4"/>
        <v>130969</v>
      </c>
    </row>
    <row r="37" spans="1:7">
      <c r="A37" s="1472" t="s">
        <v>33</v>
      </c>
      <c r="B37" s="1696" t="s">
        <v>2902</v>
      </c>
      <c r="C37" s="1706"/>
      <c r="D37" s="2220">
        <v>112892</v>
      </c>
      <c r="E37" s="2220">
        <f>D37+C37</f>
        <v>112892</v>
      </c>
      <c r="F37" s="1706">
        <v>4244</v>
      </c>
      <c r="G37" s="1707">
        <f t="shared" si="4"/>
        <v>108648</v>
      </c>
    </row>
    <row r="38" spans="1:7">
      <c r="A38" s="1472"/>
      <c r="B38" s="1696" t="s">
        <v>2904</v>
      </c>
      <c r="C38" s="1706"/>
      <c r="D38" s="2220">
        <v>91791</v>
      </c>
      <c r="E38" s="2220">
        <f>D38+C38</f>
        <v>91791</v>
      </c>
      <c r="F38" s="1706">
        <v>616</v>
      </c>
      <c r="G38" s="1707">
        <f t="shared" si="4"/>
        <v>91175</v>
      </c>
    </row>
    <row r="39" spans="1:7">
      <c r="A39" s="1472"/>
      <c r="B39" s="1696" t="s">
        <v>2905</v>
      </c>
      <c r="C39" s="1706"/>
      <c r="D39" s="2220">
        <v>7471</v>
      </c>
      <c r="E39" s="2220">
        <f>D39+C39</f>
        <v>7471</v>
      </c>
      <c r="F39" s="1706">
        <v>120</v>
      </c>
      <c r="G39" s="1707">
        <f t="shared" si="4"/>
        <v>7351</v>
      </c>
    </row>
    <row r="40" spans="1:7">
      <c r="A40" s="1472"/>
      <c r="B40" s="2224" t="s">
        <v>2906</v>
      </c>
      <c r="C40" s="1730"/>
      <c r="D40" s="2220">
        <v>15787</v>
      </c>
      <c r="E40" s="2220">
        <f>D40+C40</f>
        <v>15787</v>
      </c>
      <c r="F40" s="1706"/>
      <c r="G40" s="1707">
        <f t="shared" si="4"/>
        <v>15787</v>
      </c>
    </row>
    <row r="41" spans="1:7" ht="13.5" thickBot="1">
      <c r="A41" s="1473" t="s">
        <v>36</v>
      </c>
      <c r="B41" s="1719"/>
      <c r="C41" s="1720">
        <f>SUM(C36:C40)</f>
        <v>0</v>
      </c>
      <c r="D41" s="1720">
        <f>SUM(D36:D40)</f>
        <v>359206</v>
      </c>
      <c r="E41" s="1720">
        <f>SUM(E36:E40)</f>
        <v>359206</v>
      </c>
      <c r="F41" s="1720">
        <f>SUM(F36:F40)</f>
        <v>5276</v>
      </c>
      <c r="G41" s="1722">
        <f>SUM(G36:G40)</f>
        <v>353930</v>
      </c>
    </row>
    <row r="42" spans="1:7" ht="13.5" thickTop="1">
      <c r="A42" s="1470" t="s">
        <v>3168</v>
      </c>
      <c r="B42" s="1696" t="s">
        <v>610</v>
      </c>
      <c r="C42" s="1702"/>
      <c r="D42" s="2220">
        <v>8261</v>
      </c>
      <c r="E42" s="2220">
        <f t="shared" ref="E42:E47" si="5">D42+C42</f>
        <v>8261</v>
      </c>
      <c r="F42" s="1702"/>
      <c r="G42" s="1707">
        <f t="shared" si="4"/>
        <v>8261</v>
      </c>
    </row>
    <row r="43" spans="1:7">
      <c r="A43" s="1472" t="s">
        <v>33</v>
      </c>
      <c r="B43" s="1696" t="s">
        <v>2901</v>
      </c>
      <c r="C43" s="1706">
        <v>300</v>
      </c>
      <c r="D43" s="2220">
        <v>30605</v>
      </c>
      <c r="E43" s="2220">
        <f t="shared" si="5"/>
        <v>30905</v>
      </c>
      <c r="F43" s="1706"/>
      <c r="G43" s="1707">
        <f t="shared" si="4"/>
        <v>30905</v>
      </c>
    </row>
    <row r="44" spans="1:7">
      <c r="A44" s="1472"/>
      <c r="B44" s="1696" t="s">
        <v>2902</v>
      </c>
      <c r="C44" s="1706"/>
      <c r="D44" s="2220">
        <v>50056</v>
      </c>
      <c r="E44" s="2220">
        <f t="shared" si="5"/>
        <v>50056</v>
      </c>
      <c r="F44" s="1706">
        <v>440</v>
      </c>
      <c r="G44" s="1707">
        <f t="shared" si="4"/>
        <v>49616</v>
      </c>
    </row>
    <row r="45" spans="1:7">
      <c r="A45" s="1472"/>
      <c r="B45" s="1696" t="s">
        <v>2903</v>
      </c>
      <c r="C45" s="1706"/>
      <c r="D45" s="2220">
        <v>4350</v>
      </c>
      <c r="E45" s="2220">
        <f t="shared" si="5"/>
        <v>4350</v>
      </c>
      <c r="F45" s="1706"/>
      <c r="G45" s="1707">
        <f t="shared" si="4"/>
        <v>4350</v>
      </c>
    </row>
    <row r="46" spans="1:7">
      <c r="A46" s="1472"/>
      <c r="B46" s="2224" t="s">
        <v>2904</v>
      </c>
      <c r="C46" s="1730"/>
      <c r="D46" s="2220">
        <v>11587</v>
      </c>
      <c r="E46" s="2220">
        <f t="shared" si="5"/>
        <v>11587</v>
      </c>
      <c r="F46" s="1706">
        <v>450</v>
      </c>
      <c r="G46" s="1707">
        <f t="shared" si="4"/>
        <v>11137</v>
      </c>
    </row>
    <row r="47" spans="1:7">
      <c r="A47" s="1472"/>
      <c r="B47" s="2224" t="s">
        <v>2905</v>
      </c>
      <c r="C47" s="1730"/>
      <c r="D47" s="2220">
        <v>3538</v>
      </c>
      <c r="E47" s="2220">
        <f t="shared" si="5"/>
        <v>3538</v>
      </c>
      <c r="F47" s="1706"/>
      <c r="G47" s="1707">
        <f t="shared" si="4"/>
        <v>3538</v>
      </c>
    </row>
    <row r="48" spans="1:7" ht="13.5" thickBot="1">
      <c r="A48" s="1473" t="s">
        <v>37</v>
      </c>
      <c r="B48" s="1719"/>
      <c r="C48" s="1720">
        <f>SUM(C42:C47)</f>
        <v>300</v>
      </c>
      <c r="D48" s="1720">
        <f>SUM(D42:D47)</f>
        <v>108397</v>
      </c>
      <c r="E48" s="1720">
        <f>SUM(E42:E47)</f>
        <v>108697</v>
      </c>
      <c r="F48" s="1720">
        <f>SUM(F42:F47)</f>
        <v>890</v>
      </c>
      <c r="G48" s="1722">
        <f>SUM(G42:G47)</f>
        <v>107807</v>
      </c>
    </row>
    <row r="49" spans="1:9" ht="13.5" thickTop="1">
      <c r="A49" s="1470" t="s">
        <v>38</v>
      </c>
      <c r="B49" s="1696" t="s">
        <v>608</v>
      </c>
      <c r="C49" s="1702"/>
      <c r="D49" s="2220">
        <v>545</v>
      </c>
      <c r="E49" s="2220">
        <f>D49+C49</f>
        <v>545</v>
      </c>
      <c r="F49" s="1702"/>
      <c r="G49" s="1707">
        <f t="shared" si="4"/>
        <v>545</v>
      </c>
    </row>
    <row r="50" spans="1:9">
      <c r="A50" s="1472" t="s">
        <v>33</v>
      </c>
      <c r="B50" s="1696" t="s">
        <v>2901</v>
      </c>
      <c r="C50" s="1706">
        <v>-3061</v>
      </c>
      <c r="D50" s="2220">
        <v>74247</v>
      </c>
      <c r="E50" s="2220">
        <f>D50+C50</f>
        <v>71186</v>
      </c>
      <c r="F50" s="1706">
        <v>657</v>
      </c>
      <c r="G50" s="1707">
        <f t="shared" si="4"/>
        <v>70529</v>
      </c>
    </row>
    <row r="51" spans="1:9">
      <c r="A51" s="1472"/>
      <c r="B51" s="1696" t="s">
        <v>2902</v>
      </c>
      <c r="C51" s="1706">
        <v>3061</v>
      </c>
      <c r="D51" s="2220">
        <v>101506</v>
      </c>
      <c r="E51" s="2220">
        <f>D51+C51</f>
        <v>104567</v>
      </c>
      <c r="F51" s="1706">
        <v>1632</v>
      </c>
      <c r="G51" s="1707">
        <f t="shared" si="4"/>
        <v>102935</v>
      </c>
    </row>
    <row r="52" spans="1:9">
      <c r="A52" s="1472"/>
      <c r="B52" s="2224" t="s">
        <v>2904</v>
      </c>
      <c r="C52" s="1730"/>
      <c r="D52" s="2220">
        <v>47090</v>
      </c>
      <c r="E52" s="2220">
        <f>D52+C52</f>
        <v>47090</v>
      </c>
      <c r="F52" s="1706">
        <v>1491</v>
      </c>
      <c r="G52" s="1707">
        <f t="shared" si="4"/>
        <v>45599</v>
      </c>
    </row>
    <row r="53" spans="1:9" ht="13.5" thickBot="1">
      <c r="A53" s="1473" t="s">
        <v>39</v>
      </c>
      <c r="B53" s="1720"/>
      <c r="C53" s="1720">
        <f>SUM(C49:C52)</f>
        <v>0</v>
      </c>
      <c r="D53" s="1720">
        <f>SUM(D49:D52)</f>
        <v>223388</v>
      </c>
      <c r="E53" s="1720">
        <f>SUM(E49:E52)</f>
        <v>223388</v>
      </c>
      <c r="F53" s="1720">
        <f>SUM(F49:F52)</f>
        <v>3780</v>
      </c>
      <c r="G53" s="1722">
        <f>SUM(G49:G52)</f>
        <v>219608</v>
      </c>
    </row>
    <row r="54" spans="1:9" ht="14.25" thickTop="1" thickBot="1">
      <c r="A54" s="1882"/>
      <c r="B54" s="1883"/>
      <c r="C54" s="1883"/>
      <c r="D54" s="1883"/>
      <c r="E54" s="1883"/>
      <c r="F54" s="1883"/>
      <c r="G54" s="1884"/>
    </row>
    <row r="55" spans="1:9">
      <c r="A55" s="1364" t="s">
        <v>2024</v>
      </c>
    </row>
    <row r="56" spans="1:9">
      <c r="A56" s="1367" t="s">
        <v>40</v>
      </c>
      <c r="B56" s="1442"/>
      <c r="C56" s="1770"/>
      <c r="D56" s="1442"/>
      <c r="E56" s="1442"/>
      <c r="F56" s="1442"/>
      <c r="G56" s="1442"/>
    </row>
    <row r="57" spans="1:9" ht="14.25" customHeight="1"/>
    <row r="58" spans="1:9">
      <c r="A58" s="2549"/>
      <c r="B58" s="2549"/>
      <c r="C58" s="2550">
        <f>+C17+C25+C29+C35+C41+C48+C53</f>
        <v>1964</v>
      </c>
      <c r="D58" s="2550">
        <f>+D17+D25+D29+D35+D41+D48+D53</f>
        <v>838778</v>
      </c>
      <c r="E58" s="2550">
        <f>+E17+E25+E29+E35+E41+E48+E53</f>
        <v>840742</v>
      </c>
      <c r="F58" s="2550">
        <f>+F17+F25+F29+F35+F41+F48+F53</f>
        <v>29656</v>
      </c>
      <c r="G58" s="2550">
        <f>+G17+G25+G29+G35+G41+G48+G53</f>
        <v>811086</v>
      </c>
      <c r="H58" s="2549" t="str">
        <f>IF(SUM(F58:G58)=E58,"ok","error")</f>
        <v>ok</v>
      </c>
      <c r="I58" s="2549" t="s">
        <v>4906</v>
      </c>
    </row>
    <row r="60" spans="1:9" hidden="1">
      <c r="A60" s="1475" t="s">
        <v>3351</v>
      </c>
      <c r="B60" s="1476"/>
      <c r="C60" s="1477">
        <f>SUM(C17+C25+C29+C35+C41+C48+C53)</f>
        <v>1964</v>
      </c>
      <c r="D60" s="1477">
        <f>SUM(D17+D25+D29+D35+D41+D48+D53)</f>
        <v>838778</v>
      </c>
      <c r="E60" s="1477">
        <f>SUM(E17+E25+E29+E35+E41+E48+E53)</f>
        <v>840742</v>
      </c>
      <c r="F60" s="1477">
        <f>SUM(F17+F25+F29+F35+F41+F48+F53)</f>
        <v>29656</v>
      </c>
      <c r="G60" s="1477">
        <f>SUM(G17+G25+G29+G35+G41+G48+G53)</f>
        <v>811086</v>
      </c>
    </row>
  </sheetData>
  <phoneticPr fontId="0" type="noConversion"/>
  <pageMargins left="0.5" right="0.25" top="0.75" bottom="0.75" header="0.25" footer="0.25"/>
  <pageSetup scale="85"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13"/>
  <dimension ref="A1:I55"/>
  <sheetViews>
    <sheetView zoomScaleNormal="100" workbookViewId="0">
      <pane xSplit="2" ySplit="5" topLeftCell="C6" activePane="bottomRight" state="frozen"/>
      <selection activeCell="S32" sqref="S32"/>
      <selection pane="topRight" activeCell="S32" sqref="S32"/>
      <selection pane="bottomLeft" activeCell="S32" sqref="S32"/>
      <selection pane="bottomRight" activeCell="B48" sqref="B48"/>
    </sheetView>
  </sheetViews>
  <sheetFormatPr defaultRowHeight="12.75"/>
  <cols>
    <col min="1" max="1" width="39.6640625" style="1440" customWidth="1"/>
    <col min="2" max="2" width="7" style="1440" bestFit="1" customWidth="1"/>
    <col min="3" max="3" width="9.77734375" style="1769" customWidth="1"/>
    <col min="4" max="4" width="9.44140625" style="1440" customWidth="1"/>
    <col min="5" max="6" width="10.21875" style="1440" customWidth="1"/>
    <col min="7" max="7" width="10.33203125" style="1440" customWidth="1"/>
    <col min="8" max="16384" width="8.88671875" style="1440"/>
  </cols>
  <sheetData>
    <row r="1" spans="1:7" customFormat="1" ht="15.75" thickBot="1">
      <c r="A1" t="str">
        <f>'Data sheet'!A57</f>
        <v>Annual Report of Veolia Water New York, Inc.                                              Year Ended  December 31, 2023</v>
      </c>
      <c r="C1" s="140"/>
    </row>
    <row r="2" spans="1:7">
      <c r="A2" s="1461"/>
      <c r="B2" s="1462" t="s">
        <v>247</v>
      </c>
      <c r="C2" s="1768" t="s">
        <v>78</v>
      </c>
      <c r="D2" s="1463"/>
      <c r="E2" s="1464"/>
      <c r="F2" s="1694" t="s">
        <v>248</v>
      </c>
      <c r="G2" s="1465"/>
    </row>
    <row r="3" spans="1:7">
      <c r="A3" s="1466" t="s">
        <v>1042</v>
      </c>
      <c r="B3" s="1696" t="s">
        <v>250</v>
      </c>
      <c r="C3" s="1760" t="s">
        <v>1738</v>
      </c>
      <c r="D3" s="1696" t="s">
        <v>79</v>
      </c>
      <c r="E3" s="1546" t="s">
        <v>79</v>
      </c>
      <c r="F3" s="1696" t="s">
        <v>80</v>
      </c>
      <c r="G3" s="1697" t="s">
        <v>249</v>
      </c>
    </row>
    <row r="4" spans="1:7">
      <c r="A4" s="1466" t="s">
        <v>1843</v>
      </c>
      <c r="B4" s="1696" t="s">
        <v>3071</v>
      </c>
      <c r="C4" s="1760" t="s">
        <v>1943</v>
      </c>
      <c r="D4" s="2162">
        <v>44926</v>
      </c>
      <c r="E4" s="2163" t="s">
        <v>5433</v>
      </c>
      <c r="F4" s="1696" t="s">
        <v>81</v>
      </c>
      <c r="G4" s="1698" t="s">
        <v>1588</v>
      </c>
    </row>
    <row r="5" spans="1:7">
      <c r="A5" s="1466" t="s">
        <v>3279</v>
      </c>
      <c r="B5" s="1696" t="s">
        <v>1611</v>
      </c>
      <c r="C5" s="2161" t="s">
        <v>5432</v>
      </c>
      <c r="D5" s="1696" t="s">
        <v>4276</v>
      </c>
      <c r="E5" s="1699" t="s">
        <v>4276</v>
      </c>
      <c r="F5" s="1696" t="s">
        <v>722</v>
      </c>
      <c r="G5" s="1698" t="s">
        <v>723</v>
      </c>
    </row>
    <row r="6" spans="1:7">
      <c r="A6" s="1467" t="s">
        <v>257</v>
      </c>
      <c r="B6" s="1701"/>
      <c r="C6" s="1702"/>
      <c r="D6" s="1702"/>
      <c r="E6" s="1731"/>
      <c r="F6" s="1702"/>
      <c r="G6" s="1703"/>
    </row>
    <row r="7" spans="1:7">
      <c r="A7" s="1468" t="s">
        <v>258</v>
      </c>
      <c r="B7" s="1705"/>
      <c r="C7" s="1706"/>
      <c r="D7" s="1706"/>
      <c r="E7" s="1732"/>
      <c r="F7" s="1706"/>
      <c r="G7" s="1707"/>
    </row>
    <row r="8" spans="1:7">
      <c r="A8" s="1469"/>
      <c r="B8" s="1705"/>
      <c r="C8" s="1706"/>
      <c r="D8" s="1706"/>
      <c r="E8" s="1732"/>
      <c r="F8" s="1706"/>
      <c r="G8" s="1707"/>
    </row>
    <row r="9" spans="1:7">
      <c r="A9" s="1470" t="s">
        <v>41</v>
      </c>
      <c r="B9" s="1696" t="s">
        <v>2901</v>
      </c>
      <c r="C9" s="1706"/>
      <c r="D9" s="2220">
        <v>3201.3999999999996</v>
      </c>
      <c r="E9" s="2220">
        <f>D9+C9</f>
        <v>3201.3999999999996</v>
      </c>
      <c r="F9" s="1706">
        <v>167</v>
      </c>
      <c r="G9" s="1707">
        <f>E9-F9</f>
        <v>3034.3999999999996</v>
      </c>
    </row>
    <row r="10" spans="1:7">
      <c r="A10" s="1471" t="s">
        <v>33</v>
      </c>
      <c r="B10" s="1696" t="s">
        <v>2902</v>
      </c>
      <c r="C10" s="1706"/>
      <c r="D10" s="2220">
        <v>23952</v>
      </c>
      <c r="E10" s="2220">
        <f>D10+C10</f>
        <v>23952</v>
      </c>
      <c r="F10" s="1706"/>
      <c r="G10" s="1707">
        <f>E10-F10</f>
        <v>23952</v>
      </c>
    </row>
    <row r="11" spans="1:7">
      <c r="A11" s="1471"/>
      <c r="B11" s="1696" t="s">
        <v>2904</v>
      </c>
      <c r="C11" s="1706"/>
      <c r="D11" s="2225">
        <v>1411</v>
      </c>
      <c r="E11" s="2220">
        <f>D11+C11</f>
        <v>1411</v>
      </c>
      <c r="F11" s="1706"/>
      <c r="G11" s="1707">
        <f>E11-F11</f>
        <v>1411</v>
      </c>
    </row>
    <row r="12" spans="1:7" ht="13.5" thickBot="1">
      <c r="A12" s="1473" t="s">
        <v>42</v>
      </c>
      <c r="B12" s="1733"/>
      <c r="C12" s="1720">
        <f>SUM(C9:C11)</f>
        <v>0</v>
      </c>
      <c r="D12" s="1720">
        <f>SUM(D9:D11)</f>
        <v>28564.400000000001</v>
      </c>
      <c r="E12" s="1720">
        <f>SUM(E9:E11)</f>
        <v>28564.400000000001</v>
      </c>
      <c r="F12" s="1720">
        <f>SUM(F9:F11)</f>
        <v>167</v>
      </c>
      <c r="G12" s="1722">
        <f>SUM(G9:G11)</f>
        <v>28397.4</v>
      </c>
    </row>
    <row r="13" spans="1:7" ht="13.5" thickTop="1">
      <c r="A13" s="1472" t="s">
        <v>1343</v>
      </c>
      <c r="B13" s="1696" t="s">
        <v>609</v>
      </c>
      <c r="C13" s="1706"/>
      <c r="D13" s="2220">
        <v>166</v>
      </c>
      <c r="E13" s="2220">
        <f t="shared" ref="E13:E18" si="0">D13+C13</f>
        <v>166</v>
      </c>
      <c r="F13" s="1706">
        <v>166</v>
      </c>
      <c r="G13" s="1707">
        <f t="shared" ref="G13:G18" si="1">E13-F13</f>
        <v>0</v>
      </c>
    </row>
    <row r="14" spans="1:7">
      <c r="A14" s="1472" t="s">
        <v>1459</v>
      </c>
      <c r="B14" s="1696" t="s">
        <v>610</v>
      </c>
      <c r="C14" s="1706"/>
      <c r="D14" s="2220">
        <v>410</v>
      </c>
      <c r="E14" s="2220">
        <f t="shared" si="0"/>
        <v>410</v>
      </c>
      <c r="F14" s="1706"/>
      <c r="G14" s="1707">
        <f t="shared" si="1"/>
        <v>410</v>
      </c>
    </row>
    <row r="15" spans="1:7">
      <c r="A15" s="1472"/>
      <c r="B15" s="1696" t="s">
        <v>2901</v>
      </c>
      <c r="C15" s="1706"/>
      <c r="D15" s="2220">
        <v>11009</v>
      </c>
      <c r="E15" s="2220">
        <f t="shared" si="0"/>
        <v>11009</v>
      </c>
      <c r="F15" s="1706"/>
      <c r="G15" s="1707">
        <f t="shared" si="1"/>
        <v>11009</v>
      </c>
    </row>
    <row r="16" spans="1:7">
      <c r="A16" s="1472"/>
      <c r="B16" s="1696" t="s">
        <v>2902</v>
      </c>
      <c r="C16" s="1706">
        <v>357</v>
      </c>
      <c r="D16" s="2220">
        <v>14494</v>
      </c>
      <c r="E16" s="2220">
        <f t="shared" si="0"/>
        <v>14851</v>
      </c>
      <c r="F16" s="1706">
        <v>336</v>
      </c>
      <c r="G16" s="1707">
        <f t="shared" si="1"/>
        <v>14515</v>
      </c>
    </row>
    <row r="17" spans="1:7">
      <c r="A17" s="1472"/>
      <c r="B17" s="1696" t="s">
        <v>2904</v>
      </c>
      <c r="C17" s="1706"/>
      <c r="D17" s="2220">
        <v>17419</v>
      </c>
      <c r="E17" s="2220">
        <f t="shared" si="0"/>
        <v>17419</v>
      </c>
      <c r="F17" s="1706"/>
      <c r="G17" s="1707">
        <f t="shared" si="1"/>
        <v>17419</v>
      </c>
    </row>
    <row r="18" spans="1:7">
      <c r="A18" s="1472"/>
      <c r="B18" s="1696" t="s">
        <v>2905</v>
      </c>
      <c r="C18" s="1706"/>
      <c r="D18" s="2220">
        <v>279</v>
      </c>
      <c r="E18" s="2220">
        <f t="shared" si="0"/>
        <v>279</v>
      </c>
      <c r="F18" s="1706">
        <v>276</v>
      </c>
      <c r="G18" s="1707">
        <f t="shared" si="1"/>
        <v>3</v>
      </c>
    </row>
    <row r="19" spans="1:7" ht="13.5" thickBot="1">
      <c r="A19" s="1885" t="s">
        <v>1343</v>
      </c>
      <c r="B19" s="1719"/>
      <c r="C19" s="1720">
        <f>SUM(C13:C18)</f>
        <v>357</v>
      </c>
      <c r="D19" s="1720">
        <f>SUM(D13:D18)</f>
        <v>43777</v>
      </c>
      <c r="E19" s="1720">
        <f>SUM(E13:E18)</f>
        <v>44134</v>
      </c>
      <c r="F19" s="1720">
        <f>SUM(F13:F18)</f>
        <v>778</v>
      </c>
      <c r="G19" s="1722">
        <f>SUM(G13:G18)</f>
        <v>43356</v>
      </c>
    </row>
    <row r="20" spans="1:7" ht="13.5" thickTop="1">
      <c r="A20" s="1470" t="s">
        <v>1460</v>
      </c>
      <c r="B20" s="1696" t="s">
        <v>2901</v>
      </c>
      <c r="C20" s="1702"/>
      <c r="D20" s="2220">
        <v>7380</v>
      </c>
      <c r="E20" s="2220">
        <f>D20+C20</f>
        <v>7380</v>
      </c>
      <c r="F20" s="1702">
        <v>786</v>
      </c>
      <c r="G20" s="1707">
        <f>E20-F20</f>
        <v>6594</v>
      </c>
    </row>
    <row r="21" spans="1:7">
      <c r="A21" s="1472" t="s">
        <v>1461</v>
      </c>
      <c r="B21" s="1696" t="s">
        <v>2902</v>
      </c>
      <c r="C21" s="1706"/>
      <c r="D21" s="2220">
        <v>37151</v>
      </c>
      <c r="E21" s="2220">
        <f>D21+C21</f>
        <v>37151</v>
      </c>
      <c r="F21" s="1706">
        <v>290</v>
      </c>
      <c r="G21" s="1707">
        <f>E21-F21</f>
        <v>36861</v>
      </c>
    </row>
    <row r="22" spans="1:7">
      <c r="A22" s="1472"/>
      <c r="B22" s="1696" t="s">
        <v>2904</v>
      </c>
      <c r="C22" s="1706"/>
      <c r="D22" s="2220">
        <v>9998</v>
      </c>
      <c r="E22" s="2220">
        <f>D22+C22</f>
        <v>9998</v>
      </c>
      <c r="F22" s="1706"/>
      <c r="G22" s="1707">
        <f>E22-F22</f>
        <v>9998</v>
      </c>
    </row>
    <row r="23" spans="1:7">
      <c r="A23" s="1472"/>
      <c r="B23" s="1696" t="s">
        <v>2906</v>
      </c>
      <c r="C23" s="1706"/>
      <c r="D23" s="2220">
        <v>3740</v>
      </c>
      <c r="E23" s="2220">
        <f>D23+C23</f>
        <v>3740</v>
      </c>
      <c r="F23" s="1706"/>
      <c r="G23" s="1707">
        <f>E23-F23</f>
        <v>3740</v>
      </c>
    </row>
    <row r="24" spans="1:7" ht="13.5" thickBot="1">
      <c r="A24" s="1473" t="s">
        <v>1462</v>
      </c>
      <c r="B24" s="1719"/>
      <c r="C24" s="1720">
        <f>SUM(C20:C23)</f>
        <v>0</v>
      </c>
      <c r="D24" s="1720">
        <f>SUM(D20:D23)</f>
        <v>58269</v>
      </c>
      <c r="E24" s="1720">
        <f>SUM(E20:E23)</f>
        <v>58269</v>
      </c>
      <c r="F24" s="1720">
        <f>SUM(F20:F23)</f>
        <v>1076</v>
      </c>
      <c r="G24" s="1722">
        <f>SUM(G20:G23)</f>
        <v>57193</v>
      </c>
    </row>
    <row r="25" spans="1:7" ht="13.5" thickTop="1">
      <c r="A25" s="1470" t="s">
        <v>1460</v>
      </c>
      <c r="B25" s="1696" t="s">
        <v>2901</v>
      </c>
      <c r="C25" s="1702"/>
      <c r="D25" s="2220">
        <v>10946</v>
      </c>
      <c r="E25" s="2220">
        <f>D25+C25</f>
        <v>10946</v>
      </c>
      <c r="F25" s="1702"/>
      <c r="G25" s="1707">
        <f>E25-F25</f>
        <v>10946</v>
      </c>
    </row>
    <row r="26" spans="1:7">
      <c r="A26" s="1472" t="s">
        <v>33</v>
      </c>
      <c r="B26" s="1696" t="s">
        <v>2902</v>
      </c>
      <c r="C26" s="1706"/>
      <c r="D26" s="2220">
        <v>17312</v>
      </c>
      <c r="E26" s="2220">
        <f>D26+C26</f>
        <v>17312</v>
      </c>
      <c r="F26" s="1706"/>
      <c r="G26" s="1707">
        <f>E26-F26</f>
        <v>17312</v>
      </c>
    </row>
    <row r="27" spans="1:7">
      <c r="A27" s="1472"/>
      <c r="B27" s="1696" t="s">
        <v>2904</v>
      </c>
      <c r="C27" s="1706"/>
      <c r="D27" s="2220">
        <v>3171</v>
      </c>
      <c r="E27" s="2220">
        <f>D27+C27</f>
        <v>3171</v>
      </c>
      <c r="F27" s="1706"/>
      <c r="G27" s="1707">
        <f>E27-F27</f>
        <v>3171</v>
      </c>
    </row>
    <row r="28" spans="1:7">
      <c r="A28" s="1472"/>
      <c r="B28" s="1696" t="s">
        <v>2905</v>
      </c>
      <c r="C28" s="1706"/>
      <c r="D28" s="2220">
        <v>14539</v>
      </c>
      <c r="E28" s="2220">
        <f>D28+C28</f>
        <v>14539</v>
      </c>
      <c r="F28" s="1706"/>
      <c r="G28" s="1707">
        <f>E28-F28</f>
        <v>14539</v>
      </c>
    </row>
    <row r="29" spans="1:7">
      <c r="A29" s="1472"/>
      <c r="B29" s="2224" t="s">
        <v>2906</v>
      </c>
      <c r="C29" s="1730"/>
      <c r="D29" s="2220">
        <v>3279</v>
      </c>
      <c r="E29" s="2220">
        <f>D29+C29</f>
        <v>3279</v>
      </c>
      <c r="F29" s="1706"/>
      <c r="G29" s="1707">
        <f>E29-F29</f>
        <v>3279</v>
      </c>
    </row>
    <row r="30" spans="1:7" ht="13.5" thickBot="1">
      <c r="A30" s="1473" t="s">
        <v>1463</v>
      </c>
      <c r="B30" s="1719"/>
      <c r="C30" s="1720">
        <f>SUM(C25:C29)</f>
        <v>0</v>
      </c>
      <c r="D30" s="1720">
        <f>SUM(D25:D29)</f>
        <v>49247</v>
      </c>
      <c r="E30" s="1720">
        <f>SUM(E25:E29)</f>
        <v>49247</v>
      </c>
      <c r="F30" s="1720">
        <f>SUM(F25:F29)</f>
        <v>0</v>
      </c>
      <c r="G30" s="1722">
        <f>SUM(G25:G29)</f>
        <v>49247</v>
      </c>
    </row>
    <row r="31" spans="1:7" ht="13.5" thickTop="1">
      <c r="A31" s="1470" t="s">
        <v>2888</v>
      </c>
      <c r="B31" s="1696" t="s">
        <v>2901</v>
      </c>
      <c r="C31" s="1702"/>
      <c r="D31" s="2220">
        <v>10666</v>
      </c>
      <c r="E31" s="2220">
        <f>D31+C31</f>
        <v>10666</v>
      </c>
      <c r="F31" s="1702"/>
      <c r="G31" s="1707">
        <f>E31-F31</f>
        <v>10666</v>
      </c>
    </row>
    <row r="32" spans="1:7">
      <c r="A32" s="1472" t="s">
        <v>1464</v>
      </c>
      <c r="B32" s="1696" t="s">
        <v>2902</v>
      </c>
      <c r="C32" s="1706"/>
      <c r="D32" s="2220">
        <v>7976</v>
      </c>
      <c r="E32" s="2220">
        <f>D32+C32</f>
        <v>7976</v>
      </c>
      <c r="F32" s="1706"/>
      <c r="G32" s="1707">
        <f>E32-F32</f>
        <v>7976</v>
      </c>
    </row>
    <row r="33" spans="1:7">
      <c r="A33" s="1472"/>
      <c r="B33" s="1696" t="s">
        <v>2904</v>
      </c>
      <c r="C33" s="1706"/>
      <c r="D33" s="2220">
        <v>6478</v>
      </c>
      <c r="E33" s="2220">
        <f>D33+C33</f>
        <v>6478</v>
      </c>
      <c r="F33" s="1706"/>
      <c r="G33" s="1707">
        <f>E33-F33</f>
        <v>6478</v>
      </c>
    </row>
    <row r="34" spans="1:7">
      <c r="A34" s="1472"/>
      <c r="B34" s="1696" t="s">
        <v>2906</v>
      </c>
      <c r="C34" s="1706"/>
      <c r="D34" s="2220">
        <v>212</v>
      </c>
      <c r="E34" s="2220">
        <f>D34+C34</f>
        <v>212</v>
      </c>
      <c r="F34" s="1706">
        <v>212</v>
      </c>
      <c r="G34" s="1707">
        <f>E34-F34</f>
        <v>0</v>
      </c>
    </row>
    <row r="35" spans="1:7">
      <c r="A35" s="1472"/>
      <c r="B35" s="1696" t="s">
        <v>2907</v>
      </c>
      <c r="C35" s="1706"/>
      <c r="D35" s="2220">
        <v>66</v>
      </c>
      <c r="E35" s="2220">
        <f>D35+C35</f>
        <v>66</v>
      </c>
      <c r="F35" s="1706"/>
      <c r="G35" s="1707">
        <f>E35-F35</f>
        <v>66</v>
      </c>
    </row>
    <row r="36" spans="1:7" ht="13.5" thickBot="1">
      <c r="A36" s="1473" t="s">
        <v>1465</v>
      </c>
      <c r="B36" s="1719"/>
      <c r="C36" s="1720">
        <f>SUM(C31:C35)</f>
        <v>0</v>
      </c>
      <c r="D36" s="1720">
        <f>SUM(D31:D35)</f>
        <v>25398</v>
      </c>
      <c r="E36" s="1720">
        <f>SUM(E31:E35)</f>
        <v>25398</v>
      </c>
      <c r="F36" s="1720">
        <f>SUM(F31:F35)</f>
        <v>212</v>
      </c>
      <c r="G36" s="1722">
        <f>SUM(G31:G35)</f>
        <v>25186</v>
      </c>
    </row>
    <row r="37" spans="1:7" ht="13.5" thickTop="1">
      <c r="A37" s="1470" t="s">
        <v>2888</v>
      </c>
      <c r="B37" s="1696" t="s">
        <v>610</v>
      </c>
      <c r="C37" s="1702"/>
      <c r="D37" s="2220">
        <v>4257</v>
      </c>
      <c r="E37" s="2220">
        <f t="shared" ref="E37:E44" si="2">D37+C37</f>
        <v>4257</v>
      </c>
      <c r="F37" s="1702"/>
      <c r="G37" s="1707">
        <f t="shared" ref="G37:G44" si="3">E37-F37</f>
        <v>4257</v>
      </c>
    </row>
    <row r="38" spans="1:7">
      <c r="A38" s="1472" t="s">
        <v>33</v>
      </c>
      <c r="B38" s="1696" t="s">
        <v>2901</v>
      </c>
      <c r="C38" s="1706">
        <v>-7186</v>
      </c>
      <c r="D38" s="2220">
        <v>103597</v>
      </c>
      <c r="E38" s="2220">
        <f t="shared" si="2"/>
        <v>96411</v>
      </c>
      <c r="F38" s="1706">
        <v>1457</v>
      </c>
      <c r="G38" s="1707">
        <f t="shared" si="3"/>
        <v>94954</v>
      </c>
    </row>
    <row r="39" spans="1:7">
      <c r="A39" s="1472"/>
      <c r="B39" s="1696" t="s">
        <v>2902</v>
      </c>
      <c r="C39" s="1706">
        <v>4805</v>
      </c>
      <c r="D39" s="2220">
        <v>49254</v>
      </c>
      <c r="E39" s="2220">
        <f t="shared" si="2"/>
        <v>54059</v>
      </c>
      <c r="F39" s="1706">
        <f>6587+1110</f>
        <v>7697</v>
      </c>
      <c r="G39" s="1707">
        <f t="shared" si="3"/>
        <v>46362</v>
      </c>
    </row>
    <row r="40" spans="1:7">
      <c r="A40" s="1472"/>
      <c r="B40" s="1696" t="s">
        <v>2904</v>
      </c>
      <c r="C40" s="1706">
        <v>2381</v>
      </c>
      <c r="D40" s="2220">
        <v>38126</v>
      </c>
      <c r="E40" s="2220">
        <f t="shared" si="2"/>
        <v>40507</v>
      </c>
      <c r="F40" s="1706">
        <v>936</v>
      </c>
      <c r="G40" s="1707">
        <f t="shared" si="3"/>
        <v>39571</v>
      </c>
    </row>
    <row r="41" spans="1:7">
      <c r="A41" s="1472"/>
      <c r="B41" s="1696" t="s">
        <v>2905</v>
      </c>
      <c r="C41" s="1706"/>
      <c r="D41" s="2220">
        <v>5844</v>
      </c>
      <c r="E41" s="2220">
        <f t="shared" si="2"/>
        <v>5844</v>
      </c>
      <c r="F41" s="1706"/>
      <c r="G41" s="1707">
        <f t="shared" si="3"/>
        <v>5844</v>
      </c>
    </row>
    <row r="42" spans="1:7">
      <c r="A42" s="1472"/>
      <c r="B42" s="1696" t="s">
        <v>2906</v>
      </c>
      <c r="C42" s="1706"/>
      <c r="D42" s="2220">
        <v>5827</v>
      </c>
      <c r="E42" s="2220">
        <f t="shared" si="2"/>
        <v>5827</v>
      </c>
      <c r="F42" s="1706"/>
      <c r="G42" s="1707">
        <f t="shared" si="3"/>
        <v>5827</v>
      </c>
    </row>
    <row r="43" spans="1:7">
      <c r="A43" s="1472"/>
      <c r="B43" s="1696" t="s">
        <v>2907</v>
      </c>
      <c r="C43" s="1706"/>
      <c r="D43" s="2220">
        <v>2218</v>
      </c>
      <c r="E43" s="2220">
        <f t="shared" si="2"/>
        <v>2218</v>
      </c>
      <c r="F43" s="1706"/>
      <c r="G43" s="1707">
        <f t="shared" si="3"/>
        <v>2218</v>
      </c>
    </row>
    <row r="44" spans="1:7">
      <c r="A44" s="1472"/>
      <c r="B44" s="2224" t="s">
        <v>3352</v>
      </c>
      <c r="C44" s="1730"/>
      <c r="D44" s="2220">
        <v>500</v>
      </c>
      <c r="E44" s="2220">
        <f t="shared" si="2"/>
        <v>500</v>
      </c>
      <c r="F44" s="1706"/>
      <c r="G44" s="1707">
        <f t="shared" si="3"/>
        <v>500</v>
      </c>
    </row>
    <row r="45" spans="1:7" ht="13.5" thickBot="1">
      <c r="A45" s="1473" t="s">
        <v>2275</v>
      </c>
      <c r="B45" s="1719"/>
      <c r="C45" s="1720">
        <f>SUM(C37:C44)</f>
        <v>0</v>
      </c>
      <c r="D45" s="1720">
        <f>SUM(D37:D44)</f>
        <v>209623</v>
      </c>
      <c r="E45" s="1720">
        <f>SUM(E37:E44)</f>
        <v>209623</v>
      </c>
      <c r="F45" s="1720">
        <f>SUM(F37:F44)</f>
        <v>10090</v>
      </c>
      <c r="G45" s="1722">
        <f>SUM(G37:G44)</f>
        <v>199533</v>
      </c>
    </row>
    <row r="46" spans="1:7" ht="13.5" thickTop="1">
      <c r="A46" s="1470" t="s">
        <v>2276</v>
      </c>
      <c r="B46" s="1696" t="s">
        <v>2901</v>
      </c>
      <c r="C46" s="1702"/>
      <c r="D46" s="2220">
        <v>2761</v>
      </c>
      <c r="E46" s="2220">
        <f>D46+C46</f>
        <v>2761</v>
      </c>
      <c r="F46" s="1702"/>
      <c r="G46" s="1707">
        <f>E46-F46</f>
        <v>2761</v>
      </c>
    </row>
    <row r="47" spans="1:7">
      <c r="A47" s="1472" t="s">
        <v>33</v>
      </c>
      <c r="B47" s="1696" t="s">
        <v>2902</v>
      </c>
      <c r="C47" s="1706">
        <v>1085</v>
      </c>
      <c r="D47" s="2220">
        <v>528</v>
      </c>
      <c r="E47" s="2220">
        <f>D47+C47</f>
        <v>1613</v>
      </c>
      <c r="F47" s="1706"/>
      <c r="G47" s="1707">
        <f>E47-F47</f>
        <v>1613</v>
      </c>
    </row>
    <row r="48" spans="1:7">
      <c r="A48" s="1870"/>
      <c r="B48" s="1734" t="s">
        <v>2904</v>
      </c>
      <c r="C48" s="1706"/>
      <c r="D48" s="2220">
        <v>890</v>
      </c>
      <c r="E48" s="2220">
        <f>D48+C48</f>
        <v>890</v>
      </c>
      <c r="F48" s="1706"/>
      <c r="G48" s="1707">
        <f>E48-F48</f>
        <v>890</v>
      </c>
    </row>
    <row r="49" spans="1:9">
      <c r="A49" s="1472"/>
      <c r="B49" s="1696" t="s">
        <v>3352</v>
      </c>
      <c r="C49" s="1706"/>
      <c r="D49" s="2220">
        <v>9340</v>
      </c>
      <c r="E49" s="2220">
        <f>D49+C49</f>
        <v>9340</v>
      </c>
      <c r="F49" s="1706"/>
      <c r="G49" s="1707">
        <f>E49-F49</f>
        <v>9340</v>
      </c>
    </row>
    <row r="50" spans="1:9" ht="13.5" thickBot="1">
      <c r="A50" s="1473" t="s">
        <v>2277</v>
      </c>
      <c r="B50" s="1720"/>
      <c r="C50" s="1720">
        <f>SUM(C46:C49)</f>
        <v>1085</v>
      </c>
      <c r="D50" s="1720">
        <f>SUM(D46:D49)</f>
        <v>13519</v>
      </c>
      <c r="E50" s="1720">
        <f>SUM(E46:E49)</f>
        <v>14604</v>
      </c>
      <c r="F50" s="1720">
        <f>SUM(F46:F49)</f>
        <v>0</v>
      </c>
      <c r="G50" s="1474">
        <f>SUM(G46:G49)</f>
        <v>14604</v>
      </c>
    </row>
    <row r="51" spans="1:9" ht="14.25" thickTop="1" thickBot="1">
      <c r="A51" s="1882"/>
      <c r="B51" s="1883"/>
      <c r="C51" s="1883"/>
      <c r="D51" s="1883"/>
      <c r="E51" s="1883"/>
      <c r="F51" s="1883"/>
      <c r="G51" s="1886"/>
    </row>
    <row r="52" spans="1:9">
      <c r="A52" s="1364" t="s">
        <v>2024</v>
      </c>
    </row>
    <row r="53" spans="1:9">
      <c r="A53" s="1368" t="s">
        <v>2278</v>
      </c>
      <c r="B53" s="1444"/>
      <c r="C53" s="1771"/>
      <c r="D53" s="1444"/>
      <c r="E53" s="1444"/>
      <c r="F53" s="1444"/>
      <c r="G53" s="1444"/>
    </row>
    <row r="55" spans="1:9">
      <c r="A55" s="2549"/>
      <c r="B55" s="2549"/>
      <c r="C55" s="2550">
        <f>+C12+C19+C24+C30+C36+C45+C50</f>
        <v>1442</v>
      </c>
      <c r="D55" s="2550">
        <f>+D12+D19+D24+D30+D36+D45+D50</f>
        <v>428397.4</v>
      </c>
      <c r="E55" s="2550">
        <f>+E12+E19+E24+E30+E36+E45+E50</f>
        <v>429839.4</v>
      </c>
      <c r="F55" s="2550">
        <f>+F12+F19+F24+F30+F36+F45+F50</f>
        <v>12323</v>
      </c>
      <c r="G55" s="2550">
        <f>+G12+G19+G24+G30+G36+G45+G50</f>
        <v>417516.4</v>
      </c>
      <c r="H55" s="2549" t="str">
        <f>IF(SUM(F55:G55)=E55,"ok","error")</f>
        <v>ok</v>
      </c>
      <c r="I55" s="2549" t="s">
        <v>4906</v>
      </c>
    </row>
  </sheetData>
  <phoneticPr fontId="0" type="noConversion"/>
  <pageMargins left="0.5" right="0.25" top="1" bottom="0.75" header="0" footer="0"/>
  <pageSetup scale="84"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I70"/>
  <sheetViews>
    <sheetView zoomScaleNormal="100" workbookViewId="0">
      <pane xSplit="1" ySplit="5" topLeftCell="B44" activePane="bottomRight" state="frozen"/>
      <selection activeCell="S32" sqref="S32"/>
      <selection pane="topRight" activeCell="S32" sqref="S32"/>
      <selection pane="bottomLeft" activeCell="S32" sqref="S32"/>
      <selection pane="bottomRight" activeCell="H55" sqref="H55"/>
    </sheetView>
  </sheetViews>
  <sheetFormatPr defaultRowHeight="12.75"/>
  <cols>
    <col min="1" max="1" width="22.6640625" style="1440" customWidth="1"/>
    <col min="2" max="2" width="9.44140625" style="1440" customWidth="1"/>
    <col min="3" max="3" width="11.109375" style="1769" customWidth="1"/>
    <col min="4" max="4" width="11.6640625" style="1440" customWidth="1"/>
    <col min="5" max="5" width="10.77734375" style="1440" customWidth="1"/>
    <col min="6" max="6" width="9.88671875" style="1440" customWidth="1"/>
    <col min="7" max="7" width="11" style="1440" customWidth="1"/>
    <col min="8" max="8" width="3.77734375" style="1440" customWidth="1"/>
    <col min="9" max="16384" width="8.88671875" style="1440"/>
  </cols>
  <sheetData>
    <row r="1" spans="1:8" customFormat="1" ht="15.75" thickBot="1">
      <c r="A1" t="str">
        <f>'Data sheet'!A53</f>
        <v>Annual Report of Veolia Water New York, Inc.                            Year Ended  December 31, 2023</v>
      </c>
      <c r="C1" s="140"/>
    </row>
    <row r="2" spans="1:8">
      <c r="A2" s="1693"/>
      <c r="B2" s="1462" t="s">
        <v>247</v>
      </c>
      <c r="C2" s="2417" t="s">
        <v>78</v>
      </c>
      <c r="D2" s="1463"/>
      <c r="E2" s="1464"/>
      <c r="F2" s="1694" t="s">
        <v>248</v>
      </c>
      <c r="G2" s="1465"/>
      <c r="H2" s="2414"/>
    </row>
    <row r="3" spans="1:8">
      <c r="A3" s="1695" t="s">
        <v>1042</v>
      </c>
      <c r="B3" s="1696" t="s">
        <v>250</v>
      </c>
      <c r="C3" s="1760" t="s">
        <v>1738</v>
      </c>
      <c r="D3" s="1696" t="s">
        <v>79</v>
      </c>
      <c r="E3" s="1546" t="s">
        <v>79</v>
      </c>
      <c r="F3" s="1696" t="s">
        <v>80</v>
      </c>
      <c r="G3" s="1697" t="s">
        <v>249</v>
      </c>
      <c r="H3" s="2414"/>
    </row>
    <row r="4" spans="1:8">
      <c r="A4" s="1695" t="s">
        <v>1843</v>
      </c>
      <c r="B4" s="1696" t="s">
        <v>3071</v>
      </c>
      <c r="C4" s="1760" t="s">
        <v>1943</v>
      </c>
      <c r="D4" s="2162">
        <v>44926</v>
      </c>
      <c r="E4" s="2163" t="s">
        <v>5433</v>
      </c>
      <c r="F4" s="1696" t="s">
        <v>81</v>
      </c>
      <c r="G4" s="1698" t="s">
        <v>1588</v>
      </c>
      <c r="H4" s="2414"/>
    </row>
    <row r="5" spans="1:8">
      <c r="A5" s="1695" t="s">
        <v>3279</v>
      </c>
      <c r="B5" s="1696" t="s">
        <v>1611</v>
      </c>
      <c r="C5" s="2161" t="s">
        <v>5432</v>
      </c>
      <c r="D5" s="1696" t="s">
        <v>4276</v>
      </c>
      <c r="E5" s="1699" t="s">
        <v>4276</v>
      </c>
      <c r="F5" s="1696" t="s">
        <v>722</v>
      </c>
      <c r="G5" s="1698" t="s">
        <v>723</v>
      </c>
      <c r="H5" s="2414"/>
    </row>
    <row r="6" spans="1:8">
      <c r="A6" s="1700" t="s">
        <v>257</v>
      </c>
      <c r="B6" s="1701"/>
      <c r="C6" s="1702"/>
      <c r="D6" s="1702"/>
      <c r="E6" s="1731"/>
      <c r="F6" s="1702"/>
      <c r="G6" s="1703"/>
      <c r="H6" s="1933"/>
    </row>
    <row r="7" spans="1:8">
      <c r="A7" s="1704" t="s">
        <v>258</v>
      </c>
      <c r="B7" s="1705"/>
      <c r="C7" s="1706"/>
      <c r="D7" s="1706"/>
      <c r="E7" s="1732"/>
      <c r="F7" s="1706"/>
      <c r="G7" s="1707"/>
      <c r="H7" s="1933"/>
    </row>
    <row r="8" spans="1:8">
      <c r="A8" s="2418"/>
      <c r="B8" s="1705"/>
      <c r="C8" s="1706"/>
      <c r="D8" s="1706"/>
      <c r="E8" s="1732"/>
      <c r="F8" s="1706"/>
      <c r="G8" s="1707"/>
      <c r="H8" s="1933"/>
    </row>
    <row r="9" spans="1:8">
      <c r="A9" s="1709" t="s">
        <v>2279</v>
      </c>
      <c r="B9" s="1696" t="s">
        <v>82</v>
      </c>
      <c r="C9" s="1706"/>
      <c r="D9" s="2220">
        <v>1290</v>
      </c>
      <c r="E9" s="2220">
        <f t="shared" ref="E9:E15" si="0">D9+C9</f>
        <v>1290</v>
      </c>
      <c r="F9" s="1706"/>
      <c r="G9" s="1707">
        <f t="shared" ref="G9:G15" si="1">E9-F9</f>
        <v>1290</v>
      </c>
      <c r="H9" s="1933"/>
    </row>
    <row r="10" spans="1:8">
      <c r="A10" s="1715" t="s">
        <v>1464</v>
      </c>
      <c r="B10" s="1696" t="s">
        <v>608</v>
      </c>
      <c r="C10" s="1706"/>
      <c r="D10" s="2220">
        <v>1720</v>
      </c>
      <c r="E10" s="2220">
        <f t="shared" si="0"/>
        <v>1720</v>
      </c>
      <c r="F10" s="1706">
        <v>1035</v>
      </c>
      <c r="G10" s="1707">
        <f t="shared" si="1"/>
        <v>685</v>
      </c>
      <c r="H10" s="1933"/>
    </row>
    <row r="11" spans="1:8">
      <c r="A11" s="1715"/>
      <c r="B11" s="1696" t="s">
        <v>609</v>
      </c>
      <c r="C11" s="1706"/>
      <c r="D11" s="2220">
        <v>662</v>
      </c>
      <c r="E11" s="2220">
        <f t="shared" si="0"/>
        <v>662</v>
      </c>
      <c r="F11" s="1706">
        <v>612</v>
      </c>
      <c r="G11" s="1707">
        <f t="shared" si="1"/>
        <v>50</v>
      </c>
      <c r="H11" s="1933"/>
    </row>
    <row r="12" spans="1:8">
      <c r="A12" s="1715"/>
      <c r="B12" s="1696" t="s">
        <v>610</v>
      </c>
      <c r="C12" s="1706"/>
      <c r="D12" s="2220">
        <v>-3112.25</v>
      </c>
      <c r="E12" s="2220">
        <f t="shared" si="0"/>
        <v>-3112.25</v>
      </c>
      <c r="F12" s="1706">
        <v>196</v>
      </c>
      <c r="G12" s="1707">
        <f t="shared" si="1"/>
        <v>-3308.25</v>
      </c>
      <c r="H12" s="1933"/>
    </row>
    <row r="13" spans="1:8">
      <c r="A13" s="1715"/>
      <c r="B13" s="1696" t="s">
        <v>2901</v>
      </c>
      <c r="C13" s="1706"/>
      <c r="D13" s="2220">
        <v>35260</v>
      </c>
      <c r="E13" s="2220">
        <f t="shared" si="0"/>
        <v>35260</v>
      </c>
      <c r="F13" s="1706"/>
      <c r="G13" s="1707">
        <f t="shared" si="1"/>
        <v>35260</v>
      </c>
      <c r="H13" s="1933"/>
    </row>
    <row r="14" spans="1:8">
      <c r="A14" s="1715"/>
      <c r="B14" s="1696" t="s">
        <v>2902</v>
      </c>
      <c r="C14" s="1706"/>
      <c r="D14" s="2220">
        <v>25462.5</v>
      </c>
      <c r="E14" s="2220">
        <f t="shared" si="0"/>
        <v>25462.5</v>
      </c>
      <c r="F14" s="1706"/>
      <c r="G14" s="1707">
        <f t="shared" si="1"/>
        <v>25462.5</v>
      </c>
      <c r="H14" s="1933"/>
    </row>
    <row r="15" spans="1:8">
      <c r="A15" s="2419"/>
      <c r="B15" s="1696" t="s">
        <v>2904</v>
      </c>
      <c r="C15" s="1706"/>
      <c r="D15" s="2220">
        <v>1624</v>
      </c>
      <c r="E15" s="2220">
        <f t="shared" si="0"/>
        <v>1624</v>
      </c>
      <c r="F15" s="1706"/>
      <c r="G15" s="1707">
        <f t="shared" si="1"/>
        <v>1624</v>
      </c>
      <c r="H15" s="1933"/>
    </row>
    <row r="16" spans="1:8">
      <c r="A16" s="2419"/>
      <c r="B16" s="1696"/>
      <c r="C16" s="1706"/>
      <c r="D16" s="1706"/>
      <c r="E16" s="1646"/>
      <c r="F16" s="1706"/>
      <c r="G16" s="1707"/>
      <c r="H16" s="1933"/>
    </row>
    <row r="17" spans="1:8" ht="13.5" thickBot="1">
      <c r="A17" s="2420" t="s">
        <v>3916</v>
      </c>
      <c r="B17" s="2421"/>
      <c r="C17" s="2422">
        <f>SUM(C9:C16)</f>
        <v>0</v>
      </c>
      <c r="D17" s="2422">
        <f>SUM(D9:D16)</f>
        <v>62906.25</v>
      </c>
      <c r="E17" s="2422">
        <f>SUM(E9:E16)</f>
        <v>62906.25</v>
      </c>
      <c r="F17" s="2422">
        <f>SUM(F9:F16)</f>
        <v>1843</v>
      </c>
      <c r="G17" s="1722">
        <f>SUM(G9:G16)</f>
        <v>61063.25</v>
      </c>
      <c r="H17" s="1933"/>
    </row>
    <row r="18" spans="1:8" ht="13.5" thickTop="1">
      <c r="A18" s="2423"/>
      <c r="B18" s="2424"/>
      <c r="C18" s="1706"/>
      <c r="D18" s="1706"/>
      <c r="E18" s="1706"/>
      <c r="F18" s="1706"/>
      <c r="G18" s="1707"/>
      <c r="H18" s="1933"/>
    </row>
    <row r="19" spans="1:8">
      <c r="A19" s="1715" t="s">
        <v>3917</v>
      </c>
      <c r="B19" s="1696"/>
      <c r="C19" s="1706"/>
      <c r="D19" s="1706"/>
      <c r="E19" s="1646"/>
      <c r="F19" s="1706"/>
      <c r="G19" s="1707"/>
      <c r="H19" s="1933"/>
    </row>
    <row r="20" spans="1:8" ht="13.5" thickBot="1">
      <c r="A20" s="2420" t="s">
        <v>3918</v>
      </c>
      <c r="B20" s="2421"/>
      <c r="C20" s="2422">
        <f>SUM(C18:C19)</f>
        <v>0</v>
      </c>
      <c r="D20" s="2422">
        <f>SUM(D19:D19)</f>
        <v>0</v>
      </c>
      <c r="E20" s="2422">
        <f>SUM(E19:E19)</f>
        <v>0</v>
      </c>
      <c r="F20" s="2422">
        <f>SUM(F19:F19)</f>
        <v>0</v>
      </c>
      <c r="G20" s="2425">
        <f>SUM(G19:G19)</f>
        <v>0</v>
      </c>
      <c r="H20" s="1933"/>
    </row>
    <row r="21" spans="1:8" ht="13.5" thickTop="1">
      <c r="A21" s="2426"/>
      <c r="B21" s="2427"/>
      <c r="C21" s="1714"/>
      <c r="D21" s="2428"/>
      <c r="E21" s="1714"/>
      <c r="F21" s="2428"/>
      <c r="G21" s="1712"/>
      <c r="H21" s="1933"/>
    </row>
    <row r="22" spans="1:8">
      <c r="A22" s="1715" t="s">
        <v>2166</v>
      </c>
      <c r="B22" s="1696" t="s">
        <v>2901</v>
      </c>
      <c r="C22" s="1706">
        <v>-3692</v>
      </c>
      <c r="D22" s="2220">
        <v>45166</v>
      </c>
      <c r="E22" s="2220">
        <f>D22+C22</f>
        <v>41474</v>
      </c>
      <c r="F22" s="1706"/>
      <c r="G22" s="1707">
        <f>E22-F22</f>
        <v>41474</v>
      </c>
      <c r="H22" s="1933"/>
    </row>
    <row r="23" spans="1:8">
      <c r="A23" s="1715" t="s">
        <v>33</v>
      </c>
      <c r="B23" s="1696" t="s">
        <v>2902</v>
      </c>
      <c r="C23" s="1706">
        <v>3692</v>
      </c>
      <c r="D23" s="2220">
        <v>54287</v>
      </c>
      <c r="E23" s="2220">
        <f>D23+C23</f>
        <v>57979</v>
      </c>
      <c r="F23" s="1706"/>
      <c r="G23" s="1707">
        <f>E23-F23</f>
        <v>57979</v>
      </c>
      <c r="H23" s="1933"/>
    </row>
    <row r="24" spans="1:8">
      <c r="A24" s="1715"/>
      <c r="B24" s="1696" t="s">
        <v>2904</v>
      </c>
      <c r="C24" s="1706"/>
      <c r="D24" s="2220">
        <v>51122</v>
      </c>
      <c r="E24" s="2220">
        <f>D24+C24</f>
        <v>51122</v>
      </c>
      <c r="F24" s="1706"/>
      <c r="G24" s="1707">
        <f>E24-F24</f>
        <v>51122</v>
      </c>
      <c r="H24" s="1933"/>
    </row>
    <row r="25" spans="1:8">
      <c r="A25" s="1715"/>
      <c r="B25" s="1696" t="s">
        <v>2905</v>
      </c>
      <c r="C25" s="1706"/>
      <c r="D25" s="2220">
        <v>8613</v>
      </c>
      <c r="E25" s="2220">
        <f>D25+C25</f>
        <v>8613</v>
      </c>
      <c r="F25" s="1706"/>
      <c r="G25" s="1707">
        <f>E25-F25</f>
        <v>8613</v>
      </c>
      <c r="H25" s="1933"/>
    </row>
    <row r="26" spans="1:8">
      <c r="A26" s="1715"/>
      <c r="B26" s="1696" t="s">
        <v>2906</v>
      </c>
      <c r="C26" s="1706"/>
      <c r="D26" s="2220">
        <v>12968</v>
      </c>
      <c r="E26" s="2220">
        <f>D26+C26</f>
        <v>12968</v>
      </c>
      <c r="F26" s="1706"/>
      <c r="G26" s="1707">
        <f>E26-F26</f>
        <v>12968</v>
      </c>
      <c r="H26" s="1933"/>
    </row>
    <row r="27" spans="1:8" ht="13.5" thickBot="1">
      <c r="A27" s="1718" t="s">
        <v>2166</v>
      </c>
      <c r="B27" s="1720"/>
      <c r="C27" s="1720">
        <f>SUM(C22:C26)</f>
        <v>0</v>
      </c>
      <c r="D27" s="1720">
        <f>SUM(D22:D26)</f>
        <v>172156</v>
      </c>
      <c r="E27" s="1720">
        <f>SUM(E22:E26)</f>
        <v>172156</v>
      </c>
      <c r="F27" s="1720">
        <f>SUM(F22:F26)</f>
        <v>0</v>
      </c>
      <c r="G27" s="1722">
        <f>SUM(G22:G26)</f>
        <v>172156</v>
      </c>
      <c r="H27" s="1933"/>
    </row>
    <row r="28" spans="1:8" ht="13.5" thickTop="1">
      <c r="A28" s="2415"/>
      <c r="B28" s="2427"/>
      <c r="C28" s="1706"/>
      <c r="D28" s="1706"/>
      <c r="E28" s="1706"/>
      <c r="F28" s="1706"/>
      <c r="G28" s="1707"/>
      <c r="H28" s="1933"/>
    </row>
    <row r="29" spans="1:8">
      <c r="A29" s="1715" t="s">
        <v>4677</v>
      </c>
      <c r="B29" s="1696" t="s">
        <v>2903</v>
      </c>
      <c r="C29" s="1706"/>
      <c r="D29" s="2220">
        <v>652</v>
      </c>
      <c r="E29" s="2220">
        <f>D29+C29</f>
        <v>652</v>
      </c>
      <c r="F29" s="1706">
        <v>652</v>
      </c>
      <c r="G29" s="1707">
        <f>E29-F29</f>
        <v>0</v>
      </c>
      <c r="H29" s="1933"/>
    </row>
    <row r="30" spans="1:8">
      <c r="A30" s="1715" t="s">
        <v>4384</v>
      </c>
      <c r="B30" s="1696"/>
      <c r="C30" s="1706"/>
      <c r="D30" s="1706"/>
      <c r="E30" s="2220"/>
      <c r="F30" s="1706"/>
      <c r="G30" s="1707"/>
      <c r="H30" s="1933"/>
    </row>
    <row r="31" spans="1:8">
      <c r="A31" s="1715"/>
      <c r="B31" s="1696"/>
      <c r="C31" s="1706"/>
      <c r="D31" s="1706"/>
      <c r="E31" s="1646"/>
      <c r="F31" s="1706"/>
      <c r="G31" s="1707"/>
      <c r="H31" s="1933"/>
    </row>
    <row r="32" spans="1:8" ht="13.5" thickBot="1">
      <c r="A32" s="2420" t="s">
        <v>4385</v>
      </c>
      <c r="B32" s="2421"/>
      <c r="C32" s="2422">
        <f>SUM(C29:C31)</f>
        <v>0</v>
      </c>
      <c r="D32" s="2422">
        <f>SUM(D29:D31)</f>
        <v>652</v>
      </c>
      <c r="E32" s="2422">
        <f>SUM(E29:E31)</f>
        <v>652</v>
      </c>
      <c r="F32" s="2422">
        <f>SUM(F29:F31)</f>
        <v>652</v>
      </c>
      <c r="G32" s="2425">
        <f>SUM(G29:G31)</f>
        <v>0</v>
      </c>
      <c r="H32" s="1933"/>
    </row>
    <row r="33" spans="1:8" ht="13.5" thickTop="1">
      <c r="A33" s="2415"/>
      <c r="B33" s="2429"/>
      <c r="C33" s="1706"/>
      <c r="D33" s="1706"/>
      <c r="E33" s="1706"/>
      <c r="F33" s="1706"/>
      <c r="G33" s="1707"/>
      <c r="H33" s="1933"/>
    </row>
    <row r="34" spans="1:8">
      <c r="A34" s="1715" t="s">
        <v>4382</v>
      </c>
      <c r="B34" s="1696" t="s">
        <v>82</v>
      </c>
      <c r="C34" s="1706"/>
      <c r="D34" s="2220">
        <v>225</v>
      </c>
      <c r="E34" s="2220">
        <f t="shared" ref="E34:E40" si="2">D34+C34</f>
        <v>225</v>
      </c>
      <c r="F34" s="1706">
        <v>225</v>
      </c>
      <c r="G34" s="1707">
        <f t="shared" ref="G34:G40" si="3">E34-F34</f>
        <v>0</v>
      </c>
      <c r="H34" s="1933"/>
    </row>
    <row r="35" spans="1:8">
      <c r="A35" s="1715" t="s">
        <v>4384</v>
      </c>
      <c r="B35" s="1696" t="s">
        <v>608</v>
      </c>
      <c r="C35" s="1706"/>
      <c r="D35" s="1706">
        <v>890</v>
      </c>
      <c r="E35" s="2220">
        <f t="shared" si="2"/>
        <v>890</v>
      </c>
      <c r="F35" s="1706">
        <v>890</v>
      </c>
      <c r="G35" s="1707">
        <f t="shared" si="3"/>
        <v>0</v>
      </c>
      <c r="H35" s="1933"/>
    </row>
    <row r="36" spans="1:8">
      <c r="A36" s="1715"/>
      <c r="B36" s="1696" t="s">
        <v>610</v>
      </c>
      <c r="C36" s="1706"/>
      <c r="D36" s="1706">
        <v>661</v>
      </c>
      <c r="E36" s="2220">
        <f t="shared" si="2"/>
        <v>661</v>
      </c>
      <c r="F36" s="1706">
        <v>553</v>
      </c>
      <c r="G36" s="1707">
        <f t="shared" si="3"/>
        <v>108</v>
      </c>
      <c r="H36" s="1933"/>
    </row>
    <row r="37" spans="1:8">
      <c r="A37" s="1715"/>
      <c r="B37" s="1696" t="s">
        <v>2901</v>
      </c>
      <c r="C37" s="1706"/>
      <c r="D37" s="1706">
        <v>17539</v>
      </c>
      <c r="E37" s="2220">
        <f t="shared" si="2"/>
        <v>17539</v>
      </c>
      <c r="F37" s="1706">
        <v>4407</v>
      </c>
      <c r="G37" s="1707">
        <f t="shared" si="3"/>
        <v>13132</v>
      </c>
      <c r="H37" s="1933"/>
    </row>
    <row r="38" spans="1:8">
      <c r="A38" s="1715"/>
      <c r="B38" s="1696" t="s">
        <v>2902</v>
      </c>
      <c r="C38" s="1706"/>
      <c r="D38" s="1706">
        <v>31657</v>
      </c>
      <c r="E38" s="2220">
        <f t="shared" si="2"/>
        <v>31657</v>
      </c>
      <c r="F38" s="1706">
        <v>14950</v>
      </c>
      <c r="G38" s="1707">
        <f t="shared" si="3"/>
        <v>16707</v>
      </c>
      <c r="H38" s="1933"/>
    </row>
    <row r="39" spans="1:8">
      <c r="A39" s="1715"/>
      <c r="B39" s="1696" t="s">
        <v>2904</v>
      </c>
      <c r="C39" s="1706"/>
      <c r="D39" s="1706">
        <v>27277</v>
      </c>
      <c r="E39" s="2220">
        <f t="shared" si="2"/>
        <v>27277</v>
      </c>
      <c r="F39" s="1706">
        <v>6306</v>
      </c>
      <c r="G39" s="1707">
        <f t="shared" si="3"/>
        <v>20971</v>
      </c>
      <c r="H39" s="1933"/>
    </row>
    <row r="40" spans="1:8">
      <c r="A40" s="1715"/>
      <c r="B40" s="1696" t="s">
        <v>2905</v>
      </c>
      <c r="C40" s="1706"/>
      <c r="D40" s="1706">
        <v>4929</v>
      </c>
      <c r="E40" s="2220">
        <f t="shared" si="2"/>
        <v>4929</v>
      </c>
      <c r="F40" s="1706">
        <v>2956</v>
      </c>
      <c r="G40" s="1707">
        <f t="shared" si="3"/>
        <v>1973</v>
      </c>
      <c r="H40" s="1933"/>
    </row>
    <row r="41" spans="1:8">
      <c r="A41" s="1715"/>
      <c r="B41" s="1696"/>
      <c r="C41" s="1706"/>
      <c r="D41" s="1706"/>
      <c r="E41" s="2220"/>
      <c r="F41" s="1706"/>
      <c r="G41" s="1707"/>
      <c r="H41" s="1933"/>
    </row>
    <row r="42" spans="1:8" ht="13.5" thickBot="1">
      <c r="A42" s="1718" t="s">
        <v>4386</v>
      </c>
      <c r="B42" s="1720"/>
      <c r="C42" s="1720">
        <f>SUM(C34:C41)</f>
        <v>0</v>
      </c>
      <c r="D42" s="1720">
        <f>SUM(D34:D41)</f>
        <v>83178</v>
      </c>
      <c r="E42" s="1720">
        <f>SUM(E34:E41)</f>
        <v>83178</v>
      </c>
      <c r="F42" s="1720">
        <f>SUM(F34:F41)</f>
        <v>30287</v>
      </c>
      <c r="G42" s="1722">
        <f>SUM(G34:G41)</f>
        <v>52891</v>
      </c>
      <c r="H42" s="1933"/>
    </row>
    <row r="43" spans="1:8" ht="13.5" thickTop="1">
      <c r="A43" s="2415"/>
      <c r="B43" s="2430"/>
      <c r="C43" s="1706"/>
      <c r="D43" s="1706"/>
      <c r="E43" s="1706"/>
      <c r="F43" s="1706"/>
      <c r="G43" s="1707"/>
      <c r="H43" s="1933"/>
    </row>
    <row r="44" spans="1:8">
      <c r="A44" s="1660" t="s">
        <v>4758</v>
      </c>
      <c r="B44" s="2431"/>
      <c r="C44" s="1706"/>
      <c r="D44" s="1706"/>
      <c r="E44" s="1706"/>
      <c r="F44" s="1706"/>
      <c r="G44" s="1707"/>
      <c r="H44" s="1933"/>
    </row>
    <row r="45" spans="1:8">
      <c r="A45" s="1660" t="s">
        <v>4759</v>
      </c>
      <c r="B45" s="2431" t="s">
        <v>3379</v>
      </c>
      <c r="C45" s="1706"/>
      <c r="D45" s="1706">
        <v>19627.270406499956</v>
      </c>
      <c r="E45" s="2220">
        <f t="shared" ref="E45:E52" si="4">D45+C45</f>
        <v>19627.270406499956</v>
      </c>
      <c r="F45" s="1706"/>
      <c r="G45" s="1707">
        <f t="shared" ref="G45:G52" si="5">E45-F45</f>
        <v>19627.270406499956</v>
      </c>
      <c r="H45" s="1933"/>
    </row>
    <row r="46" spans="1:8">
      <c r="A46" s="2415"/>
      <c r="B46" s="2431">
        <v>1.5</v>
      </c>
      <c r="C46" s="1706"/>
      <c r="D46" s="1706">
        <v>49.351873398799995</v>
      </c>
      <c r="E46" s="2220">
        <f t="shared" si="4"/>
        <v>49.351873398799995</v>
      </c>
      <c r="F46" s="1706"/>
      <c r="G46" s="1707">
        <f t="shared" si="5"/>
        <v>49.351873398799995</v>
      </c>
      <c r="H46" s="1933"/>
    </row>
    <row r="47" spans="1:8">
      <c r="A47" s="2415"/>
      <c r="B47" s="2431">
        <v>2</v>
      </c>
      <c r="C47" s="1706"/>
      <c r="D47" s="1706">
        <v>8146.3181552280003</v>
      </c>
      <c r="E47" s="2220">
        <f t="shared" si="4"/>
        <v>8146.3181552280003</v>
      </c>
      <c r="F47" s="1706"/>
      <c r="G47" s="1707">
        <f t="shared" si="5"/>
        <v>8146.3181552280003</v>
      </c>
      <c r="H47" s="1933"/>
    </row>
    <row r="48" spans="1:8">
      <c r="A48" s="2415"/>
      <c r="B48" s="2431">
        <v>4</v>
      </c>
      <c r="C48" s="1706"/>
      <c r="D48" s="1706">
        <v>3291.8206152638995</v>
      </c>
      <c r="E48" s="2220">
        <f t="shared" si="4"/>
        <v>3291.8206152638995</v>
      </c>
      <c r="F48" s="1706"/>
      <c r="G48" s="1707">
        <f t="shared" si="5"/>
        <v>3291.8206152638995</v>
      </c>
      <c r="H48" s="1933"/>
    </row>
    <row r="49" spans="1:8">
      <c r="A49" s="2415"/>
      <c r="B49" s="2431">
        <v>6</v>
      </c>
      <c r="C49" s="1706"/>
      <c r="D49" s="1706">
        <v>42720.597980098988</v>
      </c>
      <c r="E49" s="2220">
        <f t="shared" si="4"/>
        <v>42720.597980098988</v>
      </c>
      <c r="F49" s="1706"/>
      <c r="G49" s="1707">
        <f t="shared" si="5"/>
        <v>42720.597980098988</v>
      </c>
      <c r="H49" s="1933"/>
    </row>
    <row r="50" spans="1:8">
      <c r="A50" s="2415"/>
      <c r="B50" s="2431">
        <v>8</v>
      </c>
      <c r="C50" s="1706"/>
      <c r="D50" s="1706">
        <v>20271.761284624001</v>
      </c>
      <c r="E50" s="2220">
        <f t="shared" si="4"/>
        <v>20271.761284624001</v>
      </c>
      <c r="F50" s="1706">
        <f>920+2260</f>
        <v>3180</v>
      </c>
      <c r="G50" s="1707">
        <f t="shared" si="5"/>
        <v>17091.761284624001</v>
      </c>
      <c r="H50" s="1933"/>
    </row>
    <row r="51" spans="1:8">
      <c r="A51" s="2415"/>
      <c r="B51" s="2431">
        <v>10</v>
      </c>
      <c r="C51" s="1706"/>
      <c r="D51" s="1706">
        <v>190</v>
      </c>
      <c r="E51" s="2220">
        <f t="shared" si="4"/>
        <v>190</v>
      </c>
      <c r="F51" s="1706">
        <v>190</v>
      </c>
      <c r="G51" s="1707">
        <f t="shared" si="5"/>
        <v>0</v>
      </c>
      <c r="H51" s="1933"/>
    </row>
    <row r="52" spans="1:8">
      <c r="A52" s="2415"/>
      <c r="B52" s="2431">
        <v>12</v>
      </c>
      <c r="C52" s="1706"/>
      <c r="D52" s="1706">
        <v>298.15132101400002</v>
      </c>
      <c r="E52" s="2220">
        <f t="shared" si="4"/>
        <v>298.15132101400002</v>
      </c>
      <c r="F52" s="1706">
        <v>298</v>
      </c>
      <c r="G52" s="1707">
        <f t="shared" si="5"/>
        <v>0.15132101400001829</v>
      </c>
      <c r="H52" s="1933"/>
    </row>
    <row r="53" spans="1:8">
      <c r="A53" s="2415"/>
      <c r="B53" s="2432"/>
      <c r="C53" s="1706"/>
      <c r="D53" s="1706"/>
      <c r="E53" s="1706"/>
      <c r="F53" s="1706"/>
      <c r="G53" s="1707"/>
      <c r="H53" s="1933"/>
    </row>
    <row r="54" spans="1:8" ht="13.5" thickBot="1">
      <c r="A54" s="1718" t="s">
        <v>4760</v>
      </c>
      <c r="B54" s="1720"/>
      <c r="C54" s="1720">
        <f>SUM(C45:C53)</f>
        <v>0</v>
      </c>
      <c r="D54" s="1720">
        <f>SUM(D45:D53)</f>
        <v>94595.271636127625</v>
      </c>
      <c r="E54" s="1720">
        <f>SUM(E45:E53)</f>
        <v>94595.271636127625</v>
      </c>
      <c r="F54" s="1720">
        <f>SUM(F45:F53)</f>
        <v>3668</v>
      </c>
      <c r="G54" s="1722">
        <f>SUM(G45:G53)</f>
        <v>90927.271636127625</v>
      </c>
      <c r="H54" s="1933"/>
    </row>
    <row r="55" spans="1:8" ht="13.5" thickTop="1">
      <c r="A55" s="2415"/>
      <c r="B55" s="2431"/>
      <c r="C55" s="1706"/>
      <c r="D55" s="1706"/>
      <c r="E55" s="1706"/>
      <c r="F55" s="1706"/>
      <c r="G55" s="1707"/>
      <c r="H55" s="1933"/>
    </row>
    <row r="56" spans="1:8">
      <c r="A56" s="1660" t="s">
        <v>4869</v>
      </c>
      <c r="B56" s="2431">
        <v>4</v>
      </c>
      <c r="C56" s="1706"/>
      <c r="D56" s="1706">
        <v>41886</v>
      </c>
      <c r="E56" s="2220">
        <f>D56+C56</f>
        <v>41886</v>
      </c>
      <c r="F56" s="1706">
        <v>41886</v>
      </c>
      <c r="G56" s="1707">
        <f>E56-F56</f>
        <v>0</v>
      </c>
      <c r="H56" s="1933"/>
    </row>
    <row r="57" spans="1:8">
      <c r="A57" s="1660"/>
      <c r="B57" s="2431">
        <v>6</v>
      </c>
      <c r="C57" s="1706"/>
      <c r="D57" s="1706">
        <v>36828</v>
      </c>
      <c r="E57" s="2220">
        <f>D57+C57</f>
        <v>36828</v>
      </c>
      <c r="F57" s="1706">
        <v>36828</v>
      </c>
      <c r="G57" s="1707">
        <f>E57-F57</f>
        <v>0</v>
      </c>
      <c r="H57" s="1933"/>
    </row>
    <row r="58" spans="1:8">
      <c r="A58" s="2415"/>
      <c r="B58" s="2431">
        <v>8</v>
      </c>
      <c r="C58" s="1706"/>
      <c r="D58" s="1706">
        <v>49788</v>
      </c>
      <c r="E58" s="2220">
        <f>D58+C58</f>
        <v>49788</v>
      </c>
      <c r="F58" s="1706">
        <v>49788</v>
      </c>
      <c r="G58" s="1707">
        <f>E58-F58</f>
        <v>0</v>
      </c>
      <c r="H58" s="1933"/>
    </row>
    <row r="59" spans="1:8">
      <c r="A59" s="2415"/>
      <c r="B59" s="2431">
        <v>12</v>
      </c>
      <c r="C59" s="1706"/>
      <c r="D59" s="1706">
        <v>20891</v>
      </c>
      <c r="E59" s="2220">
        <f>D59+C59</f>
        <v>20891</v>
      </c>
      <c r="F59" s="1706">
        <v>20891</v>
      </c>
      <c r="G59" s="1707">
        <f>E59-F59</f>
        <v>0</v>
      </c>
      <c r="H59" s="1933"/>
    </row>
    <row r="60" spans="1:8">
      <c r="A60" s="2415"/>
      <c r="B60" s="2431">
        <v>14</v>
      </c>
      <c r="C60" s="1706"/>
      <c r="D60" s="1706">
        <v>2450</v>
      </c>
      <c r="E60" s="2220">
        <f>D60+C60</f>
        <v>2450</v>
      </c>
      <c r="F60" s="1706">
        <v>2450</v>
      </c>
      <c r="G60" s="1707">
        <f>E60-F60</f>
        <v>0</v>
      </c>
      <c r="H60" s="1933"/>
    </row>
    <row r="61" spans="1:8">
      <c r="A61" s="2415"/>
      <c r="B61" s="2431"/>
      <c r="C61" s="1706"/>
      <c r="D61" s="1706"/>
      <c r="E61" s="1706"/>
      <c r="F61" s="1706"/>
      <c r="G61" s="1707"/>
      <c r="H61" s="1933"/>
    </row>
    <row r="62" spans="1:8" ht="13.5" thickBot="1">
      <c r="A62" s="1718" t="s">
        <v>4898</v>
      </c>
      <c r="B62" s="1720"/>
      <c r="C62" s="1720">
        <f>SUM(C56:C61)</f>
        <v>0</v>
      </c>
      <c r="D62" s="1720">
        <f>SUM(D56:D61)</f>
        <v>151843</v>
      </c>
      <c r="E62" s="1720">
        <f>SUM(E56:E61)</f>
        <v>151843</v>
      </c>
      <c r="F62" s="1720">
        <f>SUM(F56:F61)</f>
        <v>151843</v>
      </c>
      <c r="G62" s="1722">
        <f>SUM(G56:G61)</f>
        <v>0</v>
      </c>
      <c r="H62" s="1933"/>
    </row>
    <row r="63" spans="1:8" ht="14.25" thickTop="1" thickBot="1">
      <c r="A63" s="1882"/>
      <c r="B63" s="1883"/>
      <c r="C63" s="1883"/>
      <c r="D63" s="1883"/>
      <c r="E63" s="1883"/>
      <c r="F63" s="1883"/>
      <c r="G63" s="1886"/>
    </row>
    <row r="64" spans="1:8">
      <c r="A64" s="1729" t="s">
        <v>2024</v>
      </c>
      <c r="C64" s="1714"/>
      <c r="D64" s="2437"/>
      <c r="E64" s="2437"/>
      <c r="F64" s="2437"/>
      <c r="G64" s="2437"/>
      <c r="H64" s="1933"/>
    </row>
    <row r="65" spans="1:9">
      <c r="A65" s="2438"/>
      <c r="B65" s="1714"/>
      <c r="C65" s="1714"/>
      <c r="D65" s="1368" t="s">
        <v>3920</v>
      </c>
      <c r="E65" s="1714"/>
      <c r="F65" s="1714"/>
      <c r="G65" s="1714"/>
      <c r="H65" s="1933"/>
    </row>
    <row r="66" spans="1:9">
      <c r="D66" s="1769"/>
      <c r="E66" s="1769"/>
    </row>
    <row r="67" spans="1:9">
      <c r="A67" s="2549"/>
      <c r="B67" s="2549"/>
      <c r="C67" s="2548">
        <f>+C17+C20+C27+C32+C42+C54+C62</f>
        <v>0</v>
      </c>
      <c r="D67" s="2548">
        <f>+D17+D20+D27+D32+D42+D54+D62</f>
        <v>565330.52163612761</v>
      </c>
      <c r="E67" s="2548">
        <f>+E17+E20+E27+E32+E42+E54+E62</f>
        <v>565330.52163612761</v>
      </c>
      <c r="F67" s="2548">
        <f>+F17+F20+F27+F32+F42+F54+F62</f>
        <v>188293</v>
      </c>
      <c r="G67" s="2548">
        <f>+G17+G20+G27+G32+G42+G54+G62</f>
        <v>377037.52163612761</v>
      </c>
      <c r="H67" s="2549" t="str">
        <f>IF(SUM(F67:G67)=E67,"ok","error")</f>
        <v>ok</v>
      </c>
      <c r="I67" s="2549" t="s">
        <v>4906</v>
      </c>
    </row>
    <row r="68" spans="1:9">
      <c r="A68" s="2549"/>
      <c r="B68" s="2549"/>
      <c r="C68" s="2548">
        <f>+'408a'!C45+'408b'!C48+'408c'!C58+'408d'!C55+'408e'!C67</f>
        <v>10033</v>
      </c>
      <c r="D68" s="2548">
        <f>+'408a'!D45+'408b'!D48+'408c'!D58+'408d'!D55+'408e'!D67</f>
        <v>5852603.3216361282</v>
      </c>
      <c r="E68" s="2548">
        <f>+'408a'!E45+'408b'!E48+'408c'!E58+'408d'!E55+'408e'!E67</f>
        <v>5862636.3216361282</v>
      </c>
      <c r="F68" s="2548">
        <f>+'408a'!F45+'408b'!F48+'408c'!F58+'408d'!F55+'408e'!F67</f>
        <v>327504</v>
      </c>
      <c r="G68" s="2548">
        <f>+'408a'!G45+'408b'!G48+'408c'!G58+'408d'!G55+'408e'!G67</f>
        <v>5535132.3216361282</v>
      </c>
      <c r="H68" s="2549" t="str">
        <f>IF(SUM(F68:G68)=E68,"ok","error")</f>
        <v>ok</v>
      </c>
      <c r="I68" s="2549" t="s">
        <v>4957</v>
      </c>
    </row>
    <row r="69" spans="1:9">
      <c r="D69" s="1769"/>
      <c r="E69" s="1769"/>
      <c r="F69" s="1769"/>
      <c r="G69" s="1769"/>
    </row>
    <row r="70" spans="1:9">
      <c r="D70" s="1769"/>
      <c r="E70" s="1769"/>
      <c r="F70" s="1769"/>
      <c r="G70" s="1769"/>
    </row>
  </sheetData>
  <pageMargins left="0.5" right="0.25" top="0.75" bottom="0.5" header="0.5" footer="0.5"/>
  <pageSetup scale="83"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K85"/>
  <sheetViews>
    <sheetView zoomScaleNormal="100" workbookViewId="0">
      <pane xSplit="1" ySplit="5" topLeftCell="B38" activePane="bottomRight" state="frozen"/>
      <selection activeCell="S32" sqref="S32"/>
      <selection pane="topRight" activeCell="S32" sqref="S32"/>
      <selection pane="bottomLeft" activeCell="S32" sqref="S32"/>
      <selection pane="bottomRight" activeCell="I10" sqref="I10:L10"/>
    </sheetView>
  </sheetViews>
  <sheetFormatPr defaultRowHeight="12.75"/>
  <cols>
    <col min="1" max="1" width="24.88671875" style="1440" customWidth="1"/>
    <col min="2" max="2" width="9.44140625" style="1440" customWidth="1"/>
    <col min="3" max="3" width="11.109375" style="1769" customWidth="1"/>
    <col min="4" max="4" width="11.6640625" style="1440" customWidth="1"/>
    <col min="5" max="5" width="10.77734375" style="1440" customWidth="1"/>
    <col min="6" max="6" width="9.88671875" style="1440" customWidth="1"/>
    <col min="7" max="7" width="11" style="1440" customWidth="1"/>
    <col min="8" max="8" width="3.77734375" style="1440" customWidth="1"/>
    <col min="9" max="16384" width="8.88671875" style="1440"/>
  </cols>
  <sheetData>
    <row r="1" spans="1:8" customFormat="1" ht="15.75" thickBot="1">
      <c r="A1" t="str">
        <f>'Data sheet'!A57</f>
        <v>Annual Report of Veolia Water New York, Inc.                                              Year Ended  December 31, 2023</v>
      </c>
      <c r="C1" s="140"/>
    </row>
    <row r="2" spans="1:8">
      <c r="A2" s="1693"/>
      <c r="B2" s="1462" t="s">
        <v>247</v>
      </c>
      <c r="C2" s="2417" t="s">
        <v>78</v>
      </c>
      <c r="D2" s="1463"/>
      <c r="E2" s="1464"/>
      <c r="F2" s="1694" t="s">
        <v>248</v>
      </c>
      <c r="G2" s="1465"/>
      <c r="H2" s="2414"/>
    </row>
    <row r="3" spans="1:8">
      <c r="A3" s="1695" t="s">
        <v>1042</v>
      </c>
      <c r="B3" s="1696" t="s">
        <v>250</v>
      </c>
      <c r="C3" s="1760" t="s">
        <v>1738</v>
      </c>
      <c r="D3" s="1696" t="s">
        <v>79</v>
      </c>
      <c r="E3" s="1546" t="s">
        <v>79</v>
      </c>
      <c r="F3" s="1696" t="s">
        <v>80</v>
      </c>
      <c r="G3" s="1697" t="s">
        <v>249</v>
      </c>
      <c r="H3" s="2414"/>
    </row>
    <row r="4" spans="1:8">
      <c r="A4" s="1695" t="s">
        <v>1843</v>
      </c>
      <c r="B4" s="1696" t="s">
        <v>3071</v>
      </c>
      <c r="C4" s="1760" t="s">
        <v>1943</v>
      </c>
      <c r="D4" s="2162">
        <v>44926</v>
      </c>
      <c r="E4" s="2163" t="s">
        <v>5433</v>
      </c>
      <c r="F4" s="1696" t="s">
        <v>81</v>
      </c>
      <c r="G4" s="1698" t="s">
        <v>1588</v>
      </c>
      <c r="H4" s="2414"/>
    </row>
    <row r="5" spans="1:8">
      <c r="A5" s="1695" t="s">
        <v>3279</v>
      </c>
      <c r="B5" s="1696" t="s">
        <v>1611</v>
      </c>
      <c r="C5" s="2161" t="s">
        <v>5432</v>
      </c>
      <c r="D5" s="1696" t="s">
        <v>4276</v>
      </c>
      <c r="E5" s="1699" t="s">
        <v>4276</v>
      </c>
      <c r="F5" s="1696" t="s">
        <v>722</v>
      </c>
      <c r="G5" s="1698" t="s">
        <v>723</v>
      </c>
      <c r="H5" s="2414"/>
    </row>
    <row r="6" spans="1:8">
      <c r="A6" s="1700" t="s">
        <v>257</v>
      </c>
      <c r="B6" s="1701"/>
      <c r="C6" s="1702"/>
      <c r="D6" s="1702"/>
      <c r="E6" s="1731"/>
      <c r="F6" s="1702"/>
      <c r="G6" s="1703"/>
      <c r="H6" s="1933"/>
    </row>
    <row r="7" spans="1:8">
      <c r="A7" s="1704" t="s">
        <v>258</v>
      </c>
      <c r="B7" s="1705"/>
      <c r="C7" s="1706"/>
      <c r="D7" s="1706"/>
      <c r="E7" s="1732"/>
      <c r="F7" s="1706"/>
      <c r="G7" s="1707"/>
      <c r="H7" s="1933"/>
    </row>
    <row r="8" spans="1:8">
      <c r="A8" s="2418"/>
      <c r="B8" s="1705"/>
      <c r="C8" s="1706"/>
      <c r="D8" s="1706"/>
      <c r="E8" s="1732"/>
      <c r="F8" s="1706"/>
      <c r="G8" s="1707"/>
      <c r="H8" s="1933"/>
    </row>
    <row r="9" spans="1:8">
      <c r="A9" s="1709" t="s">
        <v>4899</v>
      </c>
      <c r="B9" s="1696" t="s">
        <v>32</v>
      </c>
      <c r="C9" s="1706"/>
      <c r="D9" s="2220"/>
      <c r="E9" s="2220"/>
      <c r="F9" s="1706"/>
      <c r="G9" s="1707"/>
      <c r="H9" s="1933"/>
    </row>
    <row r="10" spans="1:8">
      <c r="A10" s="1715"/>
      <c r="B10" s="1696" t="s">
        <v>505</v>
      </c>
      <c r="C10" s="1706"/>
      <c r="D10" s="2220">
        <v>86</v>
      </c>
      <c r="E10" s="2220">
        <f t="shared" ref="E10:E17" si="0">D10+C10</f>
        <v>86</v>
      </c>
      <c r="F10" s="1706"/>
      <c r="G10" s="1707">
        <f t="shared" ref="G10:G17" si="1">E10-F10</f>
        <v>86</v>
      </c>
      <c r="H10" s="1933"/>
    </row>
    <row r="11" spans="1:8">
      <c r="A11" s="1715"/>
      <c r="B11" s="1696" t="s">
        <v>608</v>
      </c>
      <c r="C11" s="1706"/>
      <c r="D11" s="2220">
        <v>5069</v>
      </c>
      <c r="E11" s="2220">
        <f t="shared" si="0"/>
        <v>5069</v>
      </c>
      <c r="F11" s="1706"/>
      <c r="G11" s="1707">
        <f t="shared" si="1"/>
        <v>5069</v>
      </c>
      <c r="H11" s="1933"/>
    </row>
    <row r="12" spans="1:8">
      <c r="A12" s="1715"/>
      <c r="B12" s="1696" t="s">
        <v>609</v>
      </c>
      <c r="C12" s="1706"/>
      <c r="D12" s="2220">
        <v>609</v>
      </c>
      <c r="E12" s="2220">
        <f t="shared" si="0"/>
        <v>609</v>
      </c>
      <c r="F12" s="1706"/>
      <c r="G12" s="1707">
        <f t="shared" si="1"/>
        <v>609</v>
      </c>
      <c r="H12" s="1933"/>
    </row>
    <row r="13" spans="1:8">
      <c r="A13" s="1715"/>
      <c r="B13" s="1696" t="s">
        <v>610</v>
      </c>
      <c r="C13" s="1706"/>
      <c r="D13" s="2220">
        <v>2147</v>
      </c>
      <c r="E13" s="2220">
        <f t="shared" si="0"/>
        <v>2147</v>
      </c>
      <c r="F13" s="1706"/>
      <c r="G13" s="1707">
        <f t="shared" si="1"/>
        <v>2147</v>
      </c>
      <c r="H13" s="1933"/>
    </row>
    <row r="14" spans="1:8">
      <c r="A14" s="1715"/>
      <c r="B14" s="1696" t="s">
        <v>2901</v>
      </c>
      <c r="C14" s="1706">
        <v>680</v>
      </c>
      <c r="D14" s="2220">
        <v>46631</v>
      </c>
      <c r="E14" s="2220">
        <f t="shared" si="0"/>
        <v>47311</v>
      </c>
      <c r="F14" s="1706">
        <v>1400</v>
      </c>
      <c r="G14" s="1707">
        <f t="shared" si="1"/>
        <v>45911</v>
      </c>
      <c r="H14" s="1933"/>
    </row>
    <row r="15" spans="1:8">
      <c r="A15" s="2419"/>
      <c r="B15" s="1696" t="s">
        <v>2902</v>
      </c>
      <c r="C15" s="1706">
        <v>875</v>
      </c>
      <c r="D15" s="2220">
        <v>43358</v>
      </c>
      <c r="E15" s="2220">
        <f t="shared" si="0"/>
        <v>44233</v>
      </c>
      <c r="F15" s="1706">
        <v>1565</v>
      </c>
      <c r="G15" s="1707">
        <f t="shared" si="1"/>
        <v>42668</v>
      </c>
      <c r="H15" s="1933"/>
    </row>
    <row r="16" spans="1:8">
      <c r="A16" s="2419"/>
      <c r="B16" s="1696" t="s">
        <v>2903</v>
      </c>
      <c r="C16" s="1706"/>
      <c r="D16" s="2225">
        <v>0</v>
      </c>
      <c r="E16" s="2220">
        <f t="shared" si="0"/>
        <v>0</v>
      </c>
      <c r="F16" s="1706"/>
      <c r="G16" s="1707">
        <f t="shared" si="1"/>
        <v>0</v>
      </c>
      <c r="H16" s="1933"/>
    </row>
    <row r="17" spans="1:8">
      <c r="A17" s="2419"/>
      <c r="B17" s="1696" t="s">
        <v>2904</v>
      </c>
      <c r="C17" s="1706">
        <v>1750</v>
      </c>
      <c r="D17" s="2225">
        <v>16401</v>
      </c>
      <c r="E17" s="2220">
        <f t="shared" si="0"/>
        <v>18151</v>
      </c>
      <c r="F17" s="1706">
        <v>1550</v>
      </c>
      <c r="G17" s="1707">
        <f t="shared" si="1"/>
        <v>16601</v>
      </c>
      <c r="H17" s="1933"/>
    </row>
    <row r="18" spans="1:8">
      <c r="A18" s="2419"/>
      <c r="B18" s="1696"/>
      <c r="C18" s="1706"/>
      <c r="D18" s="1706"/>
      <c r="E18" s="1646"/>
      <c r="F18" s="1706"/>
      <c r="G18" s="1707"/>
      <c r="H18" s="1933"/>
    </row>
    <row r="19" spans="1:8" ht="13.5" thickBot="1">
      <c r="A19" s="2420" t="s">
        <v>4900</v>
      </c>
      <c r="B19" s="2421"/>
      <c r="C19" s="2422">
        <f>SUM(C9:C18)</f>
        <v>3305</v>
      </c>
      <c r="D19" s="2422">
        <f>SUM(D9:D18)</f>
        <v>114301</v>
      </c>
      <c r="E19" s="2422">
        <f>SUM(E9:E18)</f>
        <v>117606</v>
      </c>
      <c r="F19" s="2422">
        <f>SUM(F9:F18)</f>
        <v>4515</v>
      </c>
      <c r="G19" s="1722">
        <f>SUM(G9:G18)</f>
        <v>113091</v>
      </c>
      <c r="H19" s="1933"/>
    </row>
    <row r="20" spans="1:8" ht="13.5" thickTop="1">
      <c r="A20" s="2423"/>
      <c r="B20" s="2424"/>
      <c r="C20" s="1706"/>
      <c r="D20" s="1706"/>
      <c r="E20" s="1706"/>
      <c r="F20" s="1706"/>
      <c r="G20" s="1707"/>
      <c r="H20" s="1933"/>
    </row>
    <row r="21" spans="1:8">
      <c r="A21" s="1715" t="s">
        <v>4901</v>
      </c>
      <c r="B21" s="1696"/>
      <c r="C21" s="1706"/>
      <c r="D21" s="1706">
        <v>7087</v>
      </c>
      <c r="E21" s="2220">
        <f>D21+C21</f>
        <v>7087</v>
      </c>
      <c r="F21" s="1706"/>
      <c r="G21" s="1707">
        <f>E21-F21</f>
        <v>7087</v>
      </c>
      <c r="H21" s="1933"/>
    </row>
    <row r="22" spans="1:8" ht="13.5" thickBot="1">
      <c r="A22" s="2420" t="s">
        <v>4902</v>
      </c>
      <c r="B22" s="2421"/>
      <c r="C22" s="2422">
        <f>SUM(C20:C21)</f>
        <v>0</v>
      </c>
      <c r="D22" s="2422">
        <f>SUM(D21:D21)</f>
        <v>7087</v>
      </c>
      <c r="E22" s="2422">
        <f>SUM(E21:E21)</f>
        <v>7087</v>
      </c>
      <c r="F22" s="2422">
        <f>SUM(F21:F21)</f>
        <v>0</v>
      </c>
      <c r="G22" s="2425">
        <f>SUM(G21:G21)</f>
        <v>7087</v>
      </c>
      <c r="H22" s="1933"/>
    </row>
    <row r="23" spans="1:8" ht="13.5" thickTop="1">
      <c r="A23" s="2426"/>
      <c r="B23" s="2427"/>
      <c r="C23" s="1714"/>
      <c r="D23" s="2428"/>
      <c r="E23" s="1714"/>
      <c r="F23" s="2428"/>
      <c r="G23" s="1712"/>
      <c r="H23" s="1933"/>
    </row>
    <row r="24" spans="1:8">
      <c r="A24" s="1715" t="s">
        <v>4903</v>
      </c>
      <c r="B24" s="1696" t="s">
        <v>32</v>
      </c>
      <c r="C24" s="1706"/>
      <c r="D24" s="2220">
        <v>157</v>
      </c>
      <c r="E24" s="2220">
        <f>D24+C24</f>
        <v>157</v>
      </c>
      <c r="F24" s="1706"/>
      <c r="G24" s="1707">
        <f>E24-F24</f>
        <v>157</v>
      </c>
      <c r="H24" s="1933"/>
    </row>
    <row r="25" spans="1:8">
      <c r="A25" s="1715"/>
      <c r="B25" s="1696" t="s">
        <v>610</v>
      </c>
      <c r="C25" s="1706"/>
      <c r="D25" s="2220">
        <v>10016</v>
      </c>
      <c r="E25" s="2220">
        <f>D25+C25</f>
        <v>10016</v>
      </c>
      <c r="F25" s="1706"/>
      <c r="G25" s="1707">
        <f>E25-F25</f>
        <v>10016</v>
      </c>
      <c r="H25" s="1933"/>
    </row>
    <row r="26" spans="1:8">
      <c r="A26" s="1715"/>
      <c r="B26" s="1696" t="s">
        <v>2901</v>
      </c>
      <c r="C26" s="1706"/>
      <c r="D26" s="2220">
        <v>3507</v>
      </c>
      <c r="E26" s="2220">
        <f>D26+C26</f>
        <v>3507</v>
      </c>
      <c r="F26" s="1706"/>
      <c r="G26" s="1707">
        <f>E26-F26</f>
        <v>3507</v>
      </c>
      <c r="H26" s="1933"/>
    </row>
    <row r="27" spans="1:8">
      <c r="A27" s="1715"/>
      <c r="B27" s="1696" t="s">
        <v>2902</v>
      </c>
      <c r="C27" s="1706"/>
      <c r="D27" s="2220">
        <v>4101</v>
      </c>
      <c r="E27" s="2220">
        <f>D27+C27</f>
        <v>4101</v>
      </c>
      <c r="F27" s="1706"/>
      <c r="G27" s="1707">
        <f>E27-F27</f>
        <v>4101</v>
      </c>
      <c r="H27" s="1933"/>
    </row>
    <row r="28" spans="1:8">
      <c r="A28" s="1715"/>
      <c r="B28" s="1696"/>
      <c r="C28" s="1706"/>
      <c r="D28" s="2220"/>
      <c r="E28" s="2220"/>
      <c r="F28" s="1706"/>
      <c r="G28" s="1707"/>
      <c r="H28" s="1933"/>
    </row>
    <row r="29" spans="1:8" ht="13.5" thickBot="1">
      <c r="A29" s="1718" t="s">
        <v>4903</v>
      </c>
      <c r="B29" s="1720"/>
      <c r="C29" s="1720">
        <f>SUM(C24:C28)</f>
        <v>0</v>
      </c>
      <c r="D29" s="1720">
        <f>SUM(D24:D28)</f>
        <v>17781</v>
      </c>
      <c r="E29" s="1720">
        <f>SUM(E24:E28)</f>
        <v>17781</v>
      </c>
      <c r="F29" s="1720">
        <f>SUM(F24:F28)</f>
        <v>0</v>
      </c>
      <c r="G29" s="1722">
        <f>SUM(G24:G28)</f>
        <v>17781</v>
      </c>
      <c r="H29" s="1933"/>
    </row>
    <row r="30" spans="1:8" ht="13.5" thickTop="1">
      <c r="A30" s="2415"/>
      <c r="B30" s="2427"/>
      <c r="C30" s="1706"/>
      <c r="D30" s="1706"/>
      <c r="E30" s="1706"/>
      <c r="F30" s="1706"/>
      <c r="G30" s="1707"/>
      <c r="H30" s="1933"/>
    </row>
    <row r="31" spans="1:8">
      <c r="A31" s="1715" t="s">
        <v>4904</v>
      </c>
      <c r="B31" s="1696" t="s">
        <v>610</v>
      </c>
      <c r="C31" s="1706"/>
      <c r="D31" s="2220">
        <v>8320</v>
      </c>
      <c r="E31" s="2220">
        <f>D31+C31</f>
        <v>8320</v>
      </c>
      <c r="F31" s="1706"/>
      <c r="G31" s="1707">
        <f>E31-F31</f>
        <v>8320</v>
      </c>
      <c r="H31" s="1933"/>
    </row>
    <row r="32" spans="1:8">
      <c r="A32" s="1715"/>
      <c r="B32" s="1696"/>
      <c r="C32" s="1706"/>
      <c r="D32" s="1706"/>
      <c r="E32" s="1646"/>
      <c r="F32" s="1706"/>
      <c r="G32" s="1707"/>
      <c r="H32" s="1933"/>
    </row>
    <row r="33" spans="1:11" ht="13.5" thickBot="1">
      <c r="A33" s="2420" t="s">
        <v>4905</v>
      </c>
      <c r="B33" s="2421"/>
      <c r="C33" s="2422">
        <f>SUM(C31:C32)</f>
        <v>0</v>
      </c>
      <c r="D33" s="2422">
        <f>SUM(D31:D32)</f>
        <v>8320</v>
      </c>
      <c r="E33" s="2422">
        <f>SUM(E31:E32)</f>
        <v>8320</v>
      </c>
      <c r="F33" s="2422">
        <f>SUM(F31:F32)</f>
        <v>0</v>
      </c>
      <c r="G33" s="2425">
        <f>SUM(G31:G32)</f>
        <v>8320</v>
      </c>
      <c r="H33" s="1933"/>
    </row>
    <row r="34" spans="1:11" ht="13.5" thickTop="1">
      <c r="A34" s="2415"/>
      <c r="B34" s="2429"/>
      <c r="C34" s="1706"/>
      <c r="D34" s="1706"/>
      <c r="E34" s="1706"/>
      <c r="F34" s="1706"/>
      <c r="G34" s="1707"/>
      <c r="H34" s="1933"/>
    </row>
    <row r="35" spans="1:11">
      <c r="A35" s="1715"/>
      <c r="B35" s="1696"/>
      <c r="C35" s="1706"/>
      <c r="D35" s="2220"/>
      <c r="E35" s="2220"/>
      <c r="F35" s="1706"/>
      <c r="G35" s="1707"/>
      <c r="H35" s="1933"/>
    </row>
    <row r="36" spans="1:11">
      <c r="A36" s="1715"/>
      <c r="B36" s="1696"/>
      <c r="C36" s="1706"/>
      <c r="D36" s="1706"/>
      <c r="E36" s="1706"/>
      <c r="F36" s="1706"/>
      <c r="G36" s="1707"/>
      <c r="H36" s="1933"/>
      <c r="K36" s="2564"/>
    </row>
    <row r="37" spans="1:11">
      <c r="A37" s="1715"/>
      <c r="B37" s="1696"/>
      <c r="C37" s="1706"/>
      <c r="D37" s="1706"/>
      <c r="E37" s="1706"/>
      <c r="F37" s="1706"/>
      <c r="G37" s="1707"/>
      <c r="H37" s="1933"/>
    </row>
    <row r="38" spans="1:11">
      <c r="A38" s="1715"/>
      <c r="B38" s="1696"/>
      <c r="C38" s="1706"/>
      <c r="D38" s="1706"/>
      <c r="E38" s="1706"/>
      <c r="F38" s="1706"/>
      <c r="G38" s="1707"/>
      <c r="H38" s="1933"/>
    </row>
    <row r="39" spans="1:11">
      <c r="A39" s="1715"/>
      <c r="B39" s="1696"/>
      <c r="C39" s="1706"/>
      <c r="D39" s="1706"/>
      <c r="E39" s="1706"/>
      <c r="F39" s="1706"/>
      <c r="G39" s="1707"/>
      <c r="H39" s="1933"/>
    </row>
    <row r="40" spans="1:11">
      <c r="A40" s="1715"/>
      <c r="B40" s="1696"/>
      <c r="C40" s="1706"/>
      <c r="D40" s="1706"/>
      <c r="E40" s="1706"/>
      <c r="F40" s="1706"/>
      <c r="G40" s="1707"/>
      <c r="H40" s="1933"/>
    </row>
    <row r="41" spans="1:11">
      <c r="A41" s="1715"/>
      <c r="B41" s="1696"/>
      <c r="C41" s="1706"/>
      <c r="D41" s="1706"/>
      <c r="E41" s="1706"/>
      <c r="F41" s="1706"/>
      <c r="G41" s="1707"/>
      <c r="H41" s="1933"/>
    </row>
    <row r="42" spans="1:11">
      <c r="A42" s="1715"/>
      <c r="B42" s="1696"/>
      <c r="C42" s="1706"/>
      <c r="D42" s="1706"/>
      <c r="E42" s="1706"/>
      <c r="F42" s="1706"/>
      <c r="G42" s="1707"/>
      <c r="H42" s="1933"/>
    </row>
    <row r="43" spans="1:11">
      <c r="A43" s="1715"/>
      <c r="B43" s="1696"/>
      <c r="C43" s="1706"/>
      <c r="D43" s="1706"/>
      <c r="E43" s="1706"/>
      <c r="F43" s="1706"/>
      <c r="G43" s="1707"/>
      <c r="H43" s="1933"/>
    </row>
    <row r="44" spans="1:11">
      <c r="A44" s="1715"/>
      <c r="B44" s="1696"/>
      <c r="C44" s="1706"/>
      <c r="D44" s="1706"/>
      <c r="E44" s="1706"/>
      <c r="F44" s="1706"/>
      <c r="G44" s="1707"/>
      <c r="H44" s="1933"/>
    </row>
    <row r="45" spans="1:11">
      <c r="A45" s="1715"/>
      <c r="B45" s="1696"/>
      <c r="C45" s="1706"/>
      <c r="D45" s="1706"/>
      <c r="E45" s="1706"/>
      <c r="F45" s="1706"/>
      <c r="G45" s="1707"/>
      <c r="H45" s="1933"/>
    </row>
    <row r="46" spans="1:11">
      <c r="A46" s="1660"/>
      <c r="B46" s="2431"/>
      <c r="C46" s="1706"/>
      <c r="D46" s="1706"/>
      <c r="E46" s="1706"/>
      <c r="F46" s="1706"/>
      <c r="G46" s="1707"/>
      <c r="H46" s="1933"/>
    </row>
    <row r="47" spans="1:11">
      <c r="A47" s="2415"/>
      <c r="B47" s="2431"/>
      <c r="C47" s="1706"/>
      <c r="D47" s="1706"/>
      <c r="E47" s="1706"/>
      <c r="F47" s="1706"/>
      <c r="G47" s="1707"/>
      <c r="H47" s="1933"/>
    </row>
    <row r="48" spans="1:11">
      <c r="A48" s="1660"/>
      <c r="B48" s="2431"/>
      <c r="C48" s="1706"/>
      <c r="D48" s="1706"/>
      <c r="E48" s="1706"/>
      <c r="F48" s="1706"/>
      <c r="G48" s="1707"/>
      <c r="H48" s="1933"/>
    </row>
    <row r="49" spans="1:8">
      <c r="A49" s="2415"/>
      <c r="B49" s="2431"/>
      <c r="C49" s="1706"/>
      <c r="D49" s="1706"/>
      <c r="E49" s="1706"/>
      <c r="F49" s="1706"/>
      <c r="G49" s="1707"/>
      <c r="H49" s="1933"/>
    </row>
    <row r="50" spans="1:8">
      <c r="A50" s="1660"/>
      <c r="B50" s="2431"/>
      <c r="C50" s="1706"/>
      <c r="D50" s="1706"/>
      <c r="E50" s="1706"/>
      <c r="F50" s="1706"/>
      <c r="G50" s="1707"/>
      <c r="H50" s="1933"/>
    </row>
    <row r="51" spans="1:8">
      <c r="A51" s="2415"/>
      <c r="B51" s="2431"/>
      <c r="C51" s="1706"/>
      <c r="D51" s="1706"/>
      <c r="E51" s="1706"/>
      <c r="F51" s="1706"/>
      <c r="G51" s="1707"/>
      <c r="H51" s="1933"/>
    </row>
    <row r="52" spans="1:8">
      <c r="A52" s="1660"/>
      <c r="B52" s="2431"/>
      <c r="C52" s="1706"/>
      <c r="D52" s="1706"/>
      <c r="E52" s="1706"/>
      <c r="F52" s="1706"/>
      <c r="G52" s="1707"/>
      <c r="H52" s="1933"/>
    </row>
    <row r="53" spans="1:8">
      <c r="A53" s="2415"/>
      <c r="B53" s="2431"/>
      <c r="C53" s="1706"/>
      <c r="D53" s="1706"/>
      <c r="E53" s="1706"/>
      <c r="F53" s="1706"/>
      <c r="G53" s="1707"/>
      <c r="H53" s="1933"/>
    </row>
    <row r="54" spans="1:8">
      <c r="A54" s="1660"/>
      <c r="B54" s="2431"/>
      <c r="C54" s="1706"/>
      <c r="D54" s="1706"/>
      <c r="E54" s="1706"/>
      <c r="F54" s="1706"/>
      <c r="G54" s="1707"/>
      <c r="H54" s="1933"/>
    </row>
    <row r="55" spans="1:8">
      <c r="A55" s="2415"/>
      <c r="B55" s="2431"/>
      <c r="C55" s="1706"/>
      <c r="D55" s="1706"/>
      <c r="E55" s="1706"/>
      <c r="F55" s="1706"/>
      <c r="G55" s="1707"/>
      <c r="H55" s="1933"/>
    </row>
    <row r="56" spans="1:8">
      <c r="A56" s="1660"/>
      <c r="B56" s="2431"/>
      <c r="C56" s="1706"/>
      <c r="D56" s="1706"/>
      <c r="E56" s="1706"/>
      <c r="F56" s="1706"/>
      <c r="G56" s="1707"/>
      <c r="H56" s="1933"/>
    </row>
    <row r="57" spans="1:8">
      <c r="A57" s="2415"/>
      <c r="B57" s="2431"/>
      <c r="C57" s="1706"/>
      <c r="D57" s="1706"/>
      <c r="E57" s="1706"/>
      <c r="F57" s="1706"/>
      <c r="G57" s="1707"/>
      <c r="H57" s="1933"/>
    </row>
    <row r="58" spans="1:8">
      <c r="A58" s="1660"/>
      <c r="B58" s="2431"/>
      <c r="C58" s="1706"/>
      <c r="D58" s="1706"/>
      <c r="E58" s="1706"/>
      <c r="F58" s="1706"/>
      <c r="G58" s="1707"/>
      <c r="H58" s="1933"/>
    </row>
    <row r="59" spans="1:8">
      <c r="A59" s="2415"/>
      <c r="B59" s="2431"/>
      <c r="C59" s="1706"/>
      <c r="D59" s="1706"/>
      <c r="E59" s="1706"/>
      <c r="F59" s="1706"/>
      <c r="G59" s="1707"/>
      <c r="H59" s="1933"/>
    </row>
    <row r="60" spans="1:8">
      <c r="A60" s="1660"/>
      <c r="B60" s="2431"/>
      <c r="C60" s="1706"/>
      <c r="D60" s="1706"/>
      <c r="E60" s="1706"/>
      <c r="F60" s="1706"/>
      <c r="G60" s="1707"/>
      <c r="H60" s="1933"/>
    </row>
    <row r="61" spans="1:8">
      <c r="A61" s="1660"/>
      <c r="B61" s="2431"/>
      <c r="C61" s="1706"/>
      <c r="D61" s="1706"/>
      <c r="E61" s="1706"/>
      <c r="F61" s="1706"/>
      <c r="G61" s="1707"/>
      <c r="H61" s="1933"/>
    </row>
    <row r="62" spans="1:8">
      <c r="A62" s="1660"/>
      <c r="B62" s="2431"/>
      <c r="C62" s="1706"/>
      <c r="D62" s="1706"/>
      <c r="E62" s="1706"/>
      <c r="F62" s="1706"/>
      <c r="G62" s="1707"/>
      <c r="H62" s="1933"/>
    </row>
    <row r="63" spans="1:8">
      <c r="A63" s="1660"/>
      <c r="B63" s="2431"/>
      <c r="C63" s="1706"/>
      <c r="D63" s="1706"/>
      <c r="E63" s="1706"/>
      <c r="F63" s="1706"/>
      <c r="G63" s="1707"/>
      <c r="H63" s="1933"/>
    </row>
    <row r="64" spans="1:8">
      <c r="A64" s="1660"/>
      <c r="B64" s="2431"/>
      <c r="C64" s="1706"/>
      <c r="D64" s="1706"/>
      <c r="E64" s="1706"/>
      <c r="F64" s="1706"/>
      <c r="G64" s="1707"/>
      <c r="H64" s="1933"/>
    </row>
    <row r="65" spans="1:10">
      <c r="A65" s="1660"/>
      <c r="B65" s="2431"/>
      <c r="C65" s="1706"/>
      <c r="D65" s="1706"/>
      <c r="E65" s="1706"/>
      <c r="F65" s="1706"/>
      <c r="G65" s="1707"/>
      <c r="H65" s="1933"/>
    </row>
    <row r="66" spans="1:10">
      <c r="A66" s="1660"/>
      <c r="B66" s="2431"/>
      <c r="C66" s="1706"/>
      <c r="D66" s="1706"/>
      <c r="E66" s="1706"/>
      <c r="F66" s="1706"/>
      <c r="G66" s="1707"/>
      <c r="H66" s="1933"/>
    </row>
    <row r="67" spans="1:10">
      <c r="A67" s="1660"/>
      <c r="B67" s="2431"/>
      <c r="C67" s="1706"/>
      <c r="D67" s="1706"/>
      <c r="E67" s="1706"/>
      <c r="F67" s="1706"/>
      <c r="G67" s="1707"/>
      <c r="H67" s="1933"/>
    </row>
    <row r="68" spans="1:10">
      <c r="A68" s="1660"/>
      <c r="B68" s="2431"/>
      <c r="C68" s="1706"/>
      <c r="D68" s="1706"/>
      <c r="E68" s="1706"/>
      <c r="F68" s="1706"/>
      <c r="G68" s="1707"/>
      <c r="H68" s="1933"/>
    </row>
    <row r="69" spans="1:10">
      <c r="A69" s="1660"/>
      <c r="B69" s="2431"/>
      <c r="C69" s="1706"/>
      <c r="D69" s="1706"/>
      <c r="E69" s="1706"/>
      <c r="F69" s="1706"/>
      <c r="G69" s="1707"/>
      <c r="H69" s="1933"/>
    </row>
    <row r="70" spans="1:10">
      <c r="A70" s="2415"/>
      <c r="B70" s="2431"/>
      <c r="C70" s="1706"/>
      <c r="D70" s="1706"/>
      <c r="E70" s="1706"/>
      <c r="F70" s="1706"/>
      <c r="G70" s="1707"/>
      <c r="H70" s="1933"/>
    </row>
    <row r="71" spans="1:10">
      <c r="A71" s="2415"/>
      <c r="B71" s="2431"/>
      <c r="C71" s="1706"/>
      <c r="D71" s="1706"/>
      <c r="E71" s="1706"/>
      <c r="F71" s="1706"/>
      <c r="G71" s="1707"/>
      <c r="H71" s="1933"/>
    </row>
    <row r="72" spans="1:10">
      <c r="A72" s="2415"/>
      <c r="B72" s="2431"/>
      <c r="C72" s="1706"/>
      <c r="D72" s="1706"/>
      <c r="E72" s="1706"/>
      <c r="F72" s="1706"/>
      <c r="G72" s="1707"/>
      <c r="H72" s="1933"/>
    </row>
    <row r="73" spans="1:10" ht="13.5" thickBot="1">
      <c r="A73" s="2415"/>
      <c r="B73" s="1706"/>
      <c r="C73" s="1706"/>
      <c r="D73" s="1706"/>
      <c r="E73" s="1706"/>
      <c r="F73" s="1706"/>
      <c r="G73" s="1707"/>
      <c r="H73" s="1933"/>
    </row>
    <row r="74" spans="1:10" ht="14.25" thickTop="1" thickBot="1">
      <c r="A74" s="2433" t="s">
        <v>3919</v>
      </c>
      <c r="B74" s="2434"/>
      <c r="C74" s="2435">
        <f>+'408a'!C20+'408a'!C29+'408a'!C38+'408b'!C19+'408b'!C29+'408b'!C33+'408b'!C36+'408b'!C42+'408c'!C17+'408c'!C25+'408c'!C29+'408c'!C35+'408c'!C41+'408c'!C48+'408c'!C53+'408d'!C12+'408d'!C19+'408d'!C24+'408d'!C30+'408d'!C36+'408d'!C45+'408d'!C50+'408e'!C17+'408e'!C20+'408e'!C27+'408e'!C32+'408e'!C42+'408e'!C54+'408e'!C62+C19+C22+C29+C33+C54+C72</f>
        <v>13338</v>
      </c>
      <c r="D74" s="2435">
        <f>+'408a'!D20+'408a'!D29+'408a'!D38+'408b'!D19+'408b'!D29+'408b'!D33+'408b'!D36+'408b'!D42+'408c'!D17+'408c'!D25+'408c'!D29+'408c'!D35+'408c'!D41+'408c'!D48+'408c'!D53+'408d'!D12+'408d'!D19+'408d'!D24+'408d'!D30+'408d'!D36+'408d'!D45+'408d'!D50+'408e'!D17+'408e'!D20+'408e'!D27+'408e'!D32+'408e'!D42+'408e'!D54+'408e'!D62+D19+D22+D29+D33+D54+D72</f>
        <v>6000092.3216361282</v>
      </c>
      <c r="E74" s="2435">
        <f>+'408a'!E20+'408a'!E29+'408a'!E38+'408b'!E19+'408b'!E29+'408b'!E33+'408b'!E36+'408b'!E42+'408c'!E17+'408c'!E25+'408c'!E29+'408c'!E35+'408c'!E41+'408c'!E48+'408c'!E53+'408d'!E12+'408d'!E19+'408d'!E24+'408d'!E30+'408d'!E36+'408d'!E45+'408d'!E50+'408e'!E17+'408e'!E20+'408e'!E27+'408e'!E32+'408e'!E42+'408e'!E54+'408e'!E62+E19+E22+E29+E33+E54+E72</f>
        <v>6013430.3216361282</v>
      </c>
      <c r="F74" s="2435">
        <f>+'408a'!F20+'408a'!F29+'408a'!F38+'408b'!F19+'408b'!F29+'408b'!F33+'408b'!F36+'408b'!F42+'408c'!F17+'408c'!F25+'408c'!F29+'408c'!F35+'408c'!F41+'408c'!F48+'408c'!F53+'408d'!F12+'408d'!F19+'408d'!F24+'408d'!F30+'408d'!F36+'408d'!F45+'408d'!F50+'408e'!F17+'408e'!F20+'408e'!F27+'408e'!F32+'408e'!F42+'408e'!F54+'408e'!F62+F19+F22+F29+F33+F54+F72</f>
        <v>332019</v>
      </c>
      <c r="G74" s="2436">
        <f>+'408a'!G20+'408a'!G29+'408a'!G38+'408b'!G19+'408b'!G29+'408b'!G33+'408b'!G36+'408b'!G42+'408c'!G17+'408c'!G25+'408c'!G29+'408c'!G35+'408c'!G41+'408c'!G48+'408c'!G53+'408d'!G12+'408d'!G19+'408d'!G24+'408d'!G30+'408d'!G36+'408d'!G45+'408d'!G50+'408e'!G17+'408e'!G20+'408e'!G27+'408e'!G32+'408e'!G42+'408e'!G54+'408e'!G62+G19+G22+G29+G33+G54+G72</f>
        <v>5681411.3216361282</v>
      </c>
      <c r="H74" s="1933"/>
      <c r="I74" s="1440" t="str">
        <f>IF(SUM(F74:G74)=E74,"ok","error")</f>
        <v>ok</v>
      </c>
    </row>
    <row r="75" spans="1:10" ht="13.5" thickTop="1">
      <c r="A75" s="1729" t="s">
        <v>2024</v>
      </c>
      <c r="C75" s="1714"/>
      <c r="D75" s="2437"/>
      <c r="E75" s="2437"/>
      <c r="F75" s="2437"/>
      <c r="G75" s="2437"/>
      <c r="H75" s="1933"/>
    </row>
    <row r="76" spans="1:10">
      <c r="A76" s="2438"/>
      <c r="B76" s="1714"/>
      <c r="C76" s="1714"/>
      <c r="D76" s="1368" t="s">
        <v>5113</v>
      </c>
      <c r="E76" s="1714"/>
      <c r="F76" s="1714"/>
      <c r="G76" s="1714"/>
      <c r="H76" s="1933"/>
    </row>
    <row r="77" spans="1:10">
      <c r="D77" s="1769"/>
      <c r="E77" s="1769"/>
    </row>
    <row r="78" spans="1:10">
      <c r="A78" s="2549" t="s">
        <v>4937</v>
      </c>
      <c r="B78" s="2549"/>
      <c r="C78" s="2548">
        <f>+C19+C22+C29+C33</f>
        <v>3305</v>
      </c>
      <c r="D78" s="2548">
        <f>+D19+D22+D29+D33</f>
        <v>147489</v>
      </c>
      <c r="E78" s="2548">
        <f>+E19+E22+E29+E33</f>
        <v>150794</v>
      </c>
      <c r="F78" s="2548">
        <f>+F19+F22+F29+F33</f>
        <v>4515</v>
      </c>
      <c r="G78" s="2548">
        <f>+G19+G22+G29+G33</f>
        <v>146279</v>
      </c>
      <c r="H78" s="2549" t="str">
        <f>IF(SUM(F78:G78)=E78,"ok","error")</f>
        <v>ok</v>
      </c>
      <c r="I78" s="2549" t="s">
        <v>4907</v>
      </c>
      <c r="J78" s="2549"/>
    </row>
    <row r="79" spans="1:10">
      <c r="A79" s="2549"/>
      <c r="B79" s="2549"/>
      <c r="C79" s="2548">
        <f>+'408a'!C45+'408b'!C48+'408c'!C58+'408d'!C55+'408e'!C67</f>
        <v>10033</v>
      </c>
      <c r="D79" s="2548">
        <f>+'408a'!D45+'408b'!D48+'408c'!D58+'408d'!D55+'408e'!D67</f>
        <v>5852603.3216361282</v>
      </c>
      <c r="E79" s="2548">
        <f>+'408a'!E45+'408b'!E48+'408c'!E58+'408d'!E55+'408e'!E67</f>
        <v>5862636.3216361282</v>
      </c>
      <c r="F79" s="2548">
        <f>+'408a'!F45+'408b'!F48+'408c'!F58+'408d'!F55+'408e'!F67</f>
        <v>327504</v>
      </c>
      <c r="G79" s="2548">
        <f>+'408a'!G45+'408b'!G48+'408c'!G58+'408d'!G55+'408e'!G67</f>
        <v>5535132.3216361282</v>
      </c>
      <c r="H79" s="2549" t="str">
        <f>IF(SUM(F79:G79)=E79,"ok","error")</f>
        <v>ok</v>
      </c>
      <c r="I79" s="2549" t="s">
        <v>4938</v>
      </c>
      <c r="J79" s="2549"/>
    </row>
    <row r="80" spans="1:10">
      <c r="A80" s="2549"/>
      <c r="B80" s="2549"/>
      <c r="C80" s="2548">
        <f>+C54+C72</f>
        <v>0</v>
      </c>
      <c r="D80" s="2548">
        <f>+D54+D72</f>
        <v>0</v>
      </c>
      <c r="E80" s="2548">
        <f>+E54+E72</f>
        <v>0</v>
      </c>
      <c r="F80" s="2548">
        <f>+F54+F72</f>
        <v>0</v>
      </c>
      <c r="G80" s="2548">
        <f>+G54+G72</f>
        <v>0</v>
      </c>
      <c r="H80" s="2549" t="str">
        <f>IF(SUM(F80:G80)=E80,"ok","error")</f>
        <v>ok</v>
      </c>
      <c r="I80" s="2549" t="s">
        <v>4956</v>
      </c>
      <c r="J80" s="2549"/>
    </row>
    <row r="81" spans="1:10">
      <c r="A81" s="2549"/>
      <c r="B81" s="2549"/>
      <c r="C81" s="2548">
        <f>SUM(C78:C80)</f>
        <v>13338</v>
      </c>
      <c r="D81" s="2548">
        <f>SUM(D78:D80)</f>
        <v>6000092.3216361282</v>
      </c>
      <c r="E81" s="2548">
        <f>SUM(E78:E80)</f>
        <v>6013430.3216361282</v>
      </c>
      <c r="F81" s="2548">
        <f>SUM(F78:F80)</f>
        <v>332019</v>
      </c>
      <c r="G81" s="2548">
        <f>SUM(G78:G80)</f>
        <v>5681411.3216361282</v>
      </c>
      <c r="H81" s="2549" t="str">
        <f>IF(SUM(F81:G81)=E81,"ok","error")</f>
        <v>ok</v>
      </c>
      <c r="I81" s="2549" t="s">
        <v>1738</v>
      </c>
      <c r="J81" s="2549"/>
    </row>
    <row r="82" spans="1:10">
      <c r="A82" s="2549" t="s">
        <v>4936</v>
      </c>
      <c r="B82" s="2549"/>
      <c r="C82" s="2548">
        <f>+C74-C81</f>
        <v>0</v>
      </c>
      <c r="D82" s="2548">
        <f>+D74-D81</f>
        <v>0</v>
      </c>
      <c r="E82" s="2548">
        <f>+E74-E81</f>
        <v>0</v>
      </c>
      <c r="F82" s="2548">
        <f>+F74-F81</f>
        <v>0</v>
      </c>
      <c r="G82" s="2548">
        <f>+G74-G81</f>
        <v>0</v>
      </c>
      <c r="H82" s="2549"/>
      <c r="I82" s="2549"/>
      <c r="J82" s="2549"/>
    </row>
    <row r="83" spans="1:10">
      <c r="D83" s="1769"/>
    </row>
    <row r="84" spans="1:10">
      <c r="C84" s="1440"/>
    </row>
    <row r="85" spans="1:10">
      <c r="C85" s="1440"/>
    </row>
  </sheetData>
  <printOptions horizontalCentered="1"/>
  <pageMargins left="0.5" right="0.25" top="0.25" bottom="0" header="0" footer="0"/>
  <pageSetup scale="80"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transitionEvaluation="1" codeName="Sheet115">
    <pageSetUpPr fitToPage="1"/>
  </sheetPr>
  <dimension ref="A1:H58"/>
  <sheetViews>
    <sheetView defaultGridColor="0" colorId="22" zoomScaleNormal="100" workbookViewId="0">
      <pane xSplit="2" ySplit="16" topLeftCell="C17" activePane="bottomRight" state="frozen"/>
      <selection activeCell="S32" sqref="S32"/>
      <selection pane="topRight" activeCell="S32" sqref="S32"/>
      <selection pane="bottomLeft" activeCell="S32" sqref="S32"/>
      <selection pane="bottomRight" activeCell="B9" sqref="B9"/>
    </sheetView>
  </sheetViews>
  <sheetFormatPr defaultColWidth="9.77734375" defaultRowHeight="15"/>
  <cols>
    <col min="1" max="1" width="4.77734375" customWidth="1"/>
    <col min="2" max="2" width="33.77734375" customWidth="1"/>
    <col min="3" max="6" width="14.77734375" customWidth="1"/>
    <col min="7" max="7" width="49.44140625" bestFit="1" customWidth="1"/>
    <col min="8" max="8" width="18.77734375" customWidth="1"/>
  </cols>
  <sheetData>
    <row r="1" spans="1:8" ht="15.75" thickBot="1">
      <c r="A1" t="str">
        <f>'Data sheet'!A65</f>
        <v>Annual Report of Veolia Water New York, Inc.                                                                                          Year Ended  December 31, 2023</v>
      </c>
    </row>
    <row r="2" spans="1:8">
      <c r="A2" s="80"/>
      <c r="B2" s="81"/>
      <c r="C2" s="81"/>
      <c r="D2" s="81"/>
      <c r="E2" s="81"/>
      <c r="F2" s="81"/>
      <c r="G2" s="81"/>
      <c r="H2" s="82"/>
    </row>
    <row r="3" spans="1:8" ht="15.75">
      <c r="A3" s="793" t="s">
        <v>3980</v>
      </c>
      <c r="B3" s="794"/>
      <c r="C3" s="794"/>
      <c r="D3" s="794"/>
      <c r="E3" s="794"/>
      <c r="F3" s="794"/>
      <c r="G3" s="794"/>
      <c r="H3" s="795"/>
    </row>
    <row r="4" spans="1:8">
      <c r="A4" s="83"/>
      <c r="H4" s="214"/>
    </row>
    <row r="5" spans="1:8">
      <c r="A5" s="83"/>
      <c r="B5" t="s">
        <v>901</v>
      </c>
      <c r="F5" t="s">
        <v>902</v>
      </c>
      <c r="H5" s="214"/>
    </row>
    <row r="6" spans="1:8">
      <c r="A6" s="83"/>
      <c r="B6" t="s">
        <v>3570</v>
      </c>
      <c r="F6" t="s">
        <v>2705</v>
      </c>
      <c r="H6" s="214"/>
    </row>
    <row r="7" spans="1:8">
      <c r="A7" s="83"/>
      <c r="B7" t="s">
        <v>2706</v>
      </c>
      <c r="F7" t="s">
        <v>2707</v>
      </c>
      <c r="H7" s="214"/>
    </row>
    <row r="8" spans="1:8">
      <c r="A8" s="83"/>
      <c r="F8" t="s">
        <v>2708</v>
      </c>
      <c r="H8" s="214"/>
    </row>
    <row r="9" spans="1:8">
      <c r="A9" s="83"/>
      <c r="B9" t="s">
        <v>2709</v>
      </c>
      <c r="H9" s="214"/>
    </row>
    <row r="10" spans="1:8">
      <c r="A10" s="83"/>
      <c r="B10" t="s">
        <v>2710</v>
      </c>
      <c r="H10" s="214"/>
    </row>
    <row r="11" spans="1:8">
      <c r="A11" s="123"/>
      <c r="B11" s="224"/>
      <c r="C11" s="224"/>
      <c r="D11" s="224"/>
      <c r="E11" s="224"/>
      <c r="F11" s="224"/>
      <c r="G11" s="224"/>
      <c r="H11" s="225"/>
    </row>
    <row r="12" spans="1:8">
      <c r="A12" s="83"/>
      <c r="B12" s="238"/>
      <c r="C12" s="121" t="s">
        <v>2711</v>
      </c>
      <c r="D12" s="121"/>
      <c r="E12" s="121"/>
      <c r="F12" s="860"/>
      <c r="G12" s="227"/>
      <c r="H12" s="214"/>
    </row>
    <row r="13" spans="1:8">
      <c r="A13" s="83"/>
      <c r="B13" s="714" t="s">
        <v>3062</v>
      </c>
      <c r="C13" s="600"/>
      <c r="D13" s="714"/>
      <c r="F13" s="714" t="s">
        <v>2712</v>
      </c>
      <c r="G13" s="726"/>
      <c r="H13" s="214"/>
    </row>
    <row r="14" spans="1:8">
      <c r="A14" s="595" t="s">
        <v>1727</v>
      </c>
      <c r="B14" s="714" t="s">
        <v>2713</v>
      </c>
      <c r="C14" s="600" t="s">
        <v>1738</v>
      </c>
      <c r="D14" s="714" t="s">
        <v>2714</v>
      </c>
      <c r="E14" s="600" t="s">
        <v>2715</v>
      </c>
      <c r="F14" s="714" t="s">
        <v>2716</v>
      </c>
      <c r="G14" s="726" t="s">
        <v>175</v>
      </c>
      <c r="H14" s="727" t="s">
        <v>2717</v>
      </c>
    </row>
    <row r="15" spans="1:8">
      <c r="A15" s="595" t="s">
        <v>1739</v>
      </c>
      <c r="B15" s="714"/>
      <c r="C15" s="600"/>
      <c r="D15" s="714"/>
      <c r="E15" s="600" t="s">
        <v>2718</v>
      </c>
      <c r="F15" s="714" t="s">
        <v>2719</v>
      </c>
      <c r="G15" s="726"/>
      <c r="H15" s="727" t="s">
        <v>2720</v>
      </c>
    </row>
    <row r="16" spans="1:8">
      <c r="A16" s="123"/>
      <c r="B16" s="715" t="s">
        <v>3279</v>
      </c>
      <c r="C16" s="797" t="s">
        <v>3280</v>
      </c>
      <c r="D16" s="715" t="s">
        <v>3281</v>
      </c>
      <c r="E16" s="797" t="s">
        <v>3282</v>
      </c>
      <c r="F16" s="715" t="s">
        <v>721</v>
      </c>
      <c r="G16" s="861" t="s">
        <v>722</v>
      </c>
      <c r="H16" s="823" t="s">
        <v>723</v>
      </c>
    </row>
    <row r="17" spans="1:8">
      <c r="A17" s="595">
        <v>1</v>
      </c>
      <c r="B17" s="1786" t="s">
        <v>2721</v>
      </c>
      <c r="C17" s="962"/>
      <c r="D17" s="799"/>
      <c r="E17" s="962"/>
      <c r="F17" s="799"/>
      <c r="G17" s="963"/>
      <c r="H17" s="964"/>
    </row>
    <row r="18" spans="1:8">
      <c r="A18" s="595">
        <f>+A17+1</f>
        <v>2</v>
      </c>
      <c r="B18" s="714"/>
      <c r="C18" s="140"/>
      <c r="D18" s="582"/>
      <c r="E18" s="140"/>
      <c r="F18" s="582"/>
      <c r="G18" s="227"/>
      <c r="H18" s="214"/>
    </row>
    <row r="19" spans="1:8">
      <c r="A19" s="595">
        <f t="shared" ref="A19:A56" si="0">+A18+1</f>
        <v>3</v>
      </c>
      <c r="B19" s="109" t="s">
        <v>3731</v>
      </c>
      <c r="C19" s="140">
        <v>236</v>
      </c>
      <c r="D19" s="582">
        <f t="shared" ref="D19:D31" si="1">C19</f>
        <v>236</v>
      </c>
      <c r="E19" s="140"/>
      <c r="F19" s="582"/>
      <c r="G19" s="95" t="s">
        <v>5171</v>
      </c>
      <c r="H19" s="214"/>
    </row>
    <row r="20" spans="1:8">
      <c r="A20" s="595">
        <f t="shared" si="0"/>
        <v>4</v>
      </c>
      <c r="B20" s="714" t="s">
        <v>32</v>
      </c>
      <c r="C20" s="140">
        <v>61168</v>
      </c>
      <c r="D20" s="582">
        <f t="shared" si="1"/>
        <v>61168</v>
      </c>
      <c r="E20" s="140"/>
      <c r="F20" s="582"/>
      <c r="G20" s="95" t="s">
        <v>5562</v>
      </c>
      <c r="H20" s="214"/>
    </row>
    <row r="21" spans="1:8">
      <c r="A21" s="595">
        <f t="shared" si="0"/>
        <v>5</v>
      </c>
      <c r="B21" s="714" t="s">
        <v>2909</v>
      </c>
      <c r="C21" s="140">
        <v>3328</v>
      </c>
      <c r="D21" s="582">
        <f t="shared" si="1"/>
        <v>3328</v>
      </c>
      <c r="E21" s="140"/>
      <c r="F21" s="582"/>
      <c r="G21" s="95" t="s">
        <v>5562</v>
      </c>
      <c r="H21" s="214"/>
    </row>
    <row r="22" spans="1:8">
      <c r="A22" s="595">
        <f t="shared" si="0"/>
        <v>6</v>
      </c>
      <c r="B22" s="714" t="s">
        <v>502</v>
      </c>
      <c r="C22" s="140">
        <v>3</v>
      </c>
      <c r="D22" s="582">
        <f t="shared" si="1"/>
        <v>3</v>
      </c>
      <c r="E22" s="140"/>
      <c r="F22" s="582"/>
      <c r="G22" s="227" t="s">
        <v>5172</v>
      </c>
      <c r="H22" s="214"/>
    </row>
    <row r="23" spans="1:8">
      <c r="A23" s="595">
        <f t="shared" si="0"/>
        <v>7</v>
      </c>
      <c r="B23" s="714" t="s">
        <v>82</v>
      </c>
      <c r="C23" s="140">
        <v>1498</v>
      </c>
      <c r="D23" s="582">
        <f t="shared" si="1"/>
        <v>1498</v>
      </c>
      <c r="E23" s="140"/>
      <c r="F23" s="582"/>
      <c r="G23" s="95" t="s">
        <v>5563</v>
      </c>
      <c r="H23" s="214"/>
    </row>
    <row r="24" spans="1:8">
      <c r="A24" s="595">
        <f t="shared" si="0"/>
        <v>8</v>
      </c>
      <c r="B24" s="714" t="s">
        <v>608</v>
      </c>
      <c r="C24" s="140">
        <v>1843</v>
      </c>
      <c r="D24" s="582">
        <f t="shared" si="1"/>
        <v>1843</v>
      </c>
      <c r="E24" s="140"/>
      <c r="F24" s="582"/>
      <c r="G24" s="95" t="s">
        <v>5562</v>
      </c>
      <c r="H24" s="214"/>
    </row>
    <row r="25" spans="1:8">
      <c r="A25" s="595">
        <f t="shared" si="0"/>
        <v>9</v>
      </c>
      <c r="B25" s="714" t="s">
        <v>609</v>
      </c>
      <c r="C25" s="140">
        <v>116</v>
      </c>
      <c r="D25" s="582">
        <f t="shared" si="1"/>
        <v>116</v>
      </c>
      <c r="E25" s="140"/>
      <c r="F25" s="582"/>
      <c r="G25" s="227" t="s">
        <v>5173</v>
      </c>
      <c r="H25" s="214"/>
    </row>
    <row r="26" spans="1:8">
      <c r="A26" s="595">
        <f t="shared" si="0"/>
        <v>10</v>
      </c>
      <c r="B26" s="714" t="s">
        <v>610</v>
      </c>
      <c r="C26" s="140">
        <v>560</v>
      </c>
      <c r="D26" s="582">
        <f t="shared" si="1"/>
        <v>560</v>
      </c>
      <c r="E26" s="140"/>
      <c r="F26" s="582"/>
      <c r="G26" s="95" t="s">
        <v>5173</v>
      </c>
      <c r="H26" s="214"/>
    </row>
    <row r="27" spans="1:8">
      <c r="A27" s="595">
        <f t="shared" si="0"/>
        <v>11</v>
      </c>
      <c r="B27" s="714" t="s">
        <v>2901</v>
      </c>
      <c r="C27" s="140">
        <v>332</v>
      </c>
      <c r="D27" s="582">
        <f t="shared" si="1"/>
        <v>332</v>
      </c>
      <c r="E27" s="140"/>
      <c r="F27" s="582"/>
      <c r="G27" s="95" t="s">
        <v>5563</v>
      </c>
      <c r="H27" s="214"/>
    </row>
    <row r="28" spans="1:8">
      <c r="A28" s="595">
        <f t="shared" si="0"/>
        <v>12</v>
      </c>
      <c r="B28" s="714" t="s">
        <v>2902</v>
      </c>
      <c r="C28" s="140">
        <v>121</v>
      </c>
      <c r="D28" s="582">
        <f t="shared" si="1"/>
        <v>121</v>
      </c>
      <c r="E28" s="140"/>
      <c r="F28" s="582"/>
      <c r="G28" s="95" t="s">
        <v>5173</v>
      </c>
      <c r="H28" s="214"/>
    </row>
    <row r="29" spans="1:8">
      <c r="A29" s="595">
        <f t="shared" si="0"/>
        <v>13</v>
      </c>
      <c r="B29" s="714" t="s">
        <v>2903</v>
      </c>
      <c r="C29" s="140">
        <v>4</v>
      </c>
      <c r="D29" s="582">
        <f t="shared" si="1"/>
        <v>4</v>
      </c>
      <c r="E29" s="140"/>
      <c r="F29" s="582"/>
      <c r="G29" s="95" t="s">
        <v>5173</v>
      </c>
      <c r="H29" s="214"/>
    </row>
    <row r="30" spans="1:8">
      <c r="A30" s="595">
        <f t="shared" si="0"/>
        <v>14</v>
      </c>
      <c r="B30" s="714" t="s">
        <v>2904</v>
      </c>
      <c r="C30" s="140">
        <v>4</v>
      </c>
      <c r="D30" s="582">
        <f t="shared" si="1"/>
        <v>4</v>
      </c>
      <c r="E30" s="140"/>
      <c r="F30" s="582"/>
      <c r="G30" s="95" t="s">
        <v>5173</v>
      </c>
      <c r="H30" s="214"/>
    </row>
    <row r="31" spans="1:8">
      <c r="A31" s="595">
        <f t="shared" si="0"/>
        <v>15</v>
      </c>
      <c r="B31" s="714" t="s">
        <v>2905</v>
      </c>
      <c r="C31" s="140">
        <v>1</v>
      </c>
      <c r="D31" s="582">
        <f t="shared" si="1"/>
        <v>1</v>
      </c>
      <c r="E31" s="140"/>
      <c r="F31" s="582"/>
      <c r="G31" s="95" t="s">
        <v>5172</v>
      </c>
      <c r="H31" s="214"/>
    </row>
    <row r="32" spans="1:8">
      <c r="A32" s="595">
        <f t="shared" si="0"/>
        <v>16</v>
      </c>
      <c r="B32" s="714"/>
      <c r="C32" s="140"/>
      <c r="D32" s="582"/>
      <c r="E32" s="140"/>
      <c r="F32" s="582"/>
      <c r="G32" s="95"/>
      <c r="H32" s="214"/>
    </row>
    <row r="33" spans="1:8">
      <c r="A33" s="595">
        <f t="shared" si="0"/>
        <v>17</v>
      </c>
      <c r="B33" s="714" t="s">
        <v>4834</v>
      </c>
      <c r="C33" s="140">
        <v>562</v>
      </c>
      <c r="D33" s="582">
        <f>C33</f>
        <v>562</v>
      </c>
      <c r="E33" s="140"/>
      <c r="F33" s="582"/>
      <c r="G33" s="95" t="s">
        <v>5564</v>
      </c>
      <c r="H33" s="214"/>
    </row>
    <row r="34" spans="1:8">
      <c r="A34" s="595">
        <f t="shared" si="0"/>
        <v>18</v>
      </c>
      <c r="B34" s="238"/>
      <c r="C34" s="140"/>
      <c r="D34" s="582"/>
      <c r="E34" s="140"/>
      <c r="F34" s="582"/>
      <c r="G34" s="95"/>
      <c r="H34" s="214"/>
    </row>
    <row r="35" spans="1:8">
      <c r="A35" s="595">
        <f t="shared" si="0"/>
        <v>19</v>
      </c>
      <c r="B35" s="238" t="s">
        <v>4869</v>
      </c>
      <c r="C35" s="140"/>
      <c r="D35" s="582"/>
      <c r="E35" s="140"/>
      <c r="F35" s="582"/>
      <c r="G35" s="95"/>
      <c r="H35" s="214"/>
    </row>
    <row r="36" spans="1:8">
      <c r="A36" s="595">
        <f t="shared" si="0"/>
        <v>20</v>
      </c>
      <c r="B36" s="238" t="s">
        <v>32</v>
      </c>
      <c r="C36" s="140">
        <v>2187</v>
      </c>
      <c r="D36" s="582">
        <f>C36</f>
        <v>2187</v>
      </c>
      <c r="E36" s="140"/>
      <c r="F36" s="582"/>
      <c r="G36" s="95" t="s">
        <v>5172</v>
      </c>
      <c r="H36" s="214"/>
    </row>
    <row r="37" spans="1:8">
      <c r="A37" s="595">
        <f t="shared" si="0"/>
        <v>21</v>
      </c>
      <c r="B37" s="238"/>
      <c r="C37" s="140"/>
      <c r="D37" s="582"/>
      <c r="E37" s="140"/>
      <c r="F37" s="582"/>
      <c r="G37" s="95"/>
      <c r="H37" s="214"/>
    </row>
    <row r="38" spans="1:8">
      <c r="A38" s="595">
        <f t="shared" si="0"/>
        <v>22</v>
      </c>
      <c r="B38" s="238"/>
      <c r="C38" s="140"/>
      <c r="D38" s="582"/>
      <c r="E38" s="140"/>
      <c r="F38" s="582"/>
      <c r="G38" s="95"/>
      <c r="H38" s="214"/>
    </row>
    <row r="39" spans="1:8">
      <c r="A39" s="595">
        <f t="shared" si="0"/>
        <v>23</v>
      </c>
      <c r="B39" s="238"/>
      <c r="C39" s="140"/>
      <c r="D39" s="582"/>
      <c r="E39" s="140"/>
      <c r="F39" s="582"/>
      <c r="G39" s="95"/>
      <c r="H39" s="214"/>
    </row>
    <row r="40" spans="1:8">
      <c r="A40" s="595">
        <f t="shared" si="0"/>
        <v>24</v>
      </c>
      <c r="B40" s="238" t="s">
        <v>2722</v>
      </c>
      <c r="C40" s="716">
        <f>SUM(C18:C39)</f>
        <v>71963</v>
      </c>
      <c r="D40" s="716">
        <f>SUM(D18:D39)</f>
        <v>71963</v>
      </c>
      <c r="E40" s="716">
        <f>SUM(E18:E39)</f>
        <v>0</v>
      </c>
      <c r="F40" s="716">
        <f>SUM(F18:F39)</f>
        <v>0</v>
      </c>
      <c r="G40" s="227"/>
      <c r="H40" s="214"/>
    </row>
    <row r="41" spans="1:8">
      <c r="A41" s="595">
        <f t="shared" si="0"/>
        <v>25</v>
      </c>
      <c r="B41" s="1787" t="s">
        <v>2723</v>
      </c>
      <c r="C41" s="800"/>
      <c r="D41" s="965"/>
      <c r="E41" s="800"/>
      <c r="F41" s="965"/>
      <c r="G41" s="963"/>
      <c r="H41" s="964"/>
    </row>
    <row r="42" spans="1:8">
      <c r="A42" s="595">
        <f t="shared" si="0"/>
        <v>26</v>
      </c>
      <c r="B42" s="714"/>
      <c r="C42" s="140"/>
      <c r="D42" s="582"/>
      <c r="E42" s="140"/>
      <c r="F42" s="582"/>
      <c r="G42" s="227"/>
      <c r="H42" s="214"/>
    </row>
    <row r="43" spans="1:8">
      <c r="A43" s="595">
        <f t="shared" si="0"/>
        <v>27</v>
      </c>
      <c r="B43" s="714" t="s">
        <v>3731</v>
      </c>
      <c r="C43" s="140">
        <v>434</v>
      </c>
      <c r="D43" s="582">
        <f t="shared" ref="D43:D51" si="2">C43</f>
        <v>434</v>
      </c>
      <c r="E43" s="140"/>
      <c r="F43" s="582"/>
      <c r="G43" s="227"/>
      <c r="H43" s="214"/>
    </row>
    <row r="44" spans="1:8">
      <c r="A44" s="595">
        <f t="shared" si="0"/>
        <v>28</v>
      </c>
      <c r="B44" s="714" t="s">
        <v>32</v>
      </c>
      <c r="C44" s="140">
        <v>43390</v>
      </c>
      <c r="D44" s="582">
        <f t="shared" si="2"/>
        <v>43390</v>
      </c>
      <c r="E44" s="140"/>
      <c r="F44" s="582"/>
      <c r="G44" s="227"/>
      <c r="H44" s="214"/>
    </row>
    <row r="45" spans="1:8">
      <c r="A45" s="595">
        <f t="shared" si="0"/>
        <v>29</v>
      </c>
      <c r="B45" s="714" t="s">
        <v>2909</v>
      </c>
      <c r="C45" s="140">
        <v>1553</v>
      </c>
      <c r="D45" s="582">
        <f t="shared" si="2"/>
        <v>1553</v>
      </c>
      <c r="E45" s="140"/>
      <c r="F45" s="582"/>
      <c r="G45" s="227"/>
      <c r="H45" s="214"/>
    </row>
    <row r="46" spans="1:8">
      <c r="A46" s="595">
        <f t="shared" si="0"/>
        <v>30</v>
      </c>
      <c r="B46" s="714" t="s">
        <v>502</v>
      </c>
      <c r="C46" s="140">
        <v>232</v>
      </c>
      <c r="D46" s="582">
        <f t="shared" si="2"/>
        <v>232</v>
      </c>
      <c r="E46" s="140"/>
      <c r="F46" s="582"/>
      <c r="G46" s="227"/>
      <c r="H46" s="214"/>
    </row>
    <row r="47" spans="1:8">
      <c r="A47" s="595">
        <f t="shared" si="0"/>
        <v>31</v>
      </c>
      <c r="B47" s="714" t="s">
        <v>82</v>
      </c>
      <c r="C47" s="140">
        <v>737</v>
      </c>
      <c r="D47" s="582">
        <f t="shared" si="2"/>
        <v>737</v>
      </c>
      <c r="E47" s="140"/>
      <c r="F47" s="582"/>
      <c r="G47" s="227"/>
      <c r="H47" s="214"/>
    </row>
    <row r="48" spans="1:8">
      <c r="A48" s="595">
        <f t="shared" si="0"/>
        <v>32</v>
      </c>
      <c r="B48" s="714" t="s">
        <v>608</v>
      </c>
      <c r="C48" s="140">
        <v>39</v>
      </c>
      <c r="D48" s="582">
        <f t="shared" si="2"/>
        <v>39</v>
      </c>
      <c r="E48" s="140"/>
      <c r="F48" s="582"/>
      <c r="G48" s="227"/>
      <c r="H48" s="214"/>
    </row>
    <row r="49" spans="1:8">
      <c r="A49" s="595">
        <f t="shared" si="0"/>
        <v>33</v>
      </c>
      <c r="B49" s="714" t="s">
        <v>609</v>
      </c>
      <c r="C49" s="140">
        <v>167</v>
      </c>
      <c r="D49" s="582">
        <f t="shared" si="2"/>
        <v>167</v>
      </c>
      <c r="E49" s="140"/>
      <c r="F49" s="582"/>
      <c r="G49" s="227"/>
      <c r="H49" s="214"/>
    </row>
    <row r="50" spans="1:8">
      <c r="A50" s="595">
        <f t="shared" si="0"/>
        <v>34</v>
      </c>
      <c r="B50" s="714" t="s">
        <v>610</v>
      </c>
      <c r="C50" s="140">
        <v>94</v>
      </c>
      <c r="D50" s="582">
        <f t="shared" si="2"/>
        <v>94</v>
      </c>
      <c r="E50" s="140"/>
      <c r="F50" s="582"/>
      <c r="G50" s="227"/>
      <c r="H50" s="214"/>
    </row>
    <row r="51" spans="1:8">
      <c r="A51" s="595">
        <f t="shared" si="0"/>
        <v>35</v>
      </c>
      <c r="B51" s="714" t="s">
        <v>2901</v>
      </c>
      <c r="C51" s="1480">
        <v>29</v>
      </c>
      <c r="D51" s="582">
        <f t="shared" si="2"/>
        <v>29</v>
      </c>
      <c r="E51" s="140"/>
      <c r="F51" s="582"/>
      <c r="G51" s="227"/>
      <c r="H51" s="214"/>
    </row>
    <row r="52" spans="1:8">
      <c r="A52" s="595">
        <f t="shared" si="0"/>
        <v>36</v>
      </c>
      <c r="B52" s="238"/>
      <c r="C52" s="140"/>
      <c r="D52" s="582"/>
      <c r="E52" s="140"/>
      <c r="F52" s="582"/>
      <c r="G52" s="227"/>
      <c r="H52" s="214"/>
    </row>
    <row r="53" spans="1:8">
      <c r="A53" s="595">
        <f t="shared" si="0"/>
        <v>37</v>
      </c>
      <c r="B53" s="238"/>
      <c r="C53" s="140"/>
      <c r="D53" s="582"/>
      <c r="E53" s="140"/>
      <c r="F53" s="582"/>
      <c r="G53" s="227"/>
      <c r="H53" s="214"/>
    </row>
    <row r="54" spans="1:8">
      <c r="A54" s="595">
        <f t="shared" si="0"/>
        <v>38</v>
      </c>
      <c r="B54" s="238"/>
      <c r="C54" s="140"/>
      <c r="D54" s="582"/>
      <c r="E54" s="140"/>
      <c r="F54" s="582"/>
      <c r="G54" s="227"/>
      <c r="H54" s="214"/>
    </row>
    <row r="55" spans="1:8">
      <c r="A55" s="595">
        <f>+A54+1</f>
        <v>39</v>
      </c>
      <c r="B55" s="238"/>
      <c r="C55" s="140"/>
      <c r="D55" s="582"/>
      <c r="E55" s="140"/>
      <c r="F55" s="582"/>
      <c r="G55" s="227"/>
      <c r="H55" s="214"/>
    </row>
    <row r="56" spans="1:8" ht="15.75" thickBot="1">
      <c r="A56" s="603">
        <f t="shared" si="0"/>
        <v>40</v>
      </c>
      <c r="B56" s="779" t="s">
        <v>2722</v>
      </c>
      <c r="C56" s="717">
        <f>SUM(C42:C55)</f>
        <v>46675</v>
      </c>
      <c r="D56" s="717">
        <f>SUM(D42:D55)</f>
        <v>46675</v>
      </c>
      <c r="E56" s="717">
        <f>SUM(E42:E55)</f>
        <v>0</v>
      </c>
      <c r="F56" s="717">
        <f>SUM(F42:F55)</f>
        <v>0</v>
      </c>
      <c r="G56" s="966"/>
      <c r="H56" s="217"/>
    </row>
    <row r="57" spans="1:8">
      <c r="A57" t="s">
        <v>2024</v>
      </c>
    </row>
    <row r="58" spans="1:8">
      <c r="A58" s="4" t="s">
        <v>2724</v>
      </c>
      <c r="B58" s="4"/>
      <c r="C58" s="4"/>
      <c r="D58" s="4"/>
      <c r="E58" s="4"/>
      <c r="F58" s="4"/>
      <c r="G58" s="4"/>
      <c r="H58" s="4"/>
    </row>
  </sheetData>
  <sortState xmlns:xlrd2="http://schemas.microsoft.com/office/spreadsheetml/2017/richdata2" ref="J18:P34">
    <sortCondition ref="J18:J34"/>
  </sortState>
  <phoneticPr fontId="0" type="noConversion"/>
  <pageMargins left="0.4" right="0.4" top="0.3" bottom="0.3" header="0.5" footer="0.5"/>
  <pageSetup scale="65" orientation="landscape"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transitionEvaluation="1"/>
  <dimension ref="A1:K260"/>
  <sheetViews>
    <sheetView defaultGridColor="0" colorId="22" zoomScaleNormal="100" workbookViewId="0">
      <pane xSplit="2" ySplit="15" topLeftCell="C31" activePane="bottomRight" state="frozen"/>
      <selection activeCell="S32" sqref="S32"/>
      <selection pane="topRight" activeCell="S32" sqref="S32"/>
      <selection pane="bottomLeft" activeCell="S32" sqref="S32"/>
      <selection pane="bottomRight" activeCell="F21" sqref="F21"/>
    </sheetView>
  </sheetViews>
  <sheetFormatPr defaultColWidth="9.77734375" defaultRowHeight="15"/>
  <cols>
    <col min="1" max="1" width="4.77734375" customWidth="1"/>
    <col min="2" max="2" width="30.77734375" customWidth="1"/>
    <col min="3" max="3" width="8.44140625" customWidth="1"/>
    <col min="4" max="11" width="11.33203125" customWidth="1"/>
  </cols>
  <sheetData>
    <row r="1" spans="1:11" ht="15.75" thickBot="1">
      <c r="A1" s="86" t="str">
        <f>'Data sheet'!A65</f>
        <v>Annual Report of Veolia Water New York, Inc.                                                                                          Year Ended  December 31, 2023</v>
      </c>
      <c r="B1" s="86"/>
      <c r="C1" s="86"/>
      <c r="D1" s="86"/>
      <c r="E1" s="86"/>
      <c r="F1" s="86"/>
      <c r="G1" s="86"/>
      <c r="H1" s="86"/>
      <c r="I1" s="86"/>
      <c r="J1" s="86"/>
      <c r="K1" s="86"/>
    </row>
    <row r="2" spans="1:11">
      <c r="A2" s="129"/>
      <c r="B2" s="130"/>
      <c r="C2" s="130"/>
      <c r="D2" s="130"/>
      <c r="E2" s="130"/>
      <c r="F2" s="130"/>
      <c r="G2" s="130"/>
      <c r="H2" s="130"/>
      <c r="I2" s="130"/>
      <c r="J2" s="130"/>
      <c r="K2" s="131"/>
    </row>
    <row r="3" spans="1:11" ht="15.75">
      <c r="A3" s="118" t="s">
        <v>2725</v>
      </c>
      <c r="B3" s="3"/>
      <c r="C3" s="3"/>
      <c r="D3" s="3"/>
      <c r="E3" s="3"/>
      <c r="F3" s="3"/>
      <c r="G3" s="3"/>
      <c r="H3" s="3"/>
      <c r="I3" s="5"/>
      <c r="J3" s="5"/>
      <c r="K3" s="132"/>
    </row>
    <row r="4" spans="1:11">
      <c r="A4" s="85"/>
      <c r="B4" s="86"/>
      <c r="C4" s="86"/>
      <c r="D4" s="86"/>
      <c r="E4" s="86"/>
      <c r="F4" s="86"/>
      <c r="G4" s="86"/>
      <c r="H4" s="86"/>
      <c r="I4" s="86"/>
      <c r="J4" s="86"/>
      <c r="K4" s="87"/>
    </row>
    <row r="5" spans="1:11">
      <c r="A5" s="85"/>
      <c r="B5" s="86" t="s">
        <v>2726</v>
      </c>
      <c r="C5" s="86"/>
      <c r="D5" s="86"/>
      <c r="E5" s="86"/>
      <c r="F5" s="86"/>
      <c r="G5" s="86" t="s">
        <v>2727</v>
      </c>
      <c r="H5" s="86"/>
      <c r="I5" s="86"/>
      <c r="J5" s="86"/>
      <c r="K5" s="87"/>
    </row>
    <row r="6" spans="1:11">
      <c r="A6" s="85"/>
      <c r="B6" s="86" t="s">
        <v>101</v>
      </c>
      <c r="C6" s="86"/>
      <c r="D6" s="86"/>
      <c r="E6" s="86"/>
      <c r="F6" s="86"/>
      <c r="G6" s="86" t="s">
        <v>102</v>
      </c>
      <c r="H6" s="86"/>
      <c r="I6" s="86"/>
      <c r="J6" s="86"/>
      <c r="K6" s="87"/>
    </row>
    <row r="7" spans="1:11">
      <c r="A7" s="85"/>
      <c r="B7" s="86" t="s">
        <v>103</v>
      </c>
      <c r="C7" s="86"/>
      <c r="D7" s="86"/>
      <c r="E7" s="86"/>
      <c r="F7" s="86"/>
      <c r="G7" s="86" t="s">
        <v>3096</v>
      </c>
      <c r="H7" s="86"/>
      <c r="I7" s="86"/>
      <c r="J7" s="86"/>
      <c r="K7" s="87"/>
    </row>
    <row r="8" spans="1:11">
      <c r="A8" s="85"/>
      <c r="B8" s="86"/>
      <c r="C8" s="86"/>
      <c r="D8" s="86"/>
      <c r="E8" s="86"/>
      <c r="F8" s="86"/>
      <c r="G8" s="86"/>
      <c r="H8" s="86"/>
      <c r="I8" s="86"/>
      <c r="J8" s="86"/>
      <c r="K8" s="87"/>
    </row>
    <row r="9" spans="1:11">
      <c r="A9" s="85"/>
      <c r="B9" s="86" t="s">
        <v>2815</v>
      </c>
      <c r="C9" s="86"/>
      <c r="D9" s="86"/>
      <c r="E9" s="86"/>
      <c r="F9" s="86"/>
      <c r="G9" s="86"/>
      <c r="H9" s="86"/>
      <c r="I9" s="86"/>
      <c r="J9" s="86"/>
      <c r="K9" s="87"/>
    </row>
    <row r="10" spans="1:11">
      <c r="A10" s="97"/>
      <c r="B10" s="98"/>
      <c r="C10" s="98"/>
      <c r="D10" s="98"/>
      <c r="E10" s="98"/>
      <c r="F10" s="98"/>
      <c r="G10" s="98"/>
      <c r="H10" s="98"/>
      <c r="I10" s="86"/>
      <c r="J10" s="86"/>
      <c r="K10" s="87"/>
    </row>
    <row r="11" spans="1:11">
      <c r="A11" s="85"/>
      <c r="B11" s="96"/>
      <c r="C11" s="86"/>
      <c r="D11" s="134" t="s">
        <v>2816</v>
      </c>
      <c r="E11" s="5"/>
      <c r="F11" s="5"/>
      <c r="G11" s="5"/>
      <c r="H11" s="117"/>
      <c r="I11" s="994" t="s">
        <v>202</v>
      </c>
      <c r="J11" s="618" t="s">
        <v>2723</v>
      </c>
      <c r="K11" s="478"/>
    </row>
    <row r="12" spans="1:11">
      <c r="A12" s="85"/>
      <c r="B12" s="109"/>
      <c r="C12" s="94" t="s">
        <v>2817</v>
      </c>
      <c r="D12" s="618" t="s">
        <v>2818</v>
      </c>
      <c r="E12" s="477"/>
      <c r="F12" s="618" t="s">
        <v>2819</v>
      </c>
      <c r="G12" s="477"/>
      <c r="H12" s="1190"/>
      <c r="I12" s="94" t="s">
        <v>2820</v>
      </c>
      <c r="J12" s="96"/>
      <c r="K12" s="87"/>
    </row>
    <row r="13" spans="1:11">
      <c r="A13" s="110" t="s">
        <v>1727</v>
      </c>
      <c r="B13" s="109" t="s">
        <v>2570</v>
      </c>
      <c r="C13" s="94" t="s">
        <v>2713</v>
      </c>
      <c r="D13" s="109" t="s">
        <v>3962</v>
      </c>
      <c r="E13" s="94" t="s">
        <v>2591</v>
      </c>
      <c r="F13" s="109" t="s">
        <v>3962</v>
      </c>
      <c r="G13" s="440" t="s">
        <v>2821</v>
      </c>
      <c r="H13" s="440" t="s">
        <v>2591</v>
      </c>
      <c r="I13" s="94" t="s">
        <v>2822</v>
      </c>
      <c r="J13" s="109" t="s">
        <v>3962</v>
      </c>
      <c r="K13" s="428" t="s">
        <v>2591</v>
      </c>
    </row>
    <row r="14" spans="1:11">
      <c r="A14" s="110" t="s">
        <v>1739</v>
      </c>
      <c r="B14" s="109"/>
      <c r="C14" s="94"/>
      <c r="D14" s="109" t="s">
        <v>1689</v>
      </c>
      <c r="E14" s="94" t="s">
        <v>1689</v>
      </c>
      <c r="F14" s="109" t="s">
        <v>1689</v>
      </c>
      <c r="G14" s="440" t="s">
        <v>2823</v>
      </c>
      <c r="H14" s="440" t="s">
        <v>1689</v>
      </c>
      <c r="I14" s="94" t="s">
        <v>2824</v>
      </c>
      <c r="J14" s="109" t="s">
        <v>1689</v>
      </c>
      <c r="K14" s="428" t="s">
        <v>1689</v>
      </c>
    </row>
    <row r="15" spans="1:11">
      <c r="A15" s="97"/>
      <c r="B15" s="997" t="s">
        <v>3279</v>
      </c>
      <c r="C15" s="996" t="s">
        <v>3280</v>
      </c>
      <c r="D15" s="997" t="s">
        <v>3281</v>
      </c>
      <c r="E15" s="996" t="s">
        <v>3282</v>
      </c>
      <c r="F15" s="997" t="s">
        <v>721</v>
      </c>
      <c r="G15" s="1000" t="s">
        <v>722</v>
      </c>
      <c r="H15" s="1000" t="s">
        <v>723</v>
      </c>
      <c r="I15" s="996" t="s">
        <v>335</v>
      </c>
      <c r="J15" s="997" t="s">
        <v>336</v>
      </c>
      <c r="K15" s="424" t="s">
        <v>337</v>
      </c>
    </row>
    <row r="16" spans="1:11">
      <c r="A16" s="110">
        <v>1</v>
      </c>
      <c r="B16" s="96" t="s">
        <v>503</v>
      </c>
      <c r="C16" s="1735" t="s">
        <v>504</v>
      </c>
      <c r="D16" s="508">
        <v>72681</v>
      </c>
      <c r="E16" s="426">
        <v>73606</v>
      </c>
      <c r="F16" s="508"/>
      <c r="G16" s="1192"/>
      <c r="H16" s="577"/>
      <c r="I16" s="426"/>
      <c r="J16" s="508"/>
      <c r="K16" s="427"/>
    </row>
    <row r="17" spans="1:11">
      <c r="A17" s="110">
        <v>2</v>
      </c>
      <c r="B17" s="96"/>
      <c r="C17" s="1735" t="s">
        <v>32</v>
      </c>
      <c r="D17" s="508">
        <v>607</v>
      </c>
      <c r="E17" s="426">
        <v>607</v>
      </c>
      <c r="F17" s="508"/>
      <c r="G17" s="1192"/>
      <c r="H17" s="577"/>
      <c r="I17" s="426"/>
      <c r="J17" s="508"/>
      <c r="K17" s="427"/>
    </row>
    <row r="18" spans="1:11">
      <c r="A18" s="110">
        <v>3</v>
      </c>
      <c r="B18" s="96"/>
      <c r="C18" s="1735" t="s">
        <v>2909</v>
      </c>
      <c r="D18" s="508">
        <v>3486</v>
      </c>
      <c r="E18" s="426">
        <v>3564</v>
      </c>
      <c r="F18" s="508"/>
      <c r="G18" s="1192"/>
      <c r="H18" s="577"/>
      <c r="I18" s="426"/>
      <c r="J18" s="508"/>
      <c r="K18" s="427"/>
    </row>
    <row r="19" spans="1:11">
      <c r="A19" s="110">
        <v>4</v>
      </c>
      <c r="B19" s="96"/>
      <c r="C19" s="1735" t="s">
        <v>505</v>
      </c>
      <c r="D19" s="508">
        <v>828</v>
      </c>
      <c r="E19" s="426">
        <v>834</v>
      </c>
      <c r="F19" s="508"/>
      <c r="G19" s="1192"/>
      <c r="H19" s="577"/>
      <c r="I19" s="426"/>
      <c r="J19" s="508"/>
      <c r="K19" s="427"/>
    </row>
    <row r="20" spans="1:11">
      <c r="A20" s="110">
        <v>5</v>
      </c>
      <c r="B20" s="96"/>
      <c r="C20" s="1735" t="s">
        <v>608</v>
      </c>
      <c r="D20" s="508">
        <v>760</v>
      </c>
      <c r="E20" s="426">
        <v>772</v>
      </c>
      <c r="F20" s="508"/>
      <c r="G20" s="1192"/>
      <c r="H20" s="577"/>
      <c r="I20" s="426"/>
      <c r="J20" s="508"/>
      <c r="K20" s="427"/>
    </row>
    <row r="21" spans="1:11">
      <c r="A21" s="110">
        <v>6</v>
      </c>
      <c r="B21" s="96" t="s">
        <v>506</v>
      </c>
      <c r="C21" s="1735" t="s">
        <v>609</v>
      </c>
      <c r="D21" s="508">
        <v>177</v>
      </c>
      <c r="E21" s="426">
        <v>179</v>
      </c>
      <c r="F21" s="508"/>
      <c r="G21" s="1192"/>
      <c r="H21" s="577"/>
      <c r="I21" s="426"/>
      <c r="J21" s="508"/>
      <c r="K21" s="427"/>
    </row>
    <row r="22" spans="1:11">
      <c r="A22" s="110">
        <v>7</v>
      </c>
      <c r="B22" s="96"/>
      <c r="C22" s="1735" t="s">
        <v>610</v>
      </c>
      <c r="D22" s="508">
        <v>118</v>
      </c>
      <c r="E22" s="426">
        <v>120</v>
      </c>
      <c r="F22" s="508"/>
      <c r="G22" s="1192"/>
      <c r="H22" s="577"/>
      <c r="I22" s="426"/>
      <c r="J22" s="508"/>
      <c r="K22" s="427"/>
    </row>
    <row r="23" spans="1:11">
      <c r="A23" s="110">
        <v>8</v>
      </c>
      <c r="B23" s="238"/>
      <c r="C23" s="1735" t="s">
        <v>2901</v>
      </c>
      <c r="D23" s="508">
        <v>99</v>
      </c>
      <c r="E23" s="426">
        <v>99</v>
      </c>
      <c r="F23" s="508"/>
      <c r="G23" s="1192"/>
      <c r="H23" s="577"/>
      <c r="I23" s="426"/>
      <c r="J23" s="508"/>
      <c r="K23" s="427"/>
    </row>
    <row r="24" spans="1:11">
      <c r="A24" s="110">
        <v>9</v>
      </c>
      <c r="B24" s="96"/>
      <c r="C24" s="1735" t="s">
        <v>2902</v>
      </c>
      <c r="D24" s="508">
        <v>8</v>
      </c>
      <c r="E24" s="426">
        <v>8</v>
      </c>
      <c r="F24" s="508"/>
      <c r="G24" s="1192"/>
      <c r="H24" s="577"/>
      <c r="I24" s="426"/>
      <c r="J24" s="508"/>
      <c r="K24" s="427"/>
    </row>
    <row r="25" spans="1:11">
      <c r="A25" s="110">
        <v>10</v>
      </c>
      <c r="B25" s="96"/>
      <c r="C25" s="1735"/>
      <c r="D25" s="508"/>
      <c r="E25" s="426"/>
      <c r="F25" s="508"/>
      <c r="G25" s="1192"/>
      <c r="H25" s="577"/>
      <c r="I25" s="426"/>
      <c r="J25" s="508"/>
      <c r="K25" s="427"/>
    </row>
    <row r="26" spans="1:11">
      <c r="A26" s="110">
        <v>11</v>
      </c>
      <c r="B26" s="96" t="s">
        <v>507</v>
      </c>
      <c r="C26" s="1735" t="s">
        <v>505</v>
      </c>
      <c r="D26" s="508">
        <v>295</v>
      </c>
      <c r="E26" s="426">
        <v>296</v>
      </c>
      <c r="F26" s="508"/>
      <c r="G26" s="1192"/>
      <c r="H26" s="577"/>
      <c r="I26" s="426"/>
      <c r="J26" s="508"/>
      <c r="K26" s="427"/>
    </row>
    <row r="27" spans="1:11">
      <c r="A27" s="110">
        <v>12</v>
      </c>
      <c r="B27" s="96" t="s">
        <v>508</v>
      </c>
      <c r="C27" s="1735" t="s">
        <v>608</v>
      </c>
      <c r="D27" s="508">
        <v>497</v>
      </c>
      <c r="E27" s="426">
        <v>497</v>
      </c>
      <c r="F27" s="508"/>
      <c r="G27" s="1192"/>
      <c r="H27" s="577"/>
      <c r="I27" s="426"/>
      <c r="J27" s="508"/>
      <c r="K27" s="427"/>
    </row>
    <row r="28" spans="1:11">
      <c r="A28" s="110">
        <v>13</v>
      </c>
      <c r="B28" s="96"/>
      <c r="C28" s="1735" t="s">
        <v>609</v>
      </c>
      <c r="D28" s="508">
        <v>39</v>
      </c>
      <c r="E28" s="426">
        <v>39</v>
      </c>
      <c r="F28" s="508"/>
      <c r="G28" s="1192"/>
      <c r="H28" s="577"/>
      <c r="I28" s="426"/>
      <c r="J28" s="508"/>
      <c r="K28" s="427"/>
    </row>
    <row r="29" spans="1:11">
      <c r="A29" s="110">
        <v>14</v>
      </c>
      <c r="B29" s="96"/>
      <c r="C29" s="1735" t="s">
        <v>610</v>
      </c>
      <c r="D29" s="508">
        <v>657</v>
      </c>
      <c r="E29" s="426">
        <v>658</v>
      </c>
      <c r="F29" s="508"/>
      <c r="G29" s="1192"/>
      <c r="H29" s="577"/>
      <c r="I29" s="426"/>
      <c r="J29" s="508"/>
      <c r="K29" s="427"/>
    </row>
    <row r="30" spans="1:11">
      <c r="A30" s="110">
        <v>15</v>
      </c>
      <c r="B30" s="96"/>
      <c r="C30" s="1735" t="s">
        <v>2901</v>
      </c>
      <c r="D30" s="508">
        <v>575</v>
      </c>
      <c r="E30" s="426">
        <v>576</v>
      </c>
      <c r="F30" s="508"/>
      <c r="G30" s="1192"/>
      <c r="H30" s="577"/>
      <c r="I30" s="426"/>
      <c r="J30" s="508"/>
      <c r="K30" s="427"/>
    </row>
    <row r="31" spans="1:11">
      <c r="A31" s="110">
        <v>16</v>
      </c>
      <c r="B31" s="96"/>
      <c r="C31" s="1736" t="s">
        <v>2902</v>
      </c>
      <c r="D31" s="577">
        <v>157</v>
      </c>
      <c r="E31" s="508">
        <v>157</v>
      </c>
      <c r="F31" s="577"/>
      <c r="G31" s="1192"/>
      <c r="H31" s="577"/>
      <c r="I31" s="426"/>
      <c r="J31" s="508"/>
      <c r="K31" s="427"/>
    </row>
    <row r="32" spans="1:11">
      <c r="A32" s="110">
        <v>17</v>
      </c>
      <c r="B32" s="1193"/>
      <c r="C32" s="1735" t="s">
        <v>2903</v>
      </c>
      <c r="D32" s="508">
        <v>14</v>
      </c>
      <c r="E32" s="426">
        <v>14</v>
      </c>
      <c r="F32" s="508"/>
      <c r="G32" s="1192"/>
      <c r="H32" s="577"/>
      <c r="I32" s="426"/>
      <c r="J32" s="508"/>
      <c r="K32" s="427"/>
    </row>
    <row r="33" spans="1:11">
      <c r="A33" s="110">
        <v>18</v>
      </c>
      <c r="B33" s="96"/>
      <c r="C33" s="1735"/>
      <c r="D33" s="508"/>
      <c r="E33" s="426"/>
      <c r="F33" s="508"/>
      <c r="G33" s="1192"/>
      <c r="H33" s="577"/>
      <c r="I33" s="426"/>
      <c r="J33" s="508"/>
      <c r="K33" s="427"/>
    </row>
    <row r="34" spans="1:11">
      <c r="A34" s="110">
        <v>19</v>
      </c>
      <c r="B34" s="96"/>
      <c r="C34" s="1191"/>
      <c r="D34" s="508"/>
      <c r="E34" s="426"/>
      <c r="F34" s="508"/>
      <c r="G34" s="1192"/>
      <c r="H34" s="577"/>
      <c r="I34" s="426"/>
      <c r="J34" s="508"/>
      <c r="K34" s="427"/>
    </row>
    <row r="35" spans="1:11">
      <c r="A35" s="110">
        <v>20</v>
      </c>
      <c r="B35" s="96" t="s">
        <v>4744</v>
      </c>
      <c r="C35" s="2390" t="s">
        <v>504</v>
      </c>
      <c r="D35" s="508">
        <v>928</v>
      </c>
      <c r="E35" s="426">
        <v>928</v>
      </c>
      <c r="F35" s="508"/>
      <c r="G35" s="1192"/>
      <c r="H35" s="577"/>
      <c r="I35" s="426"/>
      <c r="J35" s="508"/>
      <c r="K35" s="427"/>
    </row>
    <row r="36" spans="1:11">
      <c r="A36" s="110">
        <v>21</v>
      </c>
      <c r="B36" s="96" t="s">
        <v>4744</v>
      </c>
      <c r="C36" s="998" t="s">
        <v>2909</v>
      </c>
      <c r="D36" s="508">
        <v>5</v>
      </c>
      <c r="E36" s="426">
        <v>5</v>
      </c>
      <c r="F36" s="508"/>
      <c r="G36" s="1192"/>
      <c r="H36" s="577"/>
      <c r="I36" s="426"/>
      <c r="J36" s="508"/>
      <c r="K36" s="427"/>
    </row>
    <row r="37" spans="1:11">
      <c r="A37" s="110">
        <v>22</v>
      </c>
      <c r="B37" s="96" t="s">
        <v>4744</v>
      </c>
      <c r="C37" s="998" t="s">
        <v>608</v>
      </c>
      <c r="D37" s="508">
        <v>1</v>
      </c>
      <c r="E37" s="426">
        <v>1</v>
      </c>
      <c r="F37" s="508"/>
      <c r="G37" s="1192"/>
      <c r="H37" s="577"/>
      <c r="I37" s="426"/>
      <c r="J37" s="508"/>
      <c r="K37" s="427"/>
    </row>
    <row r="38" spans="1:11">
      <c r="A38" s="110">
        <v>23</v>
      </c>
      <c r="B38" s="96"/>
      <c r="C38" s="1191"/>
      <c r="D38" s="508"/>
      <c r="E38" s="426"/>
      <c r="F38" s="508"/>
      <c r="G38" s="1192"/>
      <c r="H38" s="577"/>
      <c r="I38" s="426"/>
      <c r="J38" s="508"/>
      <c r="K38" s="427"/>
    </row>
    <row r="39" spans="1:11">
      <c r="A39" s="110">
        <v>24</v>
      </c>
      <c r="B39" s="96"/>
      <c r="C39" s="1191"/>
      <c r="D39" s="508"/>
      <c r="E39" s="426"/>
      <c r="F39" s="508"/>
      <c r="G39" s="1192"/>
      <c r="H39" s="577"/>
      <c r="I39" s="426"/>
      <c r="J39" s="508"/>
      <c r="K39" s="427"/>
    </row>
    <row r="40" spans="1:11">
      <c r="A40" s="110">
        <v>25</v>
      </c>
      <c r="B40" s="96" t="s">
        <v>4870</v>
      </c>
      <c r="C40" s="1735" t="s">
        <v>4896</v>
      </c>
      <c r="D40" s="508">
        <v>2636</v>
      </c>
      <c r="E40" s="426">
        <v>2657</v>
      </c>
      <c r="F40" s="508"/>
      <c r="G40" s="1192"/>
      <c r="H40" s="577"/>
      <c r="I40" s="426">
        <v>15</v>
      </c>
      <c r="J40" s="508"/>
      <c r="K40" s="427"/>
    </row>
    <row r="41" spans="1:11">
      <c r="A41" s="110">
        <v>26</v>
      </c>
      <c r="B41" s="96" t="s">
        <v>4870</v>
      </c>
      <c r="C41" s="1735" t="s">
        <v>2909</v>
      </c>
      <c r="D41" s="508">
        <v>4</v>
      </c>
      <c r="E41" s="426">
        <v>4</v>
      </c>
      <c r="F41" s="508"/>
      <c r="G41" s="1192"/>
      <c r="H41" s="577"/>
      <c r="I41" s="426">
        <v>1</v>
      </c>
      <c r="J41" s="508"/>
      <c r="K41" s="427"/>
    </row>
    <row r="42" spans="1:11">
      <c r="A42" s="110">
        <v>27</v>
      </c>
      <c r="B42" s="96" t="s">
        <v>4870</v>
      </c>
      <c r="C42" s="1735" t="s">
        <v>505</v>
      </c>
      <c r="D42" s="508">
        <v>4</v>
      </c>
      <c r="E42" s="426">
        <v>4</v>
      </c>
      <c r="F42" s="508"/>
      <c r="G42" s="1192"/>
      <c r="H42" s="577"/>
      <c r="I42" s="426"/>
      <c r="J42" s="508"/>
      <c r="K42" s="427">
        <v>3</v>
      </c>
    </row>
    <row r="43" spans="1:11">
      <c r="A43" s="110">
        <v>28</v>
      </c>
      <c r="B43" s="96" t="s">
        <v>4870</v>
      </c>
      <c r="C43" s="1735" t="s">
        <v>608</v>
      </c>
      <c r="D43" s="508">
        <v>12</v>
      </c>
      <c r="E43" s="426">
        <v>11</v>
      </c>
      <c r="F43" s="508"/>
      <c r="G43" s="1192"/>
      <c r="H43" s="577"/>
      <c r="I43" s="426">
        <v>1</v>
      </c>
      <c r="J43" s="508"/>
      <c r="K43" s="427">
        <v>5</v>
      </c>
    </row>
    <row r="44" spans="1:11">
      <c r="A44" s="110">
        <v>29</v>
      </c>
      <c r="B44" s="96"/>
      <c r="C44" s="1735"/>
      <c r="D44" s="508"/>
      <c r="E44" s="426"/>
      <c r="F44" s="508"/>
      <c r="G44" s="1192"/>
      <c r="H44" s="577"/>
      <c r="I44" s="426"/>
      <c r="J44" s="508"/>
      <c r="K44" s="427"/>
    </row>
    <row r="45" spans="1:11">
      <c r="A45" s="110">
        <v>30</v>
      </c>
      <c r="B45" s="96"/>
      <c r="C45" s="1191"/>
      <c r="D45" s="508"/>
      <c r="E45" s="426"/>
      <c r="F45" s="508"/>
      <c r="G45" s="1192"/>
      <c r="H45" s="577"/>
      <c r="I45" s="426"/>
      <c r="J45" s="508"/>
      <c r="K45" s="427"/>
    </row>
    <row r="46" spans="1:11">
      <c r="A46" s="110">
        <v>31</v>
      </c>
      <c r="B46" s="96"/>
      <c r="C46" s="1191"/>
      <c r="D46" s="508"/>
      <c r="E46" s="426"/>
      <c r="F46" s="508"/>
      <c r="G46" s="1192"/>
      <c r="H46" s="577"/>
      <c r="I46" s="426"/>
      <c r="J46" s="508"/>
      <c r="K46" s="427"/>
    </row>
    <row r="47" spans="1:11">
      <c r="A47" s="110">
        <v>32</v>
      </c>
      <c r="B47" s="96"/>
      <c r="C47" s="1191"/>
      <c r="D47" s="508"/>
      <c r="E47" s="426"/>
      <c r="F47" s="508"/>
      <c r="G47" s="1192"/>
      <c r="H47" s="577"/>
      <c r="I47" s="426"/>
      <c r="J47" s="508"/>
      <c r="K47" s="427"/>
    </row>
    <row r="48" spans="1:11">
      <c r="A48" s="110">
        <v>33</v>
      </c>
      <c r="B48" s="96"/>
      <c r="C48" s="1191"/>
      <c r="D48" s="508"/>
      <c r="E48" s="426"/>
      <c r="F48" s="508"/>
      <c r="G48" s="1192"/>
      <c r="H48" s="577"/>
      <c r="I48" s="426"/>
      <c r="J48" s="508"/>
      <c r="K48" s="427"/>
    </row>
    <row r="49" spans="1:11" ht="15.75" thickBot="1">
      <c r="A49" s="437">
        <v>34</v>
      </c>
      <c r="B49" s="115" t="s">
        <v>4897</v>
      </c>
      <c r="C49" s="1194"/>
      <c r="D49" s="720">
        <f>SUM(D16:D48)</f>
        <v>84588</v>
      </c>
      <c r="E49" s="720">
        <f>SUM(E16:E48)</f>
        <v>85636</v>
      </c>
      <c r="F49" s="720">
        <f>SUM(F16:F48)</f>
        <v>0</v>
      </c>
      <c r="G49" s="1194"/>
      <c r="H49" s="720">
        <f>SUM(H16:H48)</f>
        <v>0</v>
      </c>
      <c r="I49" s="720">
        <f>SUM(I16:I48)</f>
        <v>17</v>
      </c>
      <c r="J49" s="720">
        <f>SUM(J16:J48)</f>
        <v>0</v>
      </c>
      <c r="K49" s="721">
        <f>SUM(K16:K48)</f>
        <v>8</v>
      </c>
    </row>
    <row r="50" spans="1:11">
      <c r="A50" s="86"/>
      <c r="B50" s="86"/>
      <c r="C50" s="86"/>
      <c r="D50" s="426"/>
      <c r="E50" s="86"/>
      <c r="F50" s="86"/>
      <c r="G50" s="86"/>
      <c r="H50" s="86"/>
      <c r="I50" s="86"/>
      <c r="J50" s="86"/>
      <c r="K50" s="405" t="s">
        <v>2024</v>
      </c>
    </row>
    <row r="51" spans="1:11">
      <c r="A51" s="5" t="s">
        <v>2825</v>
      </c>
      <c r="B51" s="5"/>
      <c r="C51" s="5"/>
      <c r="D51" s="5"/>
      <c r="E51" s="5"/>
      <c r="F51" s="5"/>
      <c r="G51" s="5"/>
      <c r="H51" s="5"/>
      <c r="I51" s="5"/>
      <c r="J51" s="5"/>
      <c r="K51" s="5"/>
    </row>
    <row r="52" spans="1:11">
      <c r="A52" s="86"/>
      <c r="B52" s="86"/>
      <c r="C52" s="86"/>
      <c r="D52" s="86"/>
      <c r="E52" s="86"/>
      <c r="F52" s="86"/>
      <c r="G52" s="86"/>
      <c r="H52" s="86"/>
      <c r="I52" s="86"/>
      <c r="J52" s="86"/>
      <c r="K52" s="86"/>
    </row>
    <row r="53" spans="1:11">
      <c r="A53" s="86"/>
      <c r="B53" s="86"/>
      <c r="C53" s="86"/>
      <c r="D53" s="86"/>
      <c r="E53" s="86"/>
      <c r="F53" s="86"/>
      <c r="G53" s="86"/>
      <c r="H53" s="86"/>
      <c r="I53" s="86"/>
      <c r="J53" s="86"/>
      <c r="K53" s="86"/>
    </row>
    <row r="54" spans="1:11">
      <c r="A54" s="86"/>
      <c r="B54" s="86"/>
      <c r="C54" s="86"/>
      <c r="D54" s="86"/>
      <c r="E54" s="86"/>
      <c r="F54" s="86"/>
      <c r="G54" s="86"/>
      <c r="H54" s="86"/>
      <c r="I54" s="86"/>
      <c r="J54" s="86"/>
      <c r="K54" s="86"/>
    </row>
    <row r="55" spans="1:11">
      <c r="A55" s="86"/>
      <c r="B55" s="86"/>
      <c r="C55" s="86"/>
      <c r="D55" s="86"/>
      <c r="E55" s="86"/>
      <c r="F55" s="86"/>
      <c r="G55" s="86"/>
      <c r="H55" s="86"/>
      <c r="I55" s="86"/>
      <c r="J55" s="86"/>
      <c r="K55" s="86"/>
    </row>
    <row r="56" spans="1:11">
      <c r="A56" s="86"/>
      <c r="B56" s="86"/>
      <c r="C56" s="86"/>
      <c r="D56" s="86"/>
      <c r="E56" s="86"/>
      <c r="F56" s="86"/>
      <c r="G56" s="86"/>
      <c r="H56" s="86"/>
      <c r="I56" s="86"/>
      <c r="J56" s="86"/>
      <c r="K56" s="86"/>
    </row>
    <row r="57" spans="1:11">
      <c r="A57" s="86"/>
      <c r="B57" s="86"/>
      <c r="C57" s="86"/>
      <c r="D57" s="86"/>
      <c r="E57" s="86"/>
      <c r="F57" s="86"/>
      <c r="G57" s="86"/>
      <c r="H57" s="86"/>
      <c r="I57" s="86"/>
      <c r="J57" s="86"/>
      <c r="K57" s="86"/>
    </row>
    <row r="58" spans="1:11">
      <c r="A58" s="86"/>
      <c r="B58" s="86"/>
      <c r="C58" s="86"/>
      <c r="D58" s="86"/>
      <c r="E58" s="86"/>
      <c r="F58" s="86"/>
      <c r="G58" s="86"/>
      <c r="H58" s="86"/>
      <c r="I58" s="86"/>
      <c r="J58" s="86"/>
      <c r="K58" s="86"/>
    </row>
    <row r="59" spans="1:11">
      <c r="A59" s="86"/>
      <c r="B59" s="86"/>
      <c r="C59" s="86"/>
      <c r="D59" s="86"/>
      <c r="E59" s="86"/>
      <c r="F59" s="86"/>
      <c r="G59" s="86"/>
      <c r="H59" s="86"/>
      <c r="I59" s="86"/>
      <c r="J59" s="86"/>
      <c r="K59" s="86"/>
    </row>
    <row r="60" spans="1:11">
      <c r="A60" s="86"/>
      <c r="B60" s="86"/>
      <c r="C60" s="86"/>
      <c r="D60" s="86"/>
      <c r="E60" s="86"/>
      <c r="F60" s="86"/>
      <c r="G60" s="86"/>
      <c r="H60" s="86"/>
      <c r="I60" s="86"/>
      <c r="J60" s="86"/>
      <c r="K60" s="86"/>
    </row>
    <row r="61" spans="1:11">
      <c r="A61" s="86"/>
      <c r="B61" s="86"/>
      <c r="C61" s="86"/>
      <c r="D61" s="86"/>
      <c r="E61" s="86"/>
      <c r="F61" s="86"/>
      <c r="G61" s="86"/>
      <c r="H61" s="86"/>
      <c r="I61" s="86"/>
      <c r="J61" s="86"/>
      <c r="K61" s="86"/>
    </row>
    <row r="62" spans="1:11">
      <c r="A62" s="86"/>
      <c r="B62" s="86"/>
      <c r="C62" s="86"/>
      <c r="D62" s="86"/>
      <c r="E62" s="86"/>
      <c r="F62" s="86"/>
      <c r="G62" s="86"/>
      <c r="H62" s="86"/>
      <c r="I62" s="86"/>
      <c r="J62" s="86"/>
      <c r="K62" s="86"/>
    </row>
    <row r="63" spans="1:11">
      <c r="A63" s="86"/>
      <c r="B63" s="86"/>
      <c r="C63" s="86"/>
      <c r="D63" s="86"/>
      <c r="E63" s="86"/>
      <c r="F63" s="86"/>
      <c r="G63" s="86"/>
      <c r="H63" s="86"/>
      <c r="I63" s="86"/>
      <c r="J63" s="86"/>
      <c r="K63" s="86"/>
    </row>
    <row r="64" spans="1:11">
      <c r="A64" s="86"/>
      <c r="B64" s="86"/>
      <c r="C64" s="86"/>
      <c r="D64" s="86"/>
      <c r="E64" s="86"/>
      <c r="F64" s="86"/>
      <c r="G64" s="86"/>
      <c r="H64" s="86"/>
      <c r="I64" s="86"/>
      <c r="J64" s="86"/>
      <c r="K64" s="86"/>
    </row>
    <row r="65" spans="1:11">
      <c r="A65" s="86"/>
      <c r="B65" s="86"/>
      <c r="C65" s="86"/>
      <c r="D65" s="86"/>
      <c r="E65" s="86"/>
      <c r="F65" s="86"/>
      <c r="G65" s="86"/>
      <c r="H65" s="86"/>
      <c r="I65" s="86"/>
      <c r="J65" s="86"/>
      <c r="K65" s="86"/>
    </row>
    <row r="66" spans="1:11">
      <c r="A66" s="86"/>
      <c r="B66" s="86"/>
      <c r="C66" s="86"/>
      <c r="D66" s="86"/>
      <c r="E66" s="86"/>
      <c r="F66" s="86"/>
      <c r="G66" s="86"/>
      <c r="H66" s="86"/>
      <c r="I66" s="86"/>
      <c r="J66" s="86"/>
      <c r="K66" s="86"/>
    </row>
    <row r="67" spans="1:11">
      <c r="A67" s="86"/>
      <c r="B67" s="86"/>
      <c r="C67" s="86"/>
      <c r="D67" s="86"/>
      <c r="E67" s="86"/>
      <c r="F67" s="86"/>
      <c r="G67" s="86"/>
      <c r="H67" s="86"/>
      <c r="I67" s="86"/>
      <c r="J67" s="86"/>
      <c r="K67" s="86"/>
    </row>
    <row r="68" spans="1:11">
      <c r="A68" s="86"/>
      <c r="B68" s="86"/>
      <c r="C68" s="86"/>
      <c r="D68" s="86"/>
      <c r="E68" s="86"/>
      <c r="F68" s="86"/>
      <c r="G68" s="86"/>
      <c r="H68" s="86"/>
      <c r="I68" s="86"/>
      <c r="J68" s="86"/>
      <c r="K68" s="86"/>
    </row>
    <row r="69" spans="1:11">
      <c r="A69" s="86"/>
      <c r="B69" s="86"/>
      <c r="C69" s="86"/>
      <c r="D69" s="86"/>
      <c r="E69" s="86"/>
      <c r="F69" s="86"/>
      <c r="G69" s="86"/>
      <c r="H69" s="86"/>
      <c r="I69" s="86"/>
      <c r="J69" s="86"/>
      <c r="K69" s="86"/>
    </row>
    <row r="70" spans="1:11">
      <c r="A70" s="86"/>
      <c r="B70" s="86"/>
      <c r="C70" s="86"/>
      <c r="D70" s="86"/>
      <c r="E70" s="86"/>
      <c r="F70" s="86"/>
      <c r="G70" s="86"/>
      <c r="H70" s="86"/>
      <c r="I70" s="86"/>
      <c r="J70" s="86"/>
      <c r="K70" s="86"/>
    </row>
    <row r="71" spans="1:11">
      <c r="A71" s="86"/>
      <c r="B71" s="86"/>
      <c r="C71" s="86"/>
      <c r="D71" s="86"/>
      <c r="E71" s="86"/>
      <c r="F71" s="86"/>
      <c r="G71" s="86"/>
      <c r="H71" s="86"/>
      <c r="I71" s="86"/>
      <c r="J71" s="86"/>
      <c r="K71" s="86"/>
    </row>
    <row r="72" spans="1:11">
      <c r="A72" s="86"/>
      <c r="B72" s="86"/>
      <c r="C72" s="86"/>
      <c r="D72" s="86"/>
      <c r="E72" s="86"/>
      <c r="F72" s="86"/>
      <c r="G72" s="86"/>
      <c r="H72" s="86"/>
      <c r="I72" s="86"/>
      <c r="J72" s="86"/>
      <c r="K72" s="86"/>
    </row>
    <row r="73" spans="1:11">
      <c r="A73" s="86"/>
      <c r="B73" s="86"/>
      <c r="C73" s="86"/>
      <c r="D73" s="86"/>
      <c r="E73" s="86"/>
      <c r="F73" s="86"/>
      <c r="G73" s="86"/>
      <c r="H73" s="86"/>
      <c r="I73" s="86"/>
      <c r="J73" s="86"/>
      <c r="K73" s="86"/>
    </row>
    <row r="74" spans="1:11">
      <c r="A74" s="86"/>
      <c r="B74" s="86"/>
      <c r="C74" s="86"/>
      <c r="D74" s="86"/>
      <c r="E74" s="86"/>
      <c r="F74" s="86"/>
      <c r="G74" s="86"/>
      <c r="H74" s="86"/>
      <c r="I74" s="86"/>
      <c r="J74" s="86"/>
      <c r="K74" s="86"/>
    </row>
    <row r="75" spans="1:11">
      <c r="A75" s="86"/>
      <c r="B75" s="86"/>
      <c r="C75" s="86"/>
      <c r="D75" s="86"/>
      <c r="E75" s="86"/>
      <c r="F75" s="86"/>
      <c r="G75" s="86"/>
      <c r="H75" s="86"/>
      <c r="I75" s="86"/>
      <c r="J75" s="86"/>
      <c r="K75" s="86"/>
    </row>
    <row r="76" spans="1:11">
      <c r="A76" s="86"/>
      <c r="B76" s="86"/>
      <c r="C76" s="86"/>
      <c r="D76" s="86"/>
      <c r="E76" s="86"/>
      <c r="F76" s="86"/>
      <c r="G76" s="86"/>
      <c r="H76" s="86"/>
      <c r="I76" s="86"/>
      <c r="J76" s="86"/>
      <c r="K76" s="86"/>
    </row>
    <row r="77" spans="1:11">
      <c r="A77" s="86"/>
      <c r="B77" s="86"/>
      <c r="C77" s="86"/>
      <c r="D77" s="86"/>
      <c r="E77" s="86"/>
      <c r="F77" s="86"/>
      <c r="G77" s="86"/>
      <c r="H77" s="86"/>
      <c r="I77" s="86"/>
      <c r="J77" s="86"/>
      <c r="K77" s="86"/>
    </row>
    <row r="78" spans="1:11">
      <c r="A78" s="86"/>
      <c r="B78" s="86"/>
      <c r="C78" s="86"/>
      <c r="D78" s="86"/>
      <c r="E78" s="86"/>
      <c r="F78" s="86"/>
      <c r="G78" s="86"/>
      <c r="H78" s="86"/>
      <c r="I78" s="86"/>
      <c r="J78" s="86"/>
      <c r="K78" s="86"/>
    </row>
    <row r="79" spans="1:11">
      <c r="A79" s="86"/>
      <c r="B79" s="86"/>
      <c r="C79" s="86"/>
      <c r="D79" s="86"/>
      <c r="E79" s="86"/>
      <c r="F79" s="86"/>
      <c r="G79" s="86"/>
      <c r="H79" s="86"/>
      <c r="I79" s="86"/>
      <c r="J79" s="86"/>
      <c r="K79" s="86"/>
    </row>
    <row r="80" spans="1:11">
      <c r="A80" s="86"/>
      <c r="B80" s="86"/>
      <c r="C80" s="86"/>
      <c r="D80" s="86"/>
      <c r="E80" s="86"/>
      <c r="F80" s="86"/>
      <c r="G80" s="86"/>
      <c r="H80" s="86"/>
      <c r="I80" s="86"/>
      <c r="J80" s="86"/>
      <c r="K80" s="86"/>
    </row>
    <row r="81" spans="1:11">
      <c r="A81" s="86"/>
      <c r="B81" s="86"/>
      <c r="C81" s="86"/>
      <c r="D81" s="86"/>
      <c r="E81" s="86"/>
      <c r="F81" s="86"/>
      <c r="G81" s="86"/>
      <c r="H81" s="86"/>
      <c r="I81" s="86"/>
      <c r="J81" s="86"/>
      <c r="K81" s="86"/>
    </row>
    <row r="82" spans="1:11">
      <c r="A82" s="86"/>
      <c r="B82" s="86"/>
      <c r="C82" s="86"/>
      <c r="D82" s="86"/>
      <c r="E82" s="86"/>
      <c r="F82" s="86"/>
      <c r="G82" s="86"/>
      <c r="H82" s="86"/>
      <c r="I82" s="86"/>
      <c r="J82" s="86"/>
      <c r="K82" s="86"/>
    </row>
    <row r="83" spans="1:11">
      <c r="A83" s="86"/>
      <c r="B83" s="86"/>
      <c r="C83" s="86"/>
      <c r="D83" s="86"/>
      <c r="E83" s="86"/>
      <c r="F83" s="86"/>
      <c r="G83" s="86"/>
      <c r="H83" s="86"/>
      <c r="I83" s="86"/>
      <c r="J83" s="86"/>
      <c r="K83" s="86"/>
    </row>
    <row r="84" spans="1:11">
      <c r="A84" s="86"/>
      <c r="B84" s="86"/>
      <c r="C84" s="86"/>
      <c r="D84" s="86"/>
      <c r="E84" s="86"/>
      <c r="F84" s="86"/>
      <c r="G84" s="86"/>
      <c r="H84" s="86"/>
      <c r="I84" s="86"/>
      <c r="J84" s="86"/>
      <c r="K84" s="86"/>
    </row>
    <row r="85" spans="1:11">
      <c r="A85" s="86"/>
      <c r="B85" s="86"/>
      <c r="C85" s="86"/>
      <c r="D85" s="86"/>
      <c r="E85" s="86"/>
      <c r="F85" s="86"/>
      <c r="G85" s="86"/>
      <c r="H85" s="86"/>
      <c r="I85" s="86"/>
      <c r="J85" s="86"/>
      <c r="K85" s="86"/>
    </row>
    <row r="86" spans="1:11">
      <c r="A86" s="86"/>
      <c r="B86" s="86"/>
      <c r="C86" s="86"/>
      <c r="D86" s="86"/>
      <c r="E86" s="86"/>
      <c r="F86" s="86"/>
      <c r="G86" s="86"/>
      <c r="H86" s="86"/>
      <c r="I86" s="86"/>
      <c r="J86" s="86"/>
      <c r="K86" s="86"/>
    </row>
    <row r="87" spans="1:11">
      <c r="A87" s="86"/>
      <c r="B87" s="86"/>
      <c r="C87" s="86"/>
      <c r="D87" s="86"/>
      <c r="E87" s="86"/>
      <c r="F87" s="86"/>
      <c r="G87" s="86"/>
      <c r="H87" s="86"/>
      <c r="I87" s="86"/>
      <c r="J87" s="86"/>
      <c r="K87" s="86"/>
    </row>
    <row r="88" spans="1:11">
      <c r="A88" s="86"/>
      <c r="B88" s="86"/>
      <c r="C88" s="86"/>
      <c r="D88" s="86"/>
      <c r="E88" s="86"/>
      <c r="F88" s="86"/>
      <c r="G88" s="86"/>
      <c r="H88" s="86"/>
      <c r="I88" s="86"/>
      <c r="J88" s="86"/>
      <c r="K88" s="86"/>
    </row>
    <row r="89" spans="1:11">
      <c r="A89" s="86"/>
      <c r="B89" s="86"/>
      <c r="C89" s="86"/>
      <c r="D89" s="86"/>
      <c r="E89" s="86"/>
      <c r="F89" s="86"/>
      <c r="G89" s="86"/>
      <c r="H89" s="86"/>
      <c r="I89" s="86"/>
      <c r="J89" s="86"/>
      <c r="K89" s="86"/>
    </row>
    <row r="90" spans="1:11">
      <c r="A90" s="86"/>
      <c r="B90" s="86"/>
      <c r="C90" s="86"/>
      <c r="D90" s="86"/>
      <c r="E90" s="86"/>
      <c r="F90" s="86"/>
      <c r="G90" s="86"/>
      <c r="H90" s="86"/>
      <c r="I90" s="86"/>
      <c r="J90" s="86"/>
      <c r="K90" s="86"/>
    </row>
    <row r="91" spans="1:11">
      <c r="A91" s="86"/>
      <c r="B91" s="86"/>
      <c r="C91" s="86"/>
      <c r="D91" s="86"/>
      <c r="E91" s="86"/>
      <c r="F91" s="86"/>
      <c r="G91" s="86"/>
      <c r="H91" s="86"/>
      <c r="I91" s="86"/>
      <c r="J91" s="86"/>
      <c r="K91" s="86"/>
    </row>
    <row r="92" spans="1:11">
      <c r="A92" s="86"/>
      <c r="B92" s="86"/>
      <c r="C92" s="86"/>
      <c r="D92" s="86"/>
      <c r="E92" s="86"/>
      <c r="F92" s="86"/>
      <c r="G92" s="86"/>
      <c r="H92" s="86"/>
      <c r="I92" s="86"/>
      <c r="J92" s="86"/>
      <c r="K92" s="86"/>
    </row>
    <row r="93" spans="1:11">
      <c r="A93" s="86"/>
      <c r="B93" s="86"/>
      <c r="C93" s="86"/>
      <c r="D93" s="86"/>
      <c r="E93" s="86"/>
      <c r="F93" s="86"/>
      <c r="G93" s="86"/>
      <c r="H93" s="86"/>
      <c r="I93" s="86"/>
      <c r="J93" s="86"/>
      <c r="K93" s="86"/>
    </row>
    <row r="94" spans="1:11">
      <c r="A94" s="86"/>
      <c r="B94" s="86"/>
      <c r="C94" s="86"/>
      <c r="D94" s="86"/>
      <c r="E94" s="86"/>
      <c r="F94" s="86"/>
      <c r="G94" s="86"/>
      <c r="H94" s="86"/>
      <c r="I94" s="86"/>
      <c r="J94" s="86"/>
      <c r="K94" s="86"/>
    </row>
    <row r="95" spans="1:11">
      <c r="A95" s="86"/>
      <c r="B95" s="86"/>
      <c r="C95" s="86"/>
      <c r="D95" s="86"/>
      <c r="E95" s="86"/>
      <c r="F95" s="86"/>
      <c r="G95" s="86"/>
      <c r="H95" s="86"/>
      <c r="I95" s="86"/>
      <c r="J95" s="86"/>
      <c r="K95" s="86"/>
    </row>
    <row r="96" spans="1:11">
      <c r="A96" s="86"/>
      <c r="B96" s="86"/>
      <c r="C96" s="86"/>
      <c r="D96" s="86"/>
      <c r="E96" s="86"/>
      <c r="F96" s="86"/>
      <c r="G96" s="86"/>
      <c r="H96" s="86"/>
      <c r="I96" s="86"/>
      <c r="J96" s="86"/>
      <c r="K96" s="86"/>
    </row>
    <row r="97" spans="1:11">
      <c r="A97" s="86"/>
      <c r="B97" s="86"/>
      <c r="C97" s="86"/>
      <c r="D97" s="86"/>
      <c r="E97" s="86"/>
      <c r="F97" s="86"/>
      <c r="G97" s="86"/>
      <c r="H97" s="86"/>
      <c r="I97" s="86"/>
      <c r="J97" s="86"/>
      <c r="K97" s="86"/>
    </row>
    <row r="98" spans="1:11">
      <c r="A98" s="86"/>
      <c r="B98" s="86"/>
      <c r="C98" s="86"/>
      <c r="D98" s="86"/>
      <c r="E98" s="86"/>
      <c r="F98" s="86"/>
      <c r="G98" s="86"/>
      <c r="H98" s="86"/>
      <c r="I98" s="86"/>
      <c r="J98" s="86"/>
      <c r="K98" s="86"/>
    </row>
    <row r="99" spans="1:11">
      <c r="A99" s="86"/>
      <c r="B99" s="86"/>
      <c r="C99" s="86"/>
      <c r="D99" s="86"/>
      <c r="E99" s="86"/>
      <c r="F99" s="86"/>
      <c r="G99" s="86"/>
      <c r="H99" s="86"/>
      <c r="I99" s="86"/>
      <c r="J99" s="86"/>
      <c r="K99" s="86"/>
    </row>
    <row r="100" spans="1:11">
      <c r="A100" s="86"/>
      <c r="B100" s="86"/>
      <c r="C100" s="86"/>
      <c r="D100" s="86"/>
      <c r="E100" s="86"/>
      <c r="F100" s="86"/>
      <c r="G100" s="86"/>
      <c r="H100" s="86"/>
      <c r="I100" s="86"/>
      <c r="J100" s="86"/>
      <c r="K100" s="86"/>
    </row>
    <row r="101" spans="1:11">
      <c r="A101" s="86"/>
      <c r="B101" s="86"/>
      <c r="C101" s="86"/>
      <c r="D101" s="86"/>
      <c r="E101" s="86"/>
      <c r="F101" s="86"/>
      <c r="G101" s="86"/>
      <c r="H101" s="86"/>
      <c r="I101" s="86"/>
      <c r="J101" s="86"/>
      <c r="K101" s="86"/>
    </row>
    <row r="102" spans="1:11">
      <c r="A102" s="86"/>
      <c r="B102" s="86"/>
      <c r="C102" s="86"/>
      <c r="D102" s="86"/>
      <c r="E102" s="86"/>
      <c r="F102" s="86"/>
      <c r="G102" s="86"/>
      <c r="H102" s="86"/>
      <c r="I102" s="86"/>
      <c r="J102" s="86"/>
      <c r="K102" s="86"/>
    </row>
    <row r="103" spans="1:11">
      <c r="A103" s="86"/>
      <c r="B103" s="86"/>
      <c r="C103" s="86"/>
      <c r="D103" s="86"/>
      <c r="E103" s="86"/>
      <c r="F103" s="86"/>
      <c r="G103" s="86"/>
      <c r="H103" s="86"/>
      <c r="I103" s="86"/>
      <c r="J103" s="86"/>
      <c r="K103" s="86"/>
    </row>
    <row r="104" spans="1:11">
      <c r="A104" s="86"/>
      <c r="B104" s="86"/>
      <c r="C104" s="86"/>
      <c r="D104" s="86"/>
      <c r="E104" s="86"/>
      <c r="F104" s="86"/>
      <c r="G104" s="86"/>
      <c r="H104" s="86"/>
      <c r="I104" s="86"/>
      <c r="J104" s="86"/>
      <c r="K104" s="86"/>
    </row>
    <row r="105" spans="1:11">
      <c r="A105" s="86"/>
      <c r="B105" s="86"/>
      <c r="C105" s="86"/>
      <c r="D105" s="86"/>
      <c r="E105" s="86"/>
      <c r="F105" s="86"/>
      <c r="G105" s="86"/>
      <c r="H105" s="86"/>
      <c r="I105" s="86"/>
      <c r="J105" s="86"/>
      <c r="K105" s="86"/>
    </row>
    <row r="106" spans="1:11">
      <c r="A106" s="86"/>
      <c r="B106" s="86"/>
      <c r="C106" s="86"/>
      <c r="D106" s="86"/>
      <c r="E106" s="86"/>
      <c r="F106" s="86"/>
      <c r="G106" s="86"/>
      <c r="H106" s="86"/>
      <c r="I106" s="86"/>
      <c r="J106" s="86"/>
      <c r="K106" s="86"/>
    </row>
    <row r="107" spans="1:11">
      <c r="A107" s="86"/>
      <c r="B107" s="86"/>
      <c r="C107" s="86"/>
      <c r="D107" s="86"/>
      <c r="E107" s="86"/>
      <c r="F107" s="86"/>
      <c r="G107" s="86"/>
      <c r="H107" s="86"/>
      <c r="I107" s="86"/>
      <c r="J107" s="86"/>
      <c r="K107" s="86"/>
    </row>
    <row r="108" spans="1:11">
      <c r="A108" s="86"/>
      <c r="B108" s="86"/>
      <c r="C108" s="86"/>
      <c r="D108" s="86"/>
      <c r="E108" s="86"/>
      <c r="F108" s="86"/>
      <c r="G108" s="86"/>
      <c r="H108" s="86"/>
      <c r="I108" s="86"/>
      <c r="J108" s="86"/>
      <c r="K108" s="86"/>
    </row>
    <row r="109" spans="1:11">
      <c r="A109" s="86"/>
      <c r="B109" s="86"/>
      <c r="C109" s="86"/>
      <c r="D109" s="86"/>
      <c r="E109" s="86"/>
      <c r="F109" s="86"/>
      <c r="G109" s="86"/>
      <c r="H109" s="86"/>
      <c r="I109" s="86"/>
      <c r="J109" s="86"/>
      <c r="K109" s="86"/>
    </row>
    <row r="110" spans="1:11">
      <c r="A110" s="86"/>
      <c r="B110" s="86"/>
      <c r="C110" s="86"/>
      <c r="D110" s="86"/>
      <c r="E110" s="86"/>
      <c r="F110" s="86"/>
      <c r="G110" s="86"/>
      <c r="H110" s="86"/>
      <c r="I110" s="86"/>
      <c r="J110" s="86"/>
      <c r="K110" s="86"/>
    </row>
    <row r="111" spans="1:11">
      <c r="A111" s="86"/>
      <c r="B111" s="86"/>
      <c r="C111" s="86"/>
      <c r="D111" s="86"/>
      <c r="E111" s="86"/>
      <c r="F111" s="86"/>
      <c r="G111" s="86"/>
      <c r="H111" s="86"/>
      <c r="I111" s="86"/>
      <c r="J111" s="86"/>
      <c r="K111" s="86"/>
    </row>
    <row r="112" spans="1:11">
      <c r="A112" s="86"/>
      <c r="B112" s="86"/>
      <c r="C112" s="86"/>
      <c r="D112" s="86"/>
      <c r="E112" s="86"/>
      <c r="F112" s="86"/>
      <c r="G112" s="86"/>
      <c r="H112" s="86"/>
      <c r="I112" s="86"/>
      <c r="J112" s="86"/>
      <c r="K112" s="86"/>
    </row>
    <row r="113" spans="1:11">
      <c r="A113" s="86"/>
      <c r="B113" s="86"/>
      <c r="C113" s="86"/>
      <c r="D113" s="86"/>
      <c r="E113" s="86"/>
      <c r="F113" s="86"/>
      <c r="G113" s="86"/>
      <c r="H113" s="86"/>
      <c r="I113" s="86"/>
      <c r="J113" s="86"/>
      <c r="K113" s="86"/>
    </row>
    <row r="114" spans="1:11">
      <c r="A114" s="86"/>
      <c r="B114" s="86"/>
      <c r="C114" s="86"/>
      <c r="D114" s="86"/>
      <c r="E114" s="86"/>
      <c r="F114" s="86"/>
      <c r="G114" s="86"/>
      <c r="H114" s="86"/>
      <c r="I114" s="86"/>
      <c r="J114" s="86"/>
      <c r="K114" s="86"/>
    </row>
    <row r="115" spans="1:11">
      <c r="A115" s="86"/>
      <c r="B115" s="86"/>
      <c r="C115" s="86"/>
      <c r="D115" s="86"/>
      <c r="E115" s="86"/>
      <c r="F115" s="86"/>
      <c r="G115" s="86"/>
      <c r="H115" s="86"/>
      <c r="I115" s="86"/>
      <c r="J115" s="86"/>
      <c r="K115" s="86"/>
    </row>
    <row r="116" spans="1:11">
      <c r="A116" s="86"/>
      <c r="B116" s="86"/>
      <c r="C116" s="86"/>
      <c r="D116" s="86"/>
      <c r="E116" s="86"/>
      <c r="F116" s="86"/>
      <c r="G116" s="86"/>
      <c r="H116" s="86"/>
      <c r="I116" s="86"/>
      <c r="J116" s="86"/>
      <c r="K116" s="86"/>
    </row>
    <row r="117" spans="1:11">
      <c r="A117" s="86"/>
      <c r="B117" s="86"/>
      <c r="C117" s="86"/>
      <c r="D117" s="86"/>
      <c r="E117" s="86"/>
      <c r="F117" s="86"/>
      <c r="G117" s="86"/>
      <c r="H117" s="86"/>
      <c r="I117" s="86"/>
      <c r="J117" s="86"/>
      <c r="K117" s="86"/>
    </row>
    <row r="118" spans="1:11">
      <c r="A118" s="86"/>
      <c r="B118" s="86"/>
      <c r="C118" s="86"/>
      <c r="D118" s="86"/>
      <c r="E118" s="86"/>
      <c r="F118" s="86"/>
      <c r="G118" s="86"/>
      <c r="H118" s="86"/>
      <c r="I118" s="86"/>
      <c r="J118" s="86"/>
      <c r="K118" s="86"/>
    </row>
    <row r="119" spans="1:11">
      <c r="A119" s="86"/>
      <c r="B119" s="86"/>
      <c r="C119" s="86"/>
      <c r="D119" s="86"/>
      <c r="E119" s="86"/>
      <c r="F119" s="86"/>
      <c r="G119" s="86"/>
      <c r="H119" s="86"/>
      <c r="I119" s="86"/>
      <c r="J119" s="86"/>
      <c r="K119" s="86"/>
    </row>
    <row r="120" spans="1:11">
      <c r="A120" s="86"/>
      <c r="B120" s="86"/>
      <c r="C120" s="86"/>
      <c r="D120" s="86"/>
      <c r="E120" s="86"/>
      <c r="F120" s="86"/>
      <c r="G120" s="86"/>
      <c r="H120" s="86"/>
      <c r="I120" s="86"/>
      <c r="J120" s="86"/>
      <c r="K120" s="86"/>
    </row>
    <row r="121" spans="1:11">
      <c r="A121" s="86"/>
      <c r="B121" s="86"/>
      <c r="C121" s="86"/>
      <c r="D121" s="86"/>
      <c r="E121" s="86"/>
      <c r="F121" s="86"/>
      <c r="G121" s="86"/>
      <c r="H121" s="86"/>
      <c r="I121" s="86"/>
      <c r="J121" s="86"/>
      <c r="K121" s="86"/>
    </row>
    <row r="122" spans="1:11">
      <c r="A122" s="86"/>
      <c r="B122" s="86"/>
      <c r="C122" s="86"/>
      <c r="D122" s="86"/>
      <c r="E122" s="86"/>
      <c r="F122" s="86"/>
      <c r="G122" s="86"/>
      <c r="H122" s="86"/>
      <c r="I122" s="86"/>
      <c r="J122" s="86"/>
      <c r="K122" s="86"/>
    </row>
    <row r="123" spans="1:11">
      <c r="A123" s="86"/>
      <c r="B123" s="86"/>
      <c r="C123" s="86"/>
      <c r="D123" s="86"/>
      <c r="E123" s="86"/>
      <c r="F123" s="86"/>
      <c r="G123" s="86"/>
      <c r="H123" s="86"/>
      <c r="I123" s="86"/>
      <c r="J123" s="86"/>
      <c r="K123" s="86"/>
    </row>
    <row r="124" spans="1:11">
      <c r="A124" s="86"/>
      <c r="B124" s="86"/>
      <c r="C124" s="86"/>
      <c r="D124" s="86"/>
      <c r="E124" s="86"/>
      <c r="F124" s="86"/>
      <c r="G124" s="86"/>
      <c r="H124" s="86"/>
      <c r="I124" s="86"/>
      <c r="J124" s="86"/>
      <c r="K124" s="86"/>
    </row>
    <row r="125" spans="1:11">
      <c r="A125" s="86"/>
      <c r="B125" s="86"/>
      <c r="C125" s="86"/>
      <c r="D125" s="86"/>
      <c r="E125" s="86"/>
      <c r="F125" s="86"/>
      <c r="G125" s="86"/>
      <c r="H125" s="86"/>
      <c r="I125" s="86"/>
      <c r="J125" s="86"/>
      <c r="K125" s="86"/>
    </row>
    <row r="126" spans="1:11">
      <c r="A126" s="86"/>
      <c r="B126" s="86"/>
      <c r="C126" s="86"/>
      <c r="D126" s="86"/>
      <c r="E126" s="86"/>
      <c r="F126" s="86"/>
      <c r="G126" s="86"/>
      <c r="H126" s="86"/>
      <c r="I126" s="86"/>
      <c r="J126" s="86"/>
      <c r="K126" s="86"/>
    </row>
    <row r="127" spans="1:11">
      <c r="A127" s="86"/>
      <c r="B127" s="86"/>
      <c r="C127" s="86"/>
      <c r="D127" s="86"/>
      <c r="E127" s="86"/>
      <c r="F127" s="86"/>
      <c r="G127" s="86"/>
      <c r="H127" s="86"/>
      <c r="I127" s="86"/>
      <c r="J127" s="86"/>
      <c r="K127" s="86"/>
    </row>
    <row r="128" spans="1:11">
      <c r="A128" s="86"/>
      <c r="B128" s="86"/>
      <c r="C128" s="86"/>
      <c r="D128" s="86"/>
      <c r="E128" s="86"/>
      <c r="F128" s="86"/>
      <c r="G128" s="86"/>
      <c r="H128" s="86"/>
      <c r="I128" s="86"/>
      <c r="J128" s="86"/>
      <c r="K128" s="86"/>
    </row>
    <row r="129" spans="1:11">
      <c r="A129" s="86"/>
      <c r="B129" s="86"/>
      <c r="C129" s="86"/>
      <c r="D129" s="86"/>
      <c r="E129" s="86"/>
      <c r="F129" s="86"/>
      <c r="G129" s="86"/>
      <c r="H129" s="86"/>
      <c r="I129" s="86"/>
      <c r="J129" s="86"/>
      <c r="K129" s="86"/>
    </row>
    <row r="130" spans="1:11">
      <c r="A130" s="86"/>
      <c r="B130" s="86"/>
      <c r="C130" s="86"/>
      <c r="D130" s="86"/>
      <c r="E130" s="86"/>
      <c r="F130" s="86"/>
      <c r="G130" s="86"/>
      <c r="H130" s="86"/>
      <c r="I130" s="86"/>
      <c r="J130" s="86"/>
      <c r="K130" s="86"/>
    </row>
    <row r="131" spans="1:11">
      <c r="A131" s="86"/>
      <c r="B131" s="86"/>
      <c r="C131" s="86"/>
      <c r="D131" s="86"/>
      <c r="E131" s="86"/>
      <c r="F131" s="86"/>
      <c r="G131" s="86"/>
      <c r="H131" s="86"/>
      <c r="I131" s="86"/>
      <c r="J131" s="86"/>
      <c r="K131" s="86"/>
    </row>
    <row r="132" spans="1:11">
      <c r="A132" s="86"/>
      <c r="B132" s="86"/>
      <c r="C132" s="86"/>
      <c r="D132" s="86"/>
      <c r="E132" s="86"/>
      <c r="F132" s="86"/>
      <c r="G132" s="86"/>
      <c r="H132" s="86"/>
      <c r="I132" s="86"/>
      <c r="J132" s="86"/>
      <c r="K132" s="86"/>
    </row>
    <row r="133" spans="1:11">
      <c r="A133" s="86"/>
      <c r="B133" s="86"/>
      <c r="C133" s="86"/>
      <c r="D133" s="86"/>
      <c r="E133" s="86"/>
      <c r="F133" s="86"/>
      <c r="G133" s="86"/>
      <c r="H133" s="86"/>
      <c r="I133" s="86"/>
      <c r="J133" s="86"/>
      <c r="K133" s="86"/>
    </row>
    <row r="134" spans="1:11">
      <c r="A134" s="86"/>
      <c r="B134" s="86"/>
      <c r="C134" s="86"/>
      <c r="D134" s="86"/>
      <c r="E134" s="86"/>
      <c r="F134" s="86"/>
      <c r="G134" s="86"/>
      <c r="H134" s="86"/>
      <c r="I134" s="86"/>
      <c r="J134" s="86"/>
      <c r="K134" s="86"/>
    </row>
    <row r="135" spans="1:11">
      <c r="A135" s="86"/>
      <c r="B135" s="86"/>
      <c r="C135" s="86"/>
      <c r="D135" s="86"/>
      <c r="E135" s="86"/>
      <c r="F135" s="86"/>
      <c r="G135" s="86"/>
      <c r="H135" s="86"/>
      <c r="I135" s="86"/>
      <c r="J135" s="86"/>
      <c r="K135" s="86"/>
    </row>
    <row r="136" spans="1:11">
      <c r="A136" s="86"/>
      <c r="B136" s="86"/>
      <c r="C136" s="86"/>
      <c r="D136" s="86"/>
      <c r="E136" s="86"/>
      <c r="F136" s="86"/>
      <c r="G136" s="86"/>
      <c r="H136" s="86"/>
      <c r="I136" s="86"/>
      <c r="J136" s="86"/>
      <c r="K136" s="86"/>
    </row>
    <row r="137" spans="1:11">
      <c r="A137" s="86"/>
      <c r="B137" s="86"/>
      <c r="C137" s="86"/>
      <c r="D137" s="86"/>
      <c r="E137" s="86"/>
      <c r="F137" s="86"/>
      <c r="G137" s="86"/>
      <c r="H137" s="86"/>
      <c r="I137" s="86"/>
      <c r="J137" s="86"/>
      <c r="K137" s="86"/>
    </row>
    <row r="138" spans="1:11">
      <c r="A138" s="86"/>
      <c r="B138" s="86"/>
      <c r="C138" s="86"/>
      <c r="D138" s="86"/>
      <c r="E138" s="86"/>
      <c r="F138" s="86"/>
      <c r="G138" s="86"/>
      <c r="H138" s="86"/>
      <c r="I138" s="86"/>
      <c r="J138" s="86"/>
      <c r="K138" s="86"/>
    </row>
    <row r="139" spans="1:11">
      <c r="A139" s="86"/>
      <c r="B139" s="86"/>
      <c r="C139" s="86"/>
      <c r="D139" s="86"/>
      <c r="E139" s="86"/>
      <c r="F139" s="86"/>
      <c r="G139" s="86"/>
      <c r="H139" s="86"/>
      <c r="I139" s="86"/>
      <c r="J139" s="86"/>
      <c r="K139" s="86"/>
    </row>
    <row r="140" spans="1:11">
      <c r="A140" s="86"/>
      <c r="B140" s="86"/>
      <c r="C140" s="86"/>
      <c r="D140" s="86"/>
      <c r="E140" s="86"/>
      <c r="F140" s="86"/>
      <c r="G140" s="86"/>
      <c r="H140" s="86"/>
      <c r="I140" s="86"/>
      <c r="J140" s="86"/>
      <c r="K140" s="86"/>
    </row>
    <row r="141" spans="1:11">
      <c r="A141" s="86"/>
      <c r="B141" s="86"/>
      <c r="C141" s="86"/>
      <c r="D141" s="86"/>
      <c r="E141" s="86"/>
      <c r="F141" s="86"/>
      <c r="G141" s="86"/>
      <c r="H141" s="86"/>
      <c r="I141" s="86"/>
      <c r="J141" s="86"/>
      <c r="K141" s="86"/>
    </row>
    <row r="142" spans="1:11">
      <c r="A142" s="86"/>
      <c r="B142" s="86"/>
      <c r="C142" s="86"/>
      <c r="D142" s="86"/>
      <c r="E142" s="86"/>
      <c r="F142" s="86"/>
      <c r="G142" s="86"/>
      <c r="H142" s="86"/>
      <c r="I142" s="86"/>
      <c r="J142" s="86"/>
      <c r="K142" s="86"/>
    </row>
    <row r="143" spans="1:11">
      <c r="A143" s="86"/>
      <c r="B143" s="86"/>
      <c r="C143" s="86"/>
      <c r="D143" s="86"/>
      <c r="E143" s="86"/>
      <c r="F143" s="86"/>
      <c r="G143" s="86"/>
      <c r="H143" s="86"/>
      <c r="I143" s="86"/>
      <c r="J143" s="86"/>
      <c r="K143" s="86"/>
    </row>
    <row r="144" spans="1:11">
      <c r="A144" s="86"/>
      <c r="B144" s="86"/>
      <c r="C144" s="86"/>
      <c r="D144" s="86"/>
      <c r="E144" s="86"/>
      <c r="F144" s="86"/>
      <c r="G144" s="86"/>
      <c r="H144" s="86"/>
      <c r="I144" s="86"/>
      <c r="J144" s="86"/>
      <c r="K144" s="86"/>
    </row>
    <row r="145" spans="1:11">
      <c r="A145" s="86"/>
      <c r="B145" s="86"/>
      <c r="C145" s="86"/>
      <c r="D145" s="86"/>
      <c r="E145" s="86"/>
      <c r="F145" s="86"/>
      <c r="G145" s="86"/>
      <c r="H145" s="86"/>
      <c r="I145" s="86"/>
      <c r="J145" s="86"/>
      <c r="K145" s="86"/>
    </row>
    <row r="146" spans="1:11">
      <c r="A146" s="86"/>
      <c r="B146" s="86"/>
      <c r="C146" s="86"/>
      <c r="D146" s="86"/>
      <c r="E146" s="86"/>
      <c r="F146" s="86"/>
      <c r="G146" s="86"/>
      <c r="H146" s="86"/>
      <c r="I146" s="86"/>
      <c r="J146" s="86"/>
      <c r="K146" s="86"/>
    </row>
    <row r="147" spans="1:11">
      <c r="A147" s="86"/>
      <c r="B147" s="86"/>
      <c r="C147" s="86"/>
      <c r="D147" s="86"/>
      <c r="E147" s="86"/>
      <c r="F147" s="86"/>
      <c r="G147" s="86"/>
      <c r="H147" s="86"/>
      <c r="I147" s="86"/>
      <c r="J147" s="86"/>
      <c r="K147" s="86"/>
    </row>
    <row r="148" spans="1:11">
      <c r="A148" s="86"/>
      <c r="B148" s="86"/>
      <c r="C148" s="86"/>
      <c r="D148" s="86"/>
      <c r="E148" s="86"/>
      <c r="F148" s="86"/>
      <c r="G148" s="86"/>
      <c r="H148" s="86"/>
      <c r="I148" s="86"/>
      <c r="J148" s="86"/>
      <c r="K148" s="86"/>
    </row>
    <row r="149" spans="1:11">
      <c r="A149" s="86"/>
      <c r="B149" s="86"/>
      <c r="C149" s="86"/>
      <c r="D149" s="86"/>
      <c r="E149" s="86"/>
      <c r="F149" s="86"/>
      <c r="G149" s="86"/>
      <c r="H149" s="86"/>
      <c r="I149" s="86"/>
      <c r="J149" s="86"/>
      <c r="K149" s="86"/>
    </row>
    <row r="150" spans="1:11">
      <c r="A150" s="86"/>
      <c r="B150" s="86"/>
      <c r="C150" s="86"/>
      <c r="D150" s="86"/>
      <c r="E150" s="86"/>
      <c r="F150" s="86"/>
      <c r="G150" s="86"/>
      <c r="H150" s="86"/>
      <c r="I150" s="86"/>
      <c r="J150" s="86"/>
      <c r="K150" s="86"/>
    </row>
    <row r="151" spans="1:11">
      <c r="A151" s="86"/>
      <c r="B151" s="86"/>
      <c r="C151" s="86"/>
      <c r="D151" s="86"/>
      <c r="E151" s="86"/>
      <c r="F151" s="86"/>
      <c r="G151" s="86"/>
      <c r="H151" s="86"/>
      <c r="I151" s="86"/>
      <c r="J151" s="86"/>
      <c r="K151" s="86"/>
    </row>
    <row r="152" spans="1:11">
      <c r="A152" s="86"/>
      <c r="B152" s="86"/>
      <c r="C152" s="86"/>
      <c r="D152" s="86"/>
      <c r="E152" s="86"/>
      <c r="F152" s="86"/>
      <c r="G152" s="86"/>
      <c r="H152" s="86"/>
      <c r="I152" s="86"/>
      <c r="J152" s="86"/>
      <c r="K152" s="86"/>
    </row>
    <row r="153" spans="1:11">
      <c r="A153" s="86"/>
      <c r="B153" s="86"/>
      <c r="C153" s="86"/>
      <c r="D153" s="86"/>
      <c r="E153" s="86"/>
      <c r="F153" s="86"/>
      <c r="G153" s="86"/>
      <c r="H153" s="86"/>
      <c r="I153" s="86"/>
      <c r="J153" s="86"/>
      <c r="K153" s="86"/>
    </row>
    <row r="154" spans="1:11">
      <c r="A154" s="86"/>
      <c r="B154" s="86"/>
      <c r="C154" s="86"/>
      <c r="D154" s="86"/>
      <c r="E154" s="86"/>
      <c r="F154" s="86"/>
      <c r="G154" s="86"/>
      <c r="H154" s="86"/>
      <c r="I154" s="86"/>
      <c r="J154" s="86"/>
      <c r="K154" s="86"/>
    </row>
    <row r="155" spans="1:11">
      <c r="A155" s="86"/>
      <c r="B155" s="86"/>
      <c r="C155" s="86"/>
      <c r="D155" s="86"/>
      <c r="E155" s="86"/>
      <c r="F155" s="86"/>
      <c r="G155" s="86"/>
      <c r="H155" s="86"/>
      <c r="I155" s="86"/>
      <c r="J155" s="86"/>
      <c r="K155" s="86"/>
    </row>
    <row r="156" spans="1:11">
      <c r="A156" s="86"/>
      <c r="B156" s="86"/>
      <c r="C156" s="86"/>
      <c r="D156" s="86"/>
      <c r="E156" s="86"/>
      <c r="F156" s="86"/>
      <c r="G156" s="86"/>
      <c r="H156" s="86"/>
      <c r="I156" s="86"/>
      <c r="J156" s="86"/>
      <c r="K156" s="86"/>
    </row>
    <row r="157" spans="1:11">
      <c r="A157" s="86"/>
      <c r="B157" s="86"/>
      <c r="C157" s="86"/>
      <c r="D157" s="86"/>
      <c r="E157" s="86"/>
      <c r="F157" s="86"/>
      <c r="G157" s="86"/>
      <c r="H157" s="86"/>
      <c r="I157" s="86"/>
      <c r="J157" s="86"/>
      <c r="K157" s="86"/>
    </row>
    <row r="158" spans="1:11">
      <c r="A158" s="86"/>
      <c r="B158" s="86"/>
      <c r="C158" s="86"/>
      <c r="D158" s="86"/>
      <c r="E158" s="86"/>
      <c r="F158" s="86"/>
      <c r="G158" s="86"/>
      <c r="H158" s="86"/>
      <c r="I158" s="86"/>
      <c r="J158" s="86"/>
      <c r="K158" s="86"/>
    </row>
    <row r="159" spans="1:11">
      <c r="A159" s="86"/>
      <c r="B159" s="86"/>
      <c r="C159" s="86"/>
      <c r="D159" s="86"/>
      <c r="E159" s="86"/>
      <c r="F159" s="86"/>
      <c r="G159" s="86"/>
      <c r="H159" s="86"/>
      <c r="I159" s="86"/>
      <c r="J159" s="86"/>
      <c r="K159" s="86"/>
    </row>
    <row r="160" spans="1:11">
      <c r="A160" s="86"/>
      <c r="B160" s="86"/>
      <c r="C160" s="86"/>
      <c r="D160" s="86"/>
      <c r="E160" s="86"/>
      <c r="F160" s="86"/>
      <c r="G160" s="86"/>
      <c r="H160" s="86"/>
      <c r="I160" s="86"/>
      <c r="J160" s="86"/>
      <c r="K160" s="86"/>
    </row>
    <row r="161" spans="1:11">
      <c r="A161" s="86"/>
      <c r="B161" s="86"/>
      <c r="C161" s="86"/>
      <c r="D161" s="86"/>
      <c r="E161" s="86"/>
      <c r="F161" s="86"/>
      <c r="G161" s="86"/>
      <c r="H161" s="86"/>
      <c r="I161" s="86"/>
      <c r="J161" s="86"/>
      <c r="K161" s="86"/>
    </row>
    <row r="162" spans="1:11">
      <c r="A162" s="86"/>
      <c r="B162" s="86"/>
      <c r="C162" s="86"/>
      <c r="D162" s="86"/>
      <c r="E162" s="86"/>
      <c r="F162" s="86"/>
      <c r="G162" s="86"/>
      <c r="H162" s="86"/>
      <c r="I162" s="86"/>
      <c r="J162" s="86"/>
      <c r="K162" s="86"/>
    </row>
    <row r="163" spans="1:11">
      <c r="A163" s="86"/>
      <c r="B163" s="86"/>
      <c r="C163" s="86"/>
      <c r="D163" s="86"/>
      <c r="E163" s="86"/>
      <c r="F163" s="86"/>
      <c r="G163" s="86"/>
      <c r="H163" s="86"/>
      <c r="I163" s="86"/>
      <c r="J163" s="86"/>
      <c r="K163" s="86"/>
    </row>
    <row r="164" spans="1:11">
      <c r="A164" s="86"/>
      <c r="B164" s="86"/>
      <c r="C164" s="86"/>
      <c r="D164" s="86"/>
      <c r="E164" s="86"/>
      <c r="F164" s="86"/>
      <c r="G164" s="86"/>
      <c r="H164" s="86"/>
      <c r="I164" s="86"/>
      <c r="J164" s="86"/>
      <c r="K164" s="86"/>
    </row>
    <row r="165" spans="1:11">
      <c r="A165" s="86"/>
      <c r="B165" s="86"/>
      <c r="C165" s="86"/>
      <c r="D165" s="86"/>
      <c r="E165" s="86"/>
      <c r="F165" s="86"/>
      <c r="G165" s="86"/>
      <c r="H165" s="86"/>
      <c r="I165" s="86"/>
      <c r="J165" s="86"/>
      <c r="K165" s="86"/>
    </row>
    <row r="166" spans="1:11">
      <c r="A166" s="86"/>
      <c r="B166" s="86"/>
      <c r="C166" s="86"/>
      <c r="D166" s="86"/>
      <c r="E166" s="86"/>
      <c r="F166" s="86"/>
      <c r="G166" s="86"/>
      <c r="H166" s="86"/>
      <c r="I166" s="86"/>
      <c r="J166" s="86"/>
      <c r="K166" s="86"/>
    </row>
    <row r="167" spans="1:11">
      <c r="A167" s="86"/>
      <c r="B167" s="86"/>
      <c r="C167" s="86"/>
      <c r="D167" s="86"/>
      <c r="E167" s="86"/>
      <c r="F167" s="86"/>
      <c r="G167" s="86"/>
      <c r="H167" s="86"/>
      <c r="I167" s="86"/>
      <c r="J167" s="86"/>
      <c r="K167" s="86"/>
    </row>
    <row r="168" spans="1:11">
      <c r="A168" s="86"/>
      <c r="B168" s="86"/>
      <c r="C168" s="86"/>
      <c r="D168" s="86"/>
      <c r="E168" s="86"/>
      <c r="F168" s="86"/>
      <c r="G168" s="86"/>
      <c r="H168" s="86"/>
      <c r="I168" s="86"/>
      <c r="J168" s="86"/>
      <c r="K168" s="86"/>
    </row>
    <row r="169" spans="1:11">
      <c r="A169" s="86"/>
      <c r="B169" s="86"/>
      <c r="C169" s="86"/>
      <c r="D169" s="86"/>
      <c r="E169" s="86"/>
      <c r="F169" s="86"/>
      <c r="G169" s="86"/>
      <c r="H169" s="86"/>
      <c r="I169" s="86"/>
      <c r="J169" s="86"/>
      <c r="K169" s="86"/>
    </row>
    <row r="170" spans="1:11">
      <c r="A170" s="86"/>
      <c r="B170" s="86"/>
      <c r="C170" s="86"/>
      <c r="D170" s="86"/>
      <c r="E170" s="86"/>
      <c r="F170" s="86"/>
      <c r="G170" s="86"/>
      <c r="H170" s="86"/>
      <c r="I170" s="86"/>
      <c r="J170" s="86"/>
      <c r="K170" s="86"/>
    </row>
    <row r="171" spans="1:11">
      <c r="A171" s="86"/>
      <c r="B171" s="86"/>
      <c r="C171" s="86"/>
      <c r="D171" s="86"/>
      <c r="E171" s="86"/>
      <c r="F171" s="86"/>
      <c r="G171" s="86"/>
      <c r="H171" s="86"/>
      <c r="I171" s="86"/>
      <c r="J171" s="86"/>
      <c r="K171" s="86"/>
    </row>
    <row r="172" spans="1:11">
      <c r="A172" s="86"/>
      <c r="B172" s="86"/>
      <c r="C172" s="86"/>
      <c r="D172" s="86"/>
      <c r="E172" s="86"/>
      <c r="F172" s="86"/>
      <c r="G172" s="86"/>
      <c r="H172" s="86"/>
      <c r="I172" s="86"/>
      <c r="J172" s="86"/>
      <c r="K172" s="86"/>
    </row>
    <row r="173" spans="1:11">
      <c r="A173" s="86"/>
      <c r="B173" s="86"/>
      <c r="C173" s="86"/>
      <c r="D173" s="86"/>
      <c r="E173" s="86"/>
      <c r="F173" s="86"/>
      <c r="G173" s="86"/>
      <c r="H173" s="86"/>
      <c r="I173" s="86"/>
      <c r="J173" s="86"/>
      <c r="K173" s="86"/>
    </row>
    <row r="174" spans="1:11">
      <c r="A174" s="86"/>
      <c r="B174" s="86"/>
      <c r="C174" s="86"/>
      <c r="D174" s="86"/>
      <c r="E174" s="86"/>
      <c r="F174" s="86"/>
      <c r="G174" s="86"/>
      <c r="H174" s="86"/>
      <c r="I174" s="86"/>
      <c r="J174" s="86"/>
      <c r="K174" s="86"/>
    </row>
    <row r="175" spans="1:11">
      <c r="A175" s="86"/>
      <c r="B175" s="86"/>
      <c r="C175" s="86"/>
      <c r="D175" s="86"/>
      <c r="E175" s="86"/>
      <c r="F175" s="86"/>
      <c r="G175" s="86"/>
      <c r="H175" s="86"/>
      <c r="I175" s="86"/>
      <c r="J175" s="86"/>
      <c r="K175" s="86"/>
    </row>
    <row r="176" spans="1:11">
      <c r="A176" s="86"/>
      <c r="B176" s="86"/>
      <c r="C176" s="86"/>
      <c r="D176" s="86"/>
      <c r="E176" s="86"/>
      <c r="F176" s="86"/>
      <c r="G176" s="86"/>
      <c r="H176" s="86"/>
      <c r="I176" s="86"/>
      <c r="J176" s="86"/>
      <c r="K176" s="86"/>
    </row>
    <row r="177" spans="1:11">
      <c r="A177" s="86"/>
      <c r="B177" s="86"/>
      <c r="C177" s="86"/>
      <c r="D177" s="86"/>
      <c r="E177" s="86"/>
      <c r="F177" s="86"/>
      <c r="G177" s="86"/>
      <c r="H177" s="86"/>
      <c r="I177" s="86"/>
      <c r="J177" s="86"/>
      <c r="K177" s="86"/>
    </row>
    <row r="178" spans="1:11">
      <c r="A178" s="86"/>
      <c r="B178" s="86"/>
      <c r="C178" s="86"/>
      <c r="D178" s="86"/>
      <c r="E178" s="86"/>
      <c r="F178" s="86"/>
      <c r="G178" s="86"/>
      <c r="H178" s="86"/>
      <c r="I178" s="86"/>
      <c r="J178" s="86"/>
      <c r="K178" s="86"/>
    </row>
    <row r="179" spans="1:11">
      <c r="A179" s="86"/>
      <c r="B179" s="86"/>
      <c r="C179" s="86"/>
      <c r="D179" s="86"/>
      <c r="E179" s="86"/>
      <c r="F179" s="86"/>
      <c r="G179" s="86"/>
      <c r="H179" s="86"/>
      <c r="I179" s="86"/>
      <c r="J179" s="86"/>
      <c r="K179" s="86"/>
    </row>
    <row r="180" spans="1:11">
      <c r="A180" s="86"/>
      <c r="B180" s="86"/>
      <c r="C180" s="86"/>
      <c r="D180" s="86"/>
      <c r="E180" s="86"/>
      <c r="F180" s="86"/>
      <c r="G180" s="86"/>
      <c r="H180" s="86"/>
      <c r="I180" s="86"/>
      <c r="J180" s="86"/>
      <c r="K180" s="86"/>
    </row>
    <row r="181" spans="1:11">
      <c r="A181" s="86"/>
      <c r="B181" s="86"/>
      <c r="C181" s="86"/>
      <c r="D181" s="86"/>
      <c r="E181" s="86"/>
      <c r="F181" s="86"/>
      <c r="G181" s="86"/>
      <c r="H181" s="86"/>
      <c r="I181" s="86"/>
      <c r="J181" s="86"/>
      <c r="K181" s="86"/>
    </row>
    <row r="182" spans="1:11">
      <c r="A182" s="86"/>
      <c r="B182" s="86"/>
      <c r="C182" s="86"/>
      <c r="D182" s="86"/>
      <c r="E182" s="86"/>
      <c r="F182" s="86"/>
      <c r="G182" s="86"/>
      <c r="H182" s="86"/>
      <c r="I182" s="86"/>
      <c r="J182" s="86"/>
      <c r="K182" s="86"/>
    </row>
    <row r="183" spans="1:11">
      <c r="A183" s="86"/>
      <c r="B183" s="86"/>
      <c r="C183" s="86"/>
      <c r="D183" s="86"/>
      <c r="E183" s="86"/>
      <c r="F183" s="86"/>
      <c r="G183" s="86"/>
      <c r="H183" s="86"/>
      <c r="I183" s="86"/>
      <c r="J183" s="86"/>
      <c r="K183" s="86"/>
    </row>
    <row r="184" spans="1:11">
      <c r="A184" s="86"/>
      <c r="B184" s="86"/>
      <c r="C184" s="86"/>
      <c r="D184" s="86"/>
      <c r="E184" s="86"/>
      <c r="F184" s="86"/>
      <c r="G184" s="86"/>
      <c r="H184" s="86"/>
      <c r="I184" s="86"/>
      <c r="J184" s="86"/>
      <c r="K184" s="86"/>
    </row>
    <row r="185" spans="1:11">
      <c r="A185" s="86"/>
      <c r="B185" s="86"/>
      <c r="C185" s="86"/>
      <c r="D185" s="86"/>
      <c r="E185" s="86"/>
      <c r="F185" s="86"/>
      <c r="G185" s="86"/>
      <c r="H185" s="86"/>
      <c r="I185" s="86"/>
      <c r="J185" s="86"/>
      <c r="K185" s="86"/>
    </row>
    <row r="186" spans="1:11">
      <c r="A186" s="86"/>
      <c r="B186" s="86"/>
      <c r="C186" s="86"/>
      <c r="D186" s="86"/>
      <c r="E186" s="86"/>
      <c r="F186" s="86"/>
      <c r="G186" s="86"/>
      <c r="H186" s="86"/>
      <c r="I186" s="86"/>
      <c r="J186" s="86"/>
      <c r="K186" s="86"/>
    </row>
    <row r="187" spans="1:11">
      <c r="A187" s="86"/>
      <c r="B187" s="86"/>
      <c r="C187" s="86"/>
      <c r="D187" s="86"/>
      <c r="E187" s="86"/>
      <c r="F187" s="86"/>
      <c r="G187" s="86"/>
      <c r="H187" s="86"/>
      <c r="I187" s="86"/>
      <c r="J187" s="86"/>
      <c r="K187" s="86"/>
    </row>
    <row r="188" spans="1:11">
      <c r="A188" s="86"/>
      <c r="B188" s="86"/>
      <c r="C188" s="86"/>
      <c r="D188" s="86"/>
      <c r="E188" s="86"/>
      <c r="F188" s="86"/>
      <c r="G188" s="86"/>
      <c r="H188" s="86"/>
      <c r="I188" s="86"/>
      <c r="J188" s="86"/>
      <c r="K188" s="86"/>
    </row>
    <row r="189" spans="1:11">
      <c r="A189" s="86"/>
      <c r="B189" s="86"/>
      <c r="C189" s="86"/>
      <c r="D189" s="86"/>
      <c r="E189" s="86"/>
      <c r="F189" s="86"/>
      <c r="G189" s="86"/>
      <c r="H189" s="86"/>
      <c r="I189" s="86"/>
      <c r="J189" s="86"/>
      <c r="K189" s="86"/>
    </row>
    <row r="190" spans="1:11">
      <c r="A190" s="86"/>
      <c r="B190" s="86"/>
      <c r="C190" s="86"/>
      <c r="D190" s="86"/>
      <c r="E190" s="86"/>
      <c r="F190" s="86"/>
      <c r="G190" s="86"/>
      <c r="H190" s="86"/>
      <c r="I190" s="86"/>
      <c r="J190" s="86"/>
      <c r="K190" s="86"/>
    </row>
    <row r="191" spans="1:11">
      <c r="A191" s="86"/>
      <c r="B191" s="86"/>
      <c r="C191" s="86"/>
      <c r="D191" s="86"/>
      <c r="E191" s="86"/>
      <c r="F191" s="86"/>
      <c r="G191" s="86"/>
      <c r="H191" s="86"/>
      <c r="I191" s="86"/>
      <c r="J191" s="86"/>
      <c r="K191" s="86"/>
    </row>
    <row r="192" spans="1:11">
      <c r="A192" s="86"/>
      <c r="B192" s="86"/>
      <c r="C192" s="86"/>
      <c r="D192" s="86"/>
      <c r="E192" s="86"/>
      <c r="F192" s="86"/>
      <c r="G192" s="86"/>
      <c r="H192" s="86"/>
      <c r="I192" s="86"/>
      <c r="J192" s="86"/>
      <c r="K192" s="86"/>
    </row>
    <row r="193" spans="1:11">
      <c r="A193" s="86"/>
      <c r="B193" s="86"/>
      <c r="C193" s="86"/>
      <c r="D193" s="86"/>
      <c r="E193" s="86"/>
      <c r="F193" s="86"/>
      <c r="G193" s="86"/>
      <c r="H193" s="86"/>
      <c r="I193" s="86"/>
      <c r="J193" s="86"/>
      <c r="K193" s="86"/>
    </row>
    <row r="194" spans="1:11">
      <c r="A194" s="86"/>
      <c r="B194" s="86"/>
      <c r="C194" s="86"/>
      <c r="D194" s="86"/>
      <c r="E194" s="86"/>
      <c r="F194" s="86"/>
      <c r="G194" s="86"/>
      <c r="H194" s="86"/>
      <c r="I194" s="86"/>
      <c r="J194" s="86"/>
      <c r="K194" s="86"/>
    </row>
    <row r="195" spans="1:11">
      <c r="A195" s="86"/>
      <c r="B195" s="86"/>
      <c r="C195" s="86"/>
      <c r="D195" s="86"/>
      <c r="E195" s="86"/>
      <c r="F195" s="86"/>
      <c r="G195" s="86"/>
      <c r="H195" s="86"/>
      <c r="I195" s="86"/>
      <c r="J195" s="86"/>
      <c r="K195" s="86"/>
    </row>
    <row r="196" spans="1:11">
      <c r="A196" s="86"/>
      <c r="B196" s="86"/>
      <c r="C196" s="86"/>
      <c r="D196" s="86"/>
      <c r="E196" s="86"/>
      <c r="F196" s="86"/>
      <c r="G196" s="86"/>
      <c r="H196" s="86"/>
      <c r="I196" s="86"/>
      <c r="J196" s="86"/>
      <c r="K196" s="86"/>
    </row>
    <row r="197" spans="1:11">
      <c r="A197" s="86"/>
      <c r="B197" s="86"/>
      <c r="C197" s="86"/>
      <c r="D197" s="86"/>
      <c r="E197" s="86"/>
      <c r="F197" s="86"/>
      <c r="G197" s="86"/>
      <c r="H197" s="86"/>
      <c r="I197" s="86"/>
      <c r="J197" s="86"/>
      <c r="K197" s="86"/>
    </row>
    <row r="198" spans="1:11">
      <c r="A198" s="86"/>
      <c r="B198" s="86"/>
      <c r="C198" s="86"/>
      <c r="D198" s="86"/>
      <c r="E198" s="86"/>
      <c r="F198" s="86"/>
      <c r="G198" s="86"/>
      <c r="H198" s="86"/>
      <c r="I198" s="86"/>
      <c r="J198" s="86"/>
      <c r="K198" s="86"/>
    </row>
    <row r="199" spans="1:11">
      <c r="A199" s="86"/>
      <c r="B199" s="86"/>
      <c r="C199" s="86"/>
      <c r="D199" s="86"/>
      <c r="E199" s="86"/>
      <c r="F199" s="86"/>
      <c r="G199" s="86"/>
      <c r="H199" s="86"/>
      <c r="I199" s="86"/>
      <c r="J199" s="86"/>
      <c r="K199" s="86"/>
    </row>
    <row r="200" spans="1:11">
      <c r="A200" s="86"/>
      <c r="B200" s="86"/>
      <c r="C200" s="86"/>
      <c r="D200" s="86"/>
      <c r="E200" s="86"/>
      <c r="F200" s="86"/>
      <c r="G200" s="86"/>
      <c r="H200" s="86"/>
      <c r="I200" s="86"/>
      <c r="J200" s="86"/>
      <c r="K200" s="86"/>
    </row>
    <row r="201" spans="1:11">
      <c r="A201" s="86"/>
      <c r="B201" s="86"/>
      <c r="C201" s="86"/>
      <c r="D201" s="86"/>
      <c r="E201" s="86"/>
      <c r="F201" s="86"/>
      <c r="G201" s="86"/>
      <c r="H201" s="86"/>
      <c r="I201" s="86"/>
      <c r="J201" s="86"/>
      <c r="K201" s="86"/>
    </row>
    <row r="202" spans="1:11">
      <c r="A202" s="86"/>
      <c r="B202" s="86"/>
      <c r="C202" s="86"/>
      <c r="D202" s="86"/>
      <c r="E202" s="86"/>
      <c r="F202" s="86"/>
      <c r="G202" s="86"/>
      <c r="H202" s="86"/>
      <c r="I202" s="86"/>
      <c r="J202" s="86"/>
      <c r="K202" s="86"/>
    </row>
    <row r="203" spans="1:11">
      <c r="A203" s="86"/>
      <c r="B203" s="86"/>
      <c r="C203" s="86"/>
      <c r="D203" s="86"/>
      <c r="E203" s="86"/>
      <c r="F203" s="86"/>
      <c r="G203" s="86"/>
      <c r="H203" s="86"/>
      <c r="I203" s="86"/>
      <c r="J203" s="86"/>
      <c r="K203" s="86"/>
    </row>
    <row r="204" spans="1:11">
      <c r="A204" s="86"/>
      <c r="B204" s="86"/>
      <c r="C204" s="86"/>
      <c r="D204" s="86"/>
      <c r="E204" s="86"/>
      <c r="F204" s="86"/>
      <c r="G204" s="86"/>
      <c r="H204" s="86"/>
      <c r="I204" s="86"/>
      <c r="J204" s="86"/>
      <c r="K204" s="86"/>
    </row>
    <row r="205" spans="1:11">
      <c r="A205" s="86"/>
      <c r="B205" s="86"/>
      <c r="C205" s="86"/>
      <c r="D205" s="86"/>
      <c r="E205" s="86"/>
      <c r="F205" s="86"/>
      <c r="G205" s="86"/>
      <c r="H205" s="86"/>
      <c r="I205" s="86"/>
      <c r="J205" s="86"/>
      <c r="K205" s="86"/>
    </row>
    <row r="206" spans="1:11">
      <c r="A206" s="86"/>
      <c r="B206" s="86"/>
      <c r="C206" s="86"/>
      <c r="D206" s="86"/>
      <c r="E206" s="86"/>
      <c r="F206" s="86"/>
      <c r="G206" s="86"/>
      <c r="H206" s="86"/>
      <c r="I206" s="86"/>
      <c r="J206" s="86"/>
      <c r="K206" s="86"/>
    </row>
    <row r="207" spans="1:11">
      <c r="A207" s="86"/>
      <c r="B207" s="86"/>
      <c r="C207" s="86"/>
      <c r="D207" s="86"/>
      <c r="E207" s="86"/>
      <c r="F207" s="86"/>
      <c r="G207" s="86"/>
      <c r="H207" s="86"/>
      <c r="I207" s="86"/>
      <c r="J207" s="86"/>
      <c r="K207" s="86"/>
    </row>
    <row r="208" spans="1:11">
      <c r="A208" s="86"/>
      <c r="B208" s="86"/>
      <c r="C208" s="86"/>
      <c r="D208" s="86"/>
      <c r="E208" s="86"/>
      <c r="F208" s="86"/>
      <c r="G208" s="86"/>
      <c r="H208" s="86"/>
      <c r="I208" s="86"/>
      <c r="J208" s="86"/>
      <c r="K208" s="86"/>
    </row>
    <row r="209" spans="1:11">
      <c r="A209" s="86"/>
      <c r="B209" s="86"/>
      <c r="C209" s="86"/>
      <c r="D209" s="86"/>
      <c r="E209" s="86"/>
      <c r="F209" s="86"/>
      <c r="G209" s="86"/>
      <c r="H209" s="86"/>
      <c r="I209" s="86"/>
      <c r="J209" s="86"/>
      <c r="K209" s="86"/>
    </row>
    <row r="210" spans="1:11">
      <c r="A210" s="86"/>
      <c r="B210" s="86"/>
      <c r="C210" s="86"/>
      <c r="D210" s="86"/>
      <c r="E210" s="86"/>
      <c r="F210" s="86"/>
      <c r="G210" s="86"/>
      <c r="H210" s="86"/>
      <c r="I210" s="86"/>
      <c r="J210" s="86"/>
      <c r="K210" s="86"/>
    </row>
    <row r="211" spans="1:11">
      <c r="A211" s="86"/>
      <c r="B211" s="86"/>
      <c r="C211" s="86"/>
      <c r="D211" s="86"/>
      <c r="E211" s="86"/>
      <c r="F211" s="86"/>
      <c r="G211" s="86"/>
      <c r="H211" s="86"/>
      <c r="I211" s="86"/>
      <c r="J211" s="86"/>
      <c r="K211" s="86"/>
    </row>
    <row r="212" spans="1:11">
      <c r="A212" s="86"/>
      <c r="B212" s="86"/>
      <c r="C212" s="86"/>
      <c r="D212" s="86"/>
      <c r="E212" s="86"/>
      <c r="F212" s="86"/>
      <c r="G212" s="86"/>
      <c r="H212" s="86"/>
      <c r="I212" s="86"/>
      <c r="J212" s="86"/>
      <c r="K212" s="86"/>
    </row>
    <row r="213" spans="1:11">
      <c r="A213" s="86"/>
      <c r="B213" s="86"/>
      <c r="C213" s="86"/>
      <c r="D213" s="86"/>
      <c r="E213" s="86"/>
      <c r="F213" s="86"/>
      <c r="G213" s="86"/>
      <c r="H213" s="86"/>
      <c r="I213" s="86"/>
      <c r="J213" s="86"/>
      <c r="K213" s="86"/>
    </row>
    <row r="214" spans="1:11">
      <c r="A214" s="86"/>
      <c r="B214" s="86"/>
      <c r="C214" s="86"/>
      <c r="D214" s="86"/>
      <c r="E214" s="86"/>
      <c r="F214" s="86"/>
      <c r="G214" s="86"/>
      <c r="H214" s="86"/>
      <c r="I214" s="86"/>
      <c r="J214" s="86"/>
      <c r="K214" s="86"/>
    </row>
    <row r="215" spans="1:11">
      <c r="A215" s="86"/>
      <c r="B215" s="86"/>
      <c r="C215" s="86"/>
      <c r="D215" s="86"/>
      <c r="E215" s="86"/>
      <c r="F215" s="86"/>
      <c r="G215" s="86"/>
      <c r="H215" s="86"/>
      <c r="I215" s="86"/>
      <c r="J215" s="86"/>
      <c r="K215" s="86"/>
    </row>
    <row r="216" spans="1:11">
      <c r="A216" s="86"/>
      <c r="B216" s="86"/>
      <c r="C216" s="86"/>
      <c r="D216" s="86"/>
      <c r="E216" s="86"/>
      <c r="F216" s="86"/>
      <c r="G216" s="86"/>
      <c r="H216" s="86"/>
      <c r="I216" s="86"/>
      <c r="J216" s="86"/>
      <c r="K216" s="86"/>
    </row>
    <row r="217" spans="1:11">
      <c r="A217" s="86"/>
      <c r="B217" s="86"/>
      <c r="C217" s="86"/>
      <c r="D217" s="86"/>
      <c r="E217" s="86"/>
      <c r="F217" s="86"/>
      <c r="G217" s="86"/>
      <c r="H217" s="86"/>
      <c r="I217" s="86"/>
      <c r="J217" s="86"/>
      <c r="K217" s="86"/>
    </row>
    <row r="218" spans="1:11">
      <c r="A218" s="86"/>
      <c r="B218" s="86"/>
      <c r="C218" s="86"/>
      <c r="D218" s="86"/>
      <c r="E218" s="86"/>
      <c r="F218" s="86"/>
      <c r="G218" s="86"/>
      <c r="H218" s="86"/>
      <c r="I218" s="86"/>
      <c r="J218" s="86"/>
      <c r="K218" s="86"/>
    </row>
    <row r="219" spans="1:11">
      <c r="A219" s="86"/>
      <c r="B219" s="86"/>
      <c r="C219" s="86"/>
      <c r="D219" s="86"/>
      <c r="E219" s="86"/>
      <c r="F219" s="86"/>
      <c r="G219" s="86"/>
      <c r="H219" s="86"/>
      <c r="I219" s="86"/>
      <c r="J219" s="86"/>
      <c r="K219" s="86"/>
    </row>
    <row r="220" spans="1:11">
      <c r="A220" s="86"/>
      <c r="B220" s="86"/>
      <c r="C220" s="86"/>
      <c r="D220" s="86"/>
      <c r="E220" s="86"/>
      <c r="F220" s="86"/>
      <c r="G220" s="86"/>
      <c r="H220" s="86"/>
      <c r="I220" s="86"/>
      <c r="J220" s="86"/>
      <c r="K220" s="86"/>
    </row>
    <row r="221" spans="1:11">
      <c r="A221" s="86"/>
      <c r="B221" s="86"/>
      <c r="C221" s="86"/>
      <c r="D221" s="86"/>
      <c r="E221" s="86"/>
      <c r="F221" s="86"/>
      <c r="G221" s="86"/>
      <c r="H221" s="86"/>
      <c r="I221" s="86"/>
      <c r="J221" s="86"/>
      <c r="K221" s="86"/>
    </row>
    <row r="222" spans="1:11">
      <c r="A222" s="86"/>
      <c r="B222" s="86"/>
      <c r="C222" s="86"/>
      <c r="D222" s="86"/>
      <c r="E222" s="86"/>
      <c r="F222" s="86"/>
      <c r="G222" s="86"/>
      <c r="H222" s="86"/>
      <c r="I222" s="86"/>
      <c r="J222" s="86"/>
      <c r="K222" s="86"/>
    </row>
    <row r="223" spans="1:11">
      <c r="A223" s="86"/>
      <c r="B223" s="86"/>
      <c r="C223" s="86"/>
      <c r="D223" s="86"/>
      <c r="E223" s="86"/>
      <c r="F223" s="86"/>
      <c r="G223" s="86"/>
      <c r="H223" s="86"/>
      <c r="I223" s="86"/>
      <c r="J223" s="86"/>
      <c r="K223" s="86"/>
    </row>
    <row r="224" spans="1:11">
      <c r="A224" s="86"/>
      <c r="B224" s="86"/>
      <c r="C224" s="86"/>
      <c r="D224" s="86"/>
      <c r="E224" s="86"/>
      <c r="F224" s="86"/>
      <c r="G224" s="86"/>
      <c r="H224" s="86"/>
      <c r="I224" s="86"/>
      <c r="J224" s="86"/>
      <c r="K224" s="86"/>
    </row>
    <row r="225" spans="1:11">
      <c r="A225" s="86"/>
      <c r="B225" s="86"/>
      <c r="C225" s="86"/>
      <c r="D225" s="86"/>
      <c r="E225" s="86"/>
      <c r="F225" s="86"/>
      <c r="G225" s="86"/>
      <c r="H225" s="86"/>
      <c r="I225" s="86"/>
      <c r="J225" s="86"/>
      <c r="K225" s="86"/>
    </row>
    <row r="226" spans="1:11">
      <c r="A226" s="86"/>
      <c r="B226" s="86"/>
      <c r="C226" s="86"/>
      <c r="D226" s="86"/>
      <c r="E226" s="86"/>
      <c r="F226" s="86"/>
      <c r="G226" s="86"/>
      <c r="H226" s="86"/>
      <c r="I226" s="86"/>
      <c r="J226" s="86"/>
      <c r="K226" s="86"/>
    </row>
    <row r="227" spans="1:11">
      <c r="A227" s="86"/>
      <c r="B227" s="86"/>
      <c r="C227" s="86"/>
      <c r="D227" s="86"/>
      <c r="E227" s="86"/>
      <c r="F227" s="86"/>
      <c r="G227" s="86"/>
      <c r="H227" s="86"/>
      <c r="I227" s="86"/>
      <c r="J227" s="86"/>
      <c r="K227" s="86"/>
    </row>
    <row r="228" spans="1:11">
      <c r="A228" s="86"/>
      <c r="B228" s="86"/>
      <c r="C228" s="86"/>
      <c r="D228" s="86"/>
      <c r="E228" s="86"/>
      <c r="F228" s="86"/>
      <c r="G228" s="86"/>
      <c r="H228" s="86"/>
      <c r="I228" s="86"/>
      <c r="J228" s="86"/>
      <c r="K228" s="86"/>
    </row>
    <row r="229" spans="1:11">
      <c r="A229" s="86"/>
      <c r="B229" s="86"/>
      <c r="C229" s="86"/>
      <c r="D229" s="86"/>
      <c r="E229" s="86"/>
      <c r="F229" s="86"/>
      <c r="G229" s="86"/>
      <c r="H229" s="86"/>
      <c r="I229" s="86"/>
      <c r="J229" s="86"/>
      <c r="K229" s="86"/>
    </row>
    <row r="230" spans="1:11">
      <c r="A230" s="86"/>
      <c r="B230" s="86"/>
      <c r="C230" s="86"/>
      <c r="D230" s="86"/>
      <c r="E230" s="86"/>
      <c r="F230" s="86"/>
      <c r="G230" s="86"/>
      <c r="H230" s="86"/>
      <c r="I230" s="86"/>
      <c r="J230" s="86"/>
      <c r="K230" s="86"/>
    </row>
    <row r="231" spans="1:11">
      <c r="A231" s="86"/>
      <c r="B231" s="86"/>
      <c r="C231" s="86"/>
      <c r="D231" s="86"/>
      <c r="E231" s="86"/>
      <c r="F231" s="86"/>
      <c r="G231" s="86"/>
      <c r="H231" s="86"/>
      <c r="I231" s="86"/>
      <c r="J231" s="86"/>
      <c r="K231" s="86"/>
    </row>
    <row r="232" spans="1:11">
      <c r="A232" s="86"/>
      <c r="B232" s="86"/>
      <c r="C232" s="86"/>
      <c r="D232" s="86"/>
      <c r="E232" s="86"/>
      <c r="F232" s="86"/>
      <c r="G232" s="86"/>
      <c r="H232" s="86"/>
      <c r="I232" s="86"/>
      <c r="J232" s="86"/>
      <c r="K232" s="86"/>
    </row>
    <row r="233" spans="1:11">
      <c r="A233" s="86"/>
      <c r="B233" s="86"/>
      <c r="C233" s="86"/>
      <c r="D233" s="86"/>
      <c r="E233" s="86"/>
      <c r="F233" s="86"/>
      <c r="G233" s="86"/>
      <c r="H233" s="86"/>
      <c r="I233" s="86"/>
      <c r="J233" s="86"/>
      <c r="K233" s="86"/>
    </row>
    <row r="234" spans="1:11">
      <c r="A234" s="86"/>
      <c r="B234" s="86"/>
      <c r="C234" s="86"/>
      <c r="D234" s="86"/>
      <c r="E234" s="86"/>
      <c r="F234" s="86"/>
      <c r="G234" s="86"/>
      <c r="H234" s="86"/>
      <c r="I234" s="86"/>
      <c r="J234" s="86"/>
      <c r="K234" s="86"/>
    </row>
    <row r="235" spans="1:11">
      <c r="A235" s="86"/>
      <c r="B235" s="86"/>
      <c r="C235" s="86"/>
      <c r="D235" s="86"/>
      <c r="E235" s="86"/>
      <c r="F235" s="86"/>
      <c r="G235" s="86"/>
      <c r="H235" s="86"/>
      <c r="I235" s="86"/>
      <c r="J235" s="86"/>
      <c r="K235" s="86"/>
    </row>
    <row r="236" spans="1:11">
      <c r="A236" s="86"/>
      <c r="B236" s="86"/>
      <c r="C236" s="86"/>
      <c r="D236" s="86"/>
      <c r="E236" s="86"/>
      <c r="F236" s="86"/>
      <c r="G236" s="86"/>
      <c r="H236" s="86"/>
      <c r="I236" s="86"/>
      <c r="J236" s="86"/>
      <c r="K236" s="86"/>
    </row>
    <row r="237" spans="1:11">
      <c r="A237" s="86"/>
      <c r="B237" s="86"/>
      <c r="C237" s="86"/>
      <c r="D237" s="86"/>
      <c r="E237" s="86"/>
      <c r="F237" s="86"/>
      <c r="G237" s="86"/>
      <c r="H237" s="86"/>
      <c r="I237" s="86"/>
      <c r="J237" s="86"/>
      <c r="K237" s="86"/>
    </row>
    <row r="238" spans="1:11">
      <c r="A238" s="86"/>
      <c r="B238" s="86"/>
      <c r="C238" s="86"/>
      <c r="D238" s="86"/>
      <c r="E238" s="86"/>
      <c r="F238" s="86"/>
      <c r="G238" s="86"/>
      <c r="H238" s="86"/>
      <c r="I238" s="86"/>
      <c r="J238" s="86"/>
      <c r="K238" s="86"/>
    </row>
    <row r="239" spans="1:11">
      <c r="A239" s="86"/>
      <c r="B239" s="86"/>
      <c r="C239" s="86"/>
      <c r="D239" s="86"/>
      <c r="E239" s="86"/>
      <c r="F239" s="86"/>
      <c r="G239" s="86"/>
      <c r="H239" s="86"/>
      <c r="I239" s="86"/>
      <c r="J239" s="86"/>
      <c r="K239" s="86"/>
    </row>
    <row r="240" spans="1:11">
      <c r="A240" s="86"/>
      <c r="B240" s="86"/>
      <c r="C240" s="86"/>
      <c r="D240" s="86"/>
      <c r="E240" s="86"/>
      <c r="F240" s="86"/>
      <c r="G240" s="86"/>
      <c r="H240" s="86"/>
      <c r="I240" s="86"/>
      <c r="J240" s="86"/>
      <c r="K240" s="86"/>
    </row>
    <row r="241" spans="1:11">
      <c r="A241" s="86"/>
      <c r="B241" s="86"/>
      <c r="C241" s="86"/>
      <c r="D241" s="86"/>
      <c r="E241" s="86"/>
      <c r="F241" s="86"/>
      <c r="G241" s="86"/>
      <c r="H241" s="86"/>
      <c r="I241" s="86"/>
      <c r="J241" s="86"/>
      <c r="K241" s="86"/>
    </row>
    <row r="242" spans="1:11">
      <c r="A242" s="86"/>
      <c r="B242" s="86"/>
      <c r="C242" s="86"/>
      <c r="D242" s="86"/>
      <c r="E242" s="86"/>
      <c r="F242" s="86"/>
      <c r="G242" s="86"/>
      <c r="H242" s="86"/>
      <c r="I242" s="86"/>
      <c r="J242" s="86"/>
      <c r="K242" s="86"/>
    </row>
    <row r="243" spans="1:11">
      <c r="A243" s="86"/>
      <c r="B243" s="86"/>
      <c r="C243" s="86"/>
      <c r="D243" s="86"/>
      <c r="E243" s="86"/>
      <c r="F243" s="86"/>
      <c r="G243" s="86"/>
      <c r="H243" s="86"/>
      <c r="I243" s="86"/>
      <c r="J243" s="86"/>
      <c r="K243" s="86"/>
    </row>
    <row r="244" spans="1:11">
      <c r="A244" s="86"/>
      <c r="B244" s="86"/>
      <c r="C244" s="86"/>
      <c r="D244" s="86"/>
      <c r="E244" s="86"/>
      <c r="F244" s="86"/>
      <c r="G244" s="86"/>
      <c r="H244" s="86"/>
      <c r="I244" s="86"/>
      <c r="J244" s="86"/>
      <c r="K244" s="86"/>
    </row>
    <row r="245" spans="1:11">
      <c r="A245" s="86"/>
      <c r="B245" s="86"/>
      <c r="C245" s="86"/>
      <c r="D245" s="86"/>
      <c r="E245" s="86"/>
      <c r="F245" s="86"/>
      <c r="G245" s="86"/>
      <c r="H245" s="86"/>
      <c r="I245" s="86"/>
      <c r="J245" s="86"/>
      <c r="K245" s="86"/>
    </row>
    <row r="246" spans="1:11">
      <c r="A246" s="86"/>
      <c r="B246" s="86"/>
      <c r="C246" s="86"/>
      <c r="D246" s="86"/>
      <c r="E246" s="86"/>
      <c r="F246" s="86"/>
      <c r="G246" s="86"/>
      <c r="H246" s="86"/>
      <c r="I246" s="86"/>
      <c r="J246" s="86"/>
      <c r="K246" s="86"/>
    </row>
    <row r="247" spans="1:11">
      <c r="A247" s="86"/>
      <c r="B247" s="86"/>
      <c r="C247" s="86"/>
      <c r="D247" s="86"/>
      <c r="E247" s="86"/>
      <c r="F247" s="86"/>
      <c r="G247" s="86"/>
      <c r="H247" s="86"/>
      <c r="I247" s="86"/>
      <c r="J247" s="86"/>
      <c r="K247" s="86"/>
    </row>
    <row r="248" spans="1:11">
      <c r="A248" s="86"/>
      <c r="B248" s="86"/>
      <c r="C248" s="86"/>
      <c r="D248" s="86"/>
      <c r="E248" s="86"/>
      <c r="F248" s="86"/>
      <c r="G248" s="86"/>
      <c r="H248" s="86"/>
      <c r="I248" s="86"/>
      <c r="J248" s="86"/>
      <c r="K248" s="86"/>
    </row>
    <row r="249" spans="1:11">
      <c r="A249" s="86"/>
      <c r="B249" s="86"/>
      <c r="C249" s="86"/>
      <c r="D249" s="86"/>
      <c r="E249" s="86"/>
      <c r="F249" s="86"/>
      <c r="G249" s="86"/>
      <c r="H249" s="86"/>
      <c r="I249" s="86"/>
      <c r="J249" s="86"/>
      <c r="K249" s="86"/>
    </row>
    <row r="250" spans="1:11">
      <c r="A250" s="86"/>
      <c r="B250" s="86"/>
      <c r="C250" s="86"/>
      <c r="D250" s="86"/>
      <c r="E250" s="86"/>
      <c r="F250" s="86"/>
      <c r="G250" s="86"/>
      <c r="H250" s="86"/>
      <c r="I250" s="86"/>
      <c r="J250" s="86"/>
      <c r="K250" s="86"/>
    </row>
    <row r="251" spans="1:11">
      <c r="A251" s="86"/>
      <c r="B251" s="86"/>
      <c r="C251" s="86"/>
      <c r="D251" s="86"/>
      <c r="E251" s="86"/>
      <c r="F251" s="86"/>
      <c r="G251" s="86"/>
      <c r="H251" s="86"/>
      <c r="I251" s="86"/>
      <c r="J251" s="86"/>
      <c r="K251" s="86"/>
    </row>
    <row r="252" spans="1:11">
      <c r="A252" s="86"/>
      <c r="B252" s="86"/>
      <c r="C252" s="86"/>
      <c r="D252" s="86"/>
      <c r="E252" s="86"/>
      <c r="F252" s="86"/>
      <c r="G252" s="86"/>
      <c r="H252" s="86"/>
      <c r="I252" s="86"/>
      <c r="J252" s="86"/>
      <c r="K252" s="86"/>
    </row>
    <row r="253" spans="1:11">
      <c r="A253" s="86"/>
      <c r="B253" s="86"/>
      <c r="C253" s="86"/>
      <c r="D253" s="86"/>
      <c r="E253" s="86"/>
      <c r="F253" s="86"/>
      <c r="G253" s="86"/>
      <c r="H253" s="86"/>
      <c r="I253" s="86"/>
      <c r="J253" s="86"/>
      <c r="K253" s="86"/>
    </row>
    <row r="254" spans="1:11">
      <c r="A254" s="86"/>
      <c r="B254" s="86"/>
      <c r="C254" s="86"/>
      <c r="D254" s="86"/>
      <c r="E254" s="86"/>
      <c r="F254" s="86"/>
      <c r="G254" s="86"/>
      <c r="H254" s="86"/>
      <c r="I254" s="86"/>
      <c r="J254" s="86"/>
      <c r="K254" s="86"/>
    </row>
    <row r="255" spans="1:11">
      <c r="A255" s="86"/>
      <c r="B255" s="86"/>
      <c r="C255" s="86"/>
      <c r="D255" s="86"/>
      <c r="E255" s="86"/>
      <c r="F255" s="86"/>
      <c r="G255" s="86"/>
      <c r="H255" s="86"/>
      <c r="I255" s="86"/>
      <c r="J255" s="86"/>
      <c r="K255" s="86"/>
    </row>
    <row r="256" spans="1:11">
      <c r="A256" s="86"/>
      <c r="B256" s="86"/>
      <c r="C256" s="86"/>
      <c r="D256" s="86"/>
      <c r="E256" s="86"/>
      <c r="F256" s="86"/>
      <c r="G256" s="86"/>
      <c r="H256" s="86"/>
      <c r="I256" s="86"/>
      <c r="J256" s="86"/>
      <c r="K256" s="86"/>
    </row>
    <row r="257" spans="1:11">
      <c r="A257" s="86"/>
      <c r="B257" s="86"/>
      <c r="C257" s="86"/>
      <c r="D257" s="86"/>
      <c r="E257" s="86"/>
      <c r="F257" s="86"/>
      <c r="G257" s="86"/>
      <c r="H257" s="86"/>
      <c r="I257" s="86"/>
      <c r="J257" s="86"/>
      <c r="K257" s="86"/>
    </row>
    <row r="258" spans="1:11">
      <c r="A258" s="86"/>
      <c r="B258" s="86"/>
      <c r="C258" s="86"/>
      <c r="D258" s="86"/>
      <c r="E258" s="86"/>
      <c r="F258" s="86"/>
      <c r="G258" s="86"/>
      <c r="H258" s="86"/>
      <c r="I258" s="86"/>
      <c r="J258" s="86"/>
      <c r="K258" s="86"/>
    </row>
    <row r="259" spans="1:11">
      <c r="A259" s="86"/>
      <c r="B259" s="86"/>
      <c r="C259" s="86"/>
      <c r="D259" s="86"/>
      <c r="E259" s="86"/>
      <c r="F259" s="86"/>
      <c r="G259" s="86"/>
      <c r="H259" s="86"/>
      <c r="I259" s="86"/>
      <c r="J259" s="86"/>
      <c r="K259" s="86"/>
    </row>
    <row r="260" spans="1:11">
      <c r="A260" s="86"/>
      <c r="B260" s="86"/>
      <c r="C260" s="86"/>
      <c r="D260" s="86"/>
      <c r="E260" s="86"/>
      <c r="F260" s="86"/>
      <c r="G260" s="86"/>
      <c r="H260" s="86"/>
      <c r="I260" s="86"/>
      <c r="J260" s="86"/>
      <c r="K260" s="86"/>
    </row>
  </sheetData>
  <pageMargins left="0.4" right="0.4" top="0.3" bottom="0.3" header="0.5" footer="0.5"/>
  <pageSetup scale="75" orientation="landscape"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transitionEvaluation="1" codeName="Sheet117"/>
  <dimension ref="A1:L104"/>
  <sheetViews>
    <sheetView defaultGridColor="0" colorId="22" zoomScaleNormal="100" zoomScaleSheetLayoutView="87" workbookViewId="0">
      <selection activeCell="S32" sqref="S32"/>
    </sheetView>
  </sheetViews>
  <sheetFormatPr defaultColWidth="9.77734375" defaultRowHeight="15"/>
  <cols>
    <col min="1" max="1" width="4.77734375" customWidth="1"/>
    <col min="2" max="2" width="25.77734375" customWidth="1"/>
    <col min="3" max="3" width="13.77734375" customWidth="1"/>
    <col min="8" max="8" width="17.77734375" customWidth="1"/>
    <col min="9" max="12" width="10.77734375" customWidth="1"/>
    <col min="13" max="13" width="9.77734375" customWidth="1"/>
  </cols>
  <sheetData>
    <row r="1" spans="1:12" ht="15.75" thickBot="1">
      <c r="A1" t="str">
        <f>'Data sheet'!A65</f>
        <v>Annual Report of Veolia Water New York, Inc.                                                                                          Year Ended  December 31, 2023</v>
      </c>
    </row>
    <row r="2" spans="1:12">
      <c r="A2" s="80"/>
      <c r="B2" s="81"/>
      <c r="C2" s="81"/>
      <c r="D2" s="81"/>
      <c r="E2" s="81"/>
      <c r="F2" s="81"/>
      <c r="G2" s="81"/>
      <c r="H2" s="81"/>
      <c r="I2" s="81"/>
      <c r="J2" s="81"/>
      <c r="K2" s="81"/>
      <c r="L2" s="82"/>
    </row>
    <row r="3" spans="1:12" ht="15.75">
      <c r="A3" s="793" t="s">
        <v>2826</v>
      </c>
      <c r="B3" s="794"/>
      <c r="C3" s="794"/>
      <c r="D3" s="794"/>
      <c r="E3" s="794"/>
      <c r="F3" s="794"/>
      <c r="G3" s="794"/>
      <c r="H3" s="794"/>
      <c r="I3" s="794"/>
      <c r="J3" s="794"/>
      <c r="K3" s="794"/>
      <c r="L3" s="795"/>
    </row>
    <row r="4" spans="1:12">
      <c r="A4" s="83"/>
      <c r="L4" s="214"/>
    </row>
    <row r="5" spans="1:12">
      <c r="A5" s="83"/>
      <c r="L5" s="214"/>
    </row>
    <row r="6" spans="1:12">
      <c r="A6" s="83"/>
      <c r="B6" t="s">
        <v>2827</v>
      </c>
      <c r="G6" t="s">
        <v>1206</v>
      </c>
      <c r="L6" s="214"/>
    </row>
    <row r="7" spans="1:12">
      <c r="A7" s="83"/>
      <c r="B7" t="s">
        <v>1207</v>
      </c>
      <c r="G7" t="s">
        <v>994</v>
      </c>
      <c r="L7" s="214"/>
    </row>
    <row r="8" spans="1:12">
      <c r="A8" s="83"/>
      <c r="G8" t="s">
        <v>244</v>
      </c>
      <c r="L8" s="214"/>
    </row>
    <row r="9" spans="1:12">
      <c r="A9" s="83"/>
      <c r="B9" t="s">
        <v>4145</v>
      </c>
      <c r="L9" s="214"/>
    </row>
    <row r="10" spans="1:12">
      <c r="A10" s="83"/>
      <c r="B10" t="s">
        <v>4146</v>
      </c>
      <c r="L10" s="214"/>
    </row>
    <row r="11" spans="1:12">
      <c r="A11" s="123"/>
      <c r="B11" s="224"/>
      <c r="C11" s="224"/>
      <c r="D11" s="224"/>
      <c r="E11" s="224"/>
      <c r="F11" s="224"/>
      <c r="G11" s="224"/>
      <c r="H11" s="224"/>
      <c r="I11" s="224"/>
      <c r="J11" s="224"/>
      <c r="K11" s="224"/>
      <c r="L11" s="225"/>
    </row>
    <row r="12" spans="1:12">
      <c r="A12" s="83"/>
      <c r="B12" s="238"/>
      <c r="C12" s="600" t="s">
        <v>4147</v>
      </c>
      <c r="D12" s="587" t="s">
        <v>4148</v>
      </c>
      <c r="E12" s="121"/>
      <c r="F12" s="587" t="s">
        <v>4149</v>
      </c>
      <c r="G12" s="121"/>
      <c r="H12" s="714" t="s">
        <v>3062</v>
      </c>
      <c r="I12" s="121" t="s">
        <v>4150</v>
      </c>
      <c r="J12" s="121"/>
      <c r="K12" s="121"/>
      <c r="L12" s="122"/>
    </row>
    <row r="13" spans="1:12">
      <c r="A13" s="595" t="s">
        <v>1727</v>
      </c>
      <c r="B13" s="714" t="s">
        <v>3055</v>
      </c>
      <c r="C13" s="600" t="s">
        <v>1089</v>
      </c>
      <c r="D13" s="713" t="s">
        <v>202</v>
      </c>
      <c r="E13" s="522"/>
      <c r="F13" s="713" t="s">
        <v>202</v>
      </c>
      <c r="G13" s="522"/>
      <c r="H13" s="714" t="s">
        <v>250</v>
      </c>
      <c r="I13" s="121" t="s">
        <v>1090</v>
      </c>
      <c r="J13" s="121"/>
      <c r="K13" s="587" t="s">
        <v>1091</v>
      </c>
      <c r="L13" s="122"/>
    </row>
    <row r="14" spans="1:12">
      <c r="A14" s="595" t="s">
        <v>1739</v>
      </c>
      <c r="B14" s="714" t="s">
        <v>2185</v>
      </c>
      <c r="C14" s="600" t="s">
        <v>1092</v>
      </c>
      <c r="D14" s="713" t="s">
        <v>1093</v>
      </c>
      <c r="E14" s="713" t="s">
        <v>2817</v>
      </c>
      <c r="F14" s="713" t="s">
        <v>1093</v>
      </c>
      <c r="G14" s="713" t="s">
        <v>2817</v>
      </c>
      <c r="H14" s="714" t="s">
        <v>1094</v>
      </c>
      <c r="I14" s="600" t="s">
        <v>1095</v>
      </c>
      <c r="J14" s="713" t="s">
        <v>1096</v>
      </c>
      <c r="K14" s="713" t="s">
        <v>1095</v>
      </c>
      <c r="L14" s="796" t="s">
        <v>1096</v>
      </c>
    </row>
    <row r="15" spans="1:12">
      <c r="A15" s="83"/>
      <c r="B15" s="238"/>
      <c r="C15" s="600" t="s">
        <v>3071</v>
      </c>
      <c r="D15" s="713" t="s">
        <v>1097</v>
      </c>
      <c r="E15" s="713" t="s">
        <v>3071</v>
      </c>
      <c r="F15" s="713" t="s">
        <v>1097</v>
      </c>
      <c r="G15" s="713" t="s">
        <v>3071</v>
      </c>
      <c r="H15" s="714" t="s">
        <v>3071</v>
      </c>
      <c r="I15" s="600" t="s">
        <v>2318</v>
      </c>
      <c r="J15" s="713" t="s">
        <v>1098</v>
      </c>
      <c r="K15" s="713" t="s">
        <v>2318</v>
      </c>
      <c r="L15" s="796" t="s">
        <v>1098</v>
      </c>
    </row>
    <row r="16" spans="1:12">
      <c r="A16" s="123"/>
      <c r="B16" s="715" t="s">
        <v>3279</v>
      </c>
      <c r="C16" s="797" t="s">
        <v>3280</v>
      </c>
      <c r="D16" s="914" t="s">
        <v>3281</v>
      </c>
      <c r="E16" s="914" t="s">
        <v>3282</v>
      </c>
      <c r="F16" s="914" t="s">
        <v>721</v>
      </c>
      <c r="G16" s="914" t="s">
        <v>722</v>
      </c>
      <c r="H16" s="715" t="s">
        <v>723</v>
      </c>
      <c r="I16" s="797" t="s">
        <v>335</v>
      </c>
      <c r="J16" s="914" t="s">
        <v>336</v>
      </c>
      <c r="K16" s="914" t="s">
        <v>337</v>
      </c>
      <c r="L16" s="792" t="s">
        <v>338</v>
      </c>
    </row>
    <row r="17" spans="1:12">
      <c r="A17" s="595">
        <v>1</v>
      </c>
      <c r="B17" s="798" t="s">
        <v>1099</v>
      </c>
      <c r="C17" s="962"/>
      <c r="D17" s="623"/>
      <c r="E17" s="623"/>
      <c r="F17" s="623"/>
      <c r="G17" s="623"/>
      <c r="H17" s="799"/>
      <c r="I17" s="962"/>
      <c r="J17" s="623"/>
      <c r="K17" s="623"/>
      <c r="L17" s="968"/>
    </row>
    <row r="18" spans="1:12">
      <c r="A18" s="595">
        <v>2</v>
      </c>
      <c r="B18" s="238"/>
      <c r="D18" s="622"/>
      <c r="E18" s="522"/>
      <c r="F18" s="622"/>
      <c r="G18" s="522"/>
      <c r="H18" s="238"/>
      <c r="I18" s="136"/>
      <c r="J18" s="688"/>
      <c r="K18" s="688"/>
      <c r="L18" s="589"/>
    </row>
    <row r="19" spans="1:12">
      <c r="A19" s="595">
        <v>3</v>
      </c>
      <c r="B19" s="238"/>
      <c r="D19" s="622"/>
      <c r="E19" s="522"/>
      <c r="F19" s="622"/>
      <c r="G19" s="522"/>
      <c r="H19" s="238"/>
      <c r="I19" s="140"/>
      <c r="J19" s="622"/>
      <c r="K19" s="622"/>
      <c r="L19" s="588"/>
    </row>
    <row r="20" spans="1:12">
      <c r="A20" s="595">
        <v>4</v>
      </c>
      <c r="B20" s="238"/>
      <c r="D20" s="622"/>
      <c r="E20" s="522"/>
      <c r="F20" s="622"/>
      <c r="G20" s="522"/>
      <c r="H20" s="238"/>
      <c r="I20" s="140"/>
      <c r="J20" s="622"/>
      <c r="K20" s="622"/>
      <c r="L20" s="588"/>
    </row>
    <row r="21" spans="1:12">
      <c r="A21" s="595">
        <v>5</v>
      </c>
      <c r="B21" s="238"/>
      <c r="D21" s="622"/>
      <c r="E21" s="522"/>
      <c r="F21" s="622"/>
      <c r="G21" s="522"/>
      <c r="H21" s="238"/>
      <c r="I21" s="140"/>
      <c r="J21" s="622"/>
      <c r="K21" s="622"/>
      <c r="L21" s="588"/>
    </row>
    <row r="22" spans="1:12">
      <c r="A22" s="595">
        <v>6</v>
      </c>
      <c r="B22" s="238"/>
      <c r="D22" s="622"/>
      <c r="E22" s="522"/>
      <c r="F22" s="622"/>
      <c r="G22" s="522"/>
      <c r="H22" s="238"/>
      <c r="I22" s="140"/>
      <c r="J22" s="622"/>
      <c r="K22" s="622"/>
      <c r="L22" s="588"/>
    </row>
    <row r="23" spans="1:12">
      <c r="A23" s="595">
        <v>7</v>
      </c>
      <c r="B23" s="238"/>
      <c r="C23" t="s">
        <v>509</v>
      </c>
      <c r="D23" s="622"/>
      <c r="E23" s="522"/>
      <c r="F23" s="622"/>
      <c r="G23" s="522"/>
      <c r="H23" s="238"/>
      <c r="I23" s="140"/>
      <c r="J23" s="622"/>
      <c r="K23" s="622"/>
      <c r="L23" s="588"/>
    </row>
    <row r="24" spans="1:12">
      <c r="A24" s="595">
        <v>8</v>
      </c>
      <c r="B24" s="238"/>
      <c r="D24" s="622"/>
      <c r="E24" s="522"/>
      <c r="F24" s="622"/>
      <c r="G24" s="522"/>
      <c r="H24" s="238"/>
      <c r="I24" s="140"/>
      <c r="J24" s="622"/>
      <c r="K24" s="622"/>
      <c r="L24" s="588"/>
    </row>
    <row r="25" spans="1:12">
      <c r="A25" s="595">
        <v>9</v>
      </c>
      <c r="B25" s="238"/>
      <c r="D25" s="622"/>
      <c r="E25" s="522"/>
      <c r="F25" s="622"/>
      <c r="G25" s="522"/>
      <c r="H25" s="238"/>
      <c r="I25" s="140"/>
      <c r="J25" s="622"/>
      <c r="K25" s="622"/>
      <c r="L25" s="588"/>
    </row>
    <row r="26" spans="1:12">
      <c r="A26" s="595">
        <v>10</v>
      </c>
      <c r="B26" s="238"/>
      <c r="D26" s="622"/>
      <c r="E26" s="522"/>
      <c r="F26" s="622"/>
      <c r="G26" s="522"/>
      <c r="H26" s="238"/>
      <c r="I26" s="140"/>
      <c r="J26" s="622"/>
      <c r="K26" s="622"/>
      <c r="L26" s="588"/>
    </row>
    <row r="27" spans="1:12">
      <c r="A27" s="595">
        <v>11</v>
      </c>
      <c r="B27" s="238"/>
      <c r="D27" s="622"/>
      <c r="E27" s="522"/>
      <c r="F27" s="622"/>
      <c r="G27" s="522"/>
      <c r="H27" s="238"/>
      <c r="I27" s="140"/>
      <c r="J27" s="622"/>
      <c r="K27" s="622"/>
      <c r="L27" s="588"/>
    </row>
    <row r="28" spans="1:12">
      <c r="A28" s="595">
        <v>12</v>
      </c>
      <c r="B28" s="238"/>
      <c r="D28" s="622"/>
      <c r="E28" s="522"/>
      <c r="F28" s="622"/>
      <c r="G28" s="522"/>
      <c r="H28" s="238"/>
      <c r="I28" s="140"/>
      <c r="J28" s="622"/>
      <c r="K28" s="622"/>
      <c r="L28" s="588"/>
    </row>
    <row r="29" spans="1:12">
      <c r="A29" s="595">
        <v>13</v>
      </c>
      <c r="B29" s="238"/>
      <c r="D29" s="622"/>
      <c r="E29" s="522"/>
      <c r="F29" s="622"/>
      <c r="G29" s="522"/>
      <c r="H29" s="238"/>
      <c r="I29" s="140"/>
      <c r="J29" s="622"/>
      <c r="K29" s="622"/>
      <c r="L29" s="588"/>
    </row>
    <row r="30" spans="1:12">
      <c r="A30" s="595">
        <v>14</v>
      </c>
      <c r="B30" s="238"/>
      <c r="D30" s="622"/>
      <c r="E30" s="522"/>
      <c r="F30" s="622"/>
      <c r="G30" s="522"/>
      <c r="H30" s="238"/>
      <c r="I30" s="140"/>
      <c r="J30" s="622"/>
      <c r="K30" s="622"/>
      <c r="L30" s="588"/>
    </row>
    <row r="31" spans="1:12">
      <c r="A31" s="595">
        <v>15</v>
      </c>
      <c r="B31" s="238"/>
      <c r="D31" s="622"/>
      <c r="E31" s="522"/>
      <c r="F31" s="622"/>
      <c r="G31" s="522"/>
      <c r="H31" s="238"/>
      <c r="I31" s="140"/>
      <c r="J31" s="622"/>
      <c r="K31" s="622"/>
      <c r="L31" s="588"/>
    </row>
    <row r="32" spans="1:12">
      <c r="A32" s="595">
        <v>16</v>
      </c>
      <c r="B32" s="238"/>
      <c r="D32" s="622"/>
      <c r="E32" s="522"/>
      <c r="F32" s="622"/>
      <c r="G32" s="522"/>
      <c r="H32" s="238"/>
      <c r="I32" s="140"/>
      <c r="J32" s="622"/>
      <c r="K32" s="622"/>
      <c r="L32" s="588"/>
    </row>
    <row r="33" spans="1:12">
      <c r="A33" s="595">
        <v>17</v>
      </c>
      <c r="B33" s="238"/>
      <c r="D33" s="622"/>
      <c r="E33" s="522"/>
      <c r="F33" s="622"/>
      <c r="G33" s="522"/>
      <c r="H33" s="238"/>
      <c r="I33" s="140"/>
      <c r="J33" s="622"/>
      <c r="K33" s="622"/>
      <c r="L33" s="588"/>
    </row>
    <row r="34" spans="1:12">
      <c r="A34" s="595">
        <v>18</v>
      </c>
      <c r="B34" s="238"/>
      <c r="D34" s="622"/>
      <c r="E34" s="522"/>
      <c r="F34" s="622"/>
      <c r="G34" s="522"/>
      <c r="H34" s="238"/>
      <c r="I34" s="140"/>
      <c r="J34" s="622"/>
      <c r="K34" s="622"/>
      <c r="L34" s="588"/>
    </row>
    <row r="35" spans="1:12">
      <c r="A35" s="595">
        <v>19</v>
      </c>
      <c r="B35" s="238"/>
      <c r="D35" s="622"/>
      <c r="E35" s="522"/>
      <c r="F35" s="622"/>
      <c r="G35" s="522"/>
      <c r="H35" s="238"/>
      <c r="I35" s="140"/>
      <c r="J35" s="622"/>
      <c r="K35" s="622"/>
      <c r="L35" s="588"/>
    </row>
    <row r="36" spans="1:12">
      <c r="A36" s="595">
        <v>20</v>
      </c>
      <c r="B36" s="238"/>
      <c r="D36" s="622"/>
      <c r="E36" s="522"/>
      <c r="F36" s="622"/>
      <c r="G36" s="522"/>
      <c r="H36" s="238"/>
      <c r="I36" s="140"/>
      <c r="J36" s="622"/>
      <c r="K36" s="622"/>
      <c r="L36" s="588"/>
    </row>
    <row r="37" spans="1:12">
      <c r="A37" s="595">
        <v>21</v>
      </c>
      <c r="B37" s="238"/>
      <c r="D37" s="622"/>
      <c r="E37" s="522"/>
      <c r="F37" s="622"/>
      <c r="G37" s="522"/>
      <c r="H37" s="238"/>
      <c r="I37" s="140"/>
      <c r="J37" s="622"/>
      <c r="K37" s="622"/>
      <c r="L37" s="588"/>
    </row>
    <row r="38" spans="1:12">
      <c r="A38" s="595">
        <v>22</v>
      </c>
      <c r="B38" s="238"/>
      <c r="D38" s="622"/>
      <c r="E38" s="522"/>
      <c r="F38" s="622"/>
      <c r="G38" s="522"/>
      <c r="H38" s="238"/>
      <c r="I38" s="140"/>
      <c r="J38" s="622"/>
      <c r="K38" s="622"/>
      <c r="L38" s="588"/>
    </row>
    <row r="39" spans="1:12">
      <c r="A39" s="595">
        <v>23</v>
      </c>
      <c r="B39" s="238"/>
      <c r="D39" s="622"/>
      <c r="E39" s="522"/>
      <c r="F39" s="622"/>
      <c r="G39" s="522"/>
      <c r="H39" s="238"/>
      <c r="I39" s="140"/>
      <c r="J39" s="622"/>
      <c r="K39" s="622"/>
      <c r="L39" s="588"/>
    </row>
    <row r="40" spans="1:12">
      <c r="A40" s="595">
        <v>24</v>
      </c>
      <c r="B40" s="238"/>
      <c r="D40" s="622"/>
      <c r="E40" s="522"/>
      <c r="F40" s="622"/>
      <c r="G40" s="522"/>
      <c r="H40" s="238"/>
      <c r="I40" s="140"/>
      <c r="J40" s="622"/>
      <c r="K40" s="622"/>
      <c r="L40" s="588"/>
    </row>
    <row r="41" spans="1:12">
      <c r="A41" s="595">
        <v>25</v>
      </c>
      <c r="B41" s="238"/>
      <c r="D41" s="622"/>
      <c r="E41" s="522"/>
      <c r="F41" s="622"/>
      <c r="G41" s="522"/>
      <c r="H41" s="238"/>
      <c r="I41" s="140"/>
      <c r="J41" s="622"/>
      <c r="K41" s="622"/>
      <c r="L41" s="588"/>
    </row>
    <row r="42" spans="1:12">
      <c r="A42" s="595">
        <v>26</v>
      </c>
      <c r="B42" s="238"/>
      <c r="D42" s="622"/>
      <c r="E42" s="522"/>
      <c r="F42" s="622"/>
      <c r="G42" s="522"/>
      <c r="H42" s="238"/>
      <c r="I42" s="140"/>
      <c r="J42" s="622"/>
      <c r="K42" s="622"/>
      <c r="L42" s="588"/>
    </row>
    <row r="43" spans="1:12">
      <c r="A43" s="595">
        <v>27</v>
      </c>
      <c r="B43" s="238"/>
      <c r="D43" s="622"/>
      <c r="E43" s="522"/>
      <c r="F43" s="622"/>
      <c r="G43" s="522"/>
      <c r="H43" s="238"/>
      <c r="I43" s="140"/>
      <c r="J43" s="622"/>
      <c r="K43" s="622"/>
      <c r="L43" s="588"/>
    </row>
    <row r="44" spans="1:12">
      <c r="A44" s="595">
        <v>28</v>
      </c>
      <c r="B44" s="238"/>
      <c r="D44" s="622"/>
      <c r="E44" s="522"/>
      <c r="F44" s="622"/>
      <c r="G44" s="522"/>
      <c r="H44" s="238"/>
      <c r="I44" s="140"/>
      <c r="J44" s="622"/>
      <c r="K44" s="622"/>
      <c r="L44" s="588"/>
    </row>
    <row r="45" spans="1:12">
      <c r="A45" s="595">
        <v>29</v>
      </c>
      <c r="B45" s="238"/>
      <c r="D45" s="622"/>
      <c r="E45" s="522"/>
      <c r="F45" s="622"/>
      <c r="G45" s="522"/>
      <c r="H45" s="238"/>
      <c r="I45" s="140"/>
      <c r="J45" s="622"/>
      <c r="K45" s="622"/>
      <c r="L45" s="588"/>
    </row>
    <row r="46" spans="1:12">
      <c r="A46" s="595">
        <v>30</v>
      </c>
      <c r="B46" s="238"/>
      <c r="D46" s="622"/>
      <c r="E46" s="522"/>
      <c r="F46" s="622"/>
      <c r="G46" s="522"/>
      <c r="H46" s="238"/>
      <c r="I46" s="140"/>
      <c r="J46" s="622"/>
      <c r="K46" s="622"/>
      <c r="L46" s="588"/>
    </row>
    <row r="47" spans="1:12">
      <c r="A47" s="595">
        <v>31</v>
      </c>
      <c r="B47" s="238"/>
      <c r="D47" s="622"/>
      <c r="E47" s="522"/>
      <c r="F47" s="622"/>
      <c r="G47" s="522"/>
      <c r="H47" s="238"/>
      <c r="I47" s="140"/>
      <c r="J47" s="622"/>
      <c r="K47" s="622"/>
      <c r="L47" s="588"/>
    </row>
    <row r="48" spans="1:12">
      <c r="A48" s="595">
        <v>32</v>
      </c>
      <c r="B48" s="238"/>
      <c r="D48" s="622"/>
      <c r="E48" s="522"/>
      <c r="F48" s="622"/>
      <c r="G48" s="522"/>
      <c r="H48" s="238"/>
      <c r="I48" s="140"/>
      <c r="J48" s="622"/>
      <c r="K48" s="622"/>
      <c r="L48" s="588"/>
    </row>
    <row r="49" spans="1:12">
      <c r="A49" s="595">
        <v>33</v>
      </c>
      <c r="B49" s="238"/>
      <c r="D49" s="622"/>
      <c r="E49" s="522"/>
      <c r="F49" s="622"/>
      <c r="G49" s="522"/>
      <c r="H49" s="238"/>
      <c r="I49" s="140"/>
      <c r="J49" s="622"/>
      <c r="K49" s="622"/>
      <c r="L49" s="588"/>
    </row>
    <row r="50" spans="1:12" ht="15.75" thickBot="1">
      <c r="A50" s="603">
        <v>34</v>
      </c>
      <c r="B50" s="779"/>
      <c r="C50" s="125"/>
      <c r="D50" s="969"/>
      <c r="E50" s="698"/>
      <c r="F50" s="969"/>
      <c r="G50" s="698"/>
      <c r="H50" s="989" t="s">
        <v>1672</v>
      </c>
      <c r="I50" s="592">
        <f>SUM(I18:I49)</f>
        <v>0</v>
      </c>
      <c r="J50" s="537">
        <f>SUM(J18:J49)</f>
        <v>0</v>
      </c>
      <c r="K50" s="592">
        <f>SUM(K18:K49)</f>
        <v>0</v>
      </c>
      <c r="L50" s="585">
        <f>SUM(L18:L49)</f>
        <v>0</v>
      </c>
    </row>
    <row r="51" spans="1:12">
      <c r="A51" t="s">
        <v>2024</v>
      </c>
    </row>
    <row r="52" spans="1:12">
      <c r="A52" s="4" t="s">
        <v>1100</v>
      </c>
      <c r="B52" s="4"/>
      <c r="C52" s="4"/>
      <c r="D52" s="4"/>
      <c r="E52" s="4"/>
      <c r="F52" s="4"/>
      <c r="G52" s="4"/>
      <c r="H52" s="4"/>
      <c r="I52" s="4"/>
      <c r="J52" s="4"/>
      <c r="K52" s="4"/>
      <c r="L52" s="4"/>
    </row>
    <row r="53" spans="1:12" ht="15.75" thickBot="1">
      <c r="A53" t="str">
        <f>'Data sheet'!A65</f>
        <v>Annual Report of Veolia Water New York, Inc.                                                                                          Year Ended  December 31, 2023</v>
      </c>
    </row>
    <row r="54" spans="1:12">
      <c r="A54" s="80"/>
      <c r="B54" s="81"/>
      <c r="C54" s="81"/>
      <c r="D54" s="81"/>
      <c r="E54" s="81"/>
      <c r="F54" s="81"/>
      <c r="G54" s="81"/>
      <c r="H54" s="81"/>
      <c r="I54" s="81"/>
      <c r="J54" s="81"/>
      <c r="K54" s="81"/>
      <c r="L54" s="82"/>
    </row>
    <row r="55" spans="1:12" ht="15.75">
      <c r="A55" s="793" t="s">
        <v>1101</v>
      </c>
      <c r="B55" s="794"/>
      <c r="C55" s="794"/>
      <c r="D55" s="794"/>
      <c r="E55" s="794"/>
      <c r="F55" s="794"/>
      <c r="G55" s="794"/>
      <c r="H55" s="794"/>
      <c r="I55" s="794"/>
      <c r="J55" s="794"/>
      <c r="K55" s="794"/>
      <c r="L55" s="795"/>
    </row>
    <row r="56" spans="1:12">
      <c r="A56" s="83"/>
      <c r="L56" s="214"/>
    </row>
    <row r="57" spans="1:12">
      <c r="A57" s="83"/>
      <c r="L57" s="214"/>
    </row>
    <row r="58" spans="1:12">
      <c r="A58" s="83"/>
      <c r="B58" t="s">
        <v>2827</v>
      </c>
      <c r="G58" t="s">
        <v>1206</v>
      </c>
      <c r="L58" s="214"/>
    </row>
    <row r="59" spans="1:12">
      <c r="A59" s="83"/>
      <c r="B59" t="s">
        <v>1207</v>
      </c>
      <c r="G59" t="s">
        <v>994</v>
      </c>
      <c r="L59" s="214"/>
    </row>
    <row r="60" spans="1:12">
      <c r="A60" s="83"/>
      <c r="G60" t="s">
        <v>244</v>
      </c>
      <c r="L60" s="214"/>
    </row>
    <row r="61" spans="1:12">
      <c r="A61" s="83"/>
      <c r="B61" t="s">
        <v>4145</v>
      </c>
      <c r="L61" s="214"/>
    </row>
    <row r="62" spans="1:12">
      <c r="A62" s="83"/>
      <c r="B62" t="s">
        <v>4146</v>
      </c>
      <c r="L62" s="214"/>
    </row>
    <row r="63" spans="1:12">
      <c r="A63" s="123"/>
      <c r="B63" s="224"/>
      <c r="C63" s="224"/>
      <c r="D63" s="224"/>
      <c r="E63" s="224"/>
      <c r="F63" s="224"/>
      <c r="G63" s="224"/>
      <c r="H63" s="224"/>
      <c r="I63" s="224"/>
      <c r="J63" s="224"/>
      <c r="K63" s="224"/>
      <c r="L63" s="225"/>
    </row>
    <row r="64" spans="1:12">
      <c r="A64" s="83"/>
      <c r="B64" s="238"/>
      <c r="C64" s="600" t="s">
        <v>4147</v>
      </c>
      <c r="D64" s="587" t="s">
        <v>4148</v>
      </c>
      <c r="E64" s="121"/>
      <c r="F64" s="587" t="s">
        <v>4149</v>
      </c>
      <c r="G64" s="121"/>
      <c r="H64" s="714" t="s">
        <v>3062</v>
      </c>
      <c r="I64" s="121" t="s">
        <v>4150</v>
      </c>
      <c r="J64" s="121"/>
      <c r="K64" s="121"/>
      <c r="L64" s="122"/>
    </row>
    <row r="65" spans="1:12">
      <c r="A65" s="595" t="s">
        <v>1727</v>
      </c>
      <c r="B65" s="714" t="s">
        <v>3055</v>
      </c>
      <c r="C65" s="600" t="s">
        <v>1089</v>
      </c>
      <c r="D65" s="713" t="s">
        <v>202</v>
      </c>
      <c r="E65" s="522"/>
      <c r="F65" s="713" t="s">
        <v>202</v>
      </c>
      <c r="G65" s="522"/>
      <c r="H65" s="714" t="s">
        <v>250</v>
      </c>
      <c r="I65" s="121" t="s">
        <v>1090</v>
      </c>
      <c r="J65" s="121"/>
      <c r="K65" s="587" t="s">
        <v>1091</v>
      </c>
      <c r="L65" s="122"/>
    </row>
    <row r="66" spans="1:12">
      <c r="A66" s="595" t="s">
        <v>1739</v>
      </c>
      <c r="B66" s="714" t="s">
        <v>2185</v>
      </c>
      <c r="C66" s="600" t="s">
        <v>1092</v>
      </c>
      <c r="D66" s="713" t="s">
        <v>1093</v>
      </c>
      <c r="E66" s="713" t="s">
        <v>2817</v>
      </c>
      <c r="F66" s="713" t="s">
        <v>1093</v>
      </c>
      <c r="G66" s="713" t="s">
        <v>2817</v>
      </c>
      <c r="H66" s="714" t="s">
        <v>1094</v>
      </c>
      <c r="I66" s="600" t="s">
        <v>1095</v>
      </c>
      <c r="J66" s="713" t="s">
        <v>1096</v>
      </c>
      <c r="K66" s="713" t="s">
        <v>1095</v>
      </c>
      <c r="L66" s="796" t="s">
        <v>1096</v>
      </c>
    </row>
    <row r="67" spans="1:12">
      <c r="A67" s="83"/>
      <c r="B67" s="238"/>
      <c r="C67" s="600" t="s">
        <v>3071</v>
      </c>
      <c r="D67" s="713" t="s">
        <v>1097</v>
      </c>
      <c r="E67" s="713" t="s">
        <v>3071</v>
      </c>
      <c r="F67" s="713" t="s">
        <v>1097</v>
      </c>
      <c r="G67" s="713" t="s">
        <v>3071</v>
      </c>
      <c r="H67" s="714" t="s">
        <v>3071</v>
      </c>
      <c r="I67" s="600" t="s">
        <v>2318</v>
      </c>
      <c r="J67" s="713" t="s">
        <v>1098</v>
      </c>
      <c r="K67" s="713" t="s">
        <v>2318</v>
      </c>
      <c r="L67" s="796" t="s">
        <v>1098</v>
      </c>
    </row>
    <row r="68" spans="1:12">
      <c r="A68" s="123"/>
      <c r="B68" s="715" t="s">
        <v>3279</v>
      </c>
      <c r="C68" s="797" t="s">
        <v>3280</v>
      </c>
      <c r="D68" s="914" t="s">
        <v>3281</v>
      </c>
      <c r="E68" s="914" t="s">
        <v>3282</v>
      </c>
      <c r="F68" s="914" t="s">
        <v>721</v>
      </c>
      <c r="G68" s="914" t="s">
        <v>722</v>
      </c>
      <c r="H68" s="715" t="s">
        <v>723</v>
      </c>
      <c r="I68" s="797" t="s">
        <v>335</v>
      </c>
      <c r="J68" s="914" t="s">
        <v>336</v>
      </c>
      <c r="K68" s="914" t="s">
        <v>337</v>
      </c>
      <c r="L68" s="792" t="s">
        <v>338</v>
      </c>
    </row>
    <row r="69" spans="1:12">
      <c r="A69" s="595">
        <v>1</v>
      </c>
      <c r="B69" s="798" t="s">
        <v>1895</v>
      </c>
      <c r="C69" s="962"/>
      <c r="D69" s="623"/>
      <c r="E69" s="623"/>
      <c r="F69" s="623"/>
      <c r="G69" s="623"/>
      <c r="H69" s="799"/>
      <c r="I69" s="962"/>
      <c r="J69" s="623"/>
      <c r="K69" s="623"/>
      <c r="L69" s="968"/>
    </row>
    <row r="70" spans="1:12">
      <c r="A70" s="595">
        <v>2</v>
      </c>
      <c r="B70" s="238"/>
      <c r="C70" s="1757"/>
      <c r="D70" s="622"/>
      <c r="E70" s="522"/>
      <c r="F70" s="622"/>
      <c r="G70" s="522"/>
      <c r="H70" s="238"/>
      <c r="I70" s="136"/>
      <c r="J70" s="688"/>
      <c r="K70" s="688"/>
      <c r="L70" s="589"/>
    </row>
    <row r="71" spans="1:12">
      <c r="A71" s="595">
        <v>3</v>
      </c>
      <c r="B71" s="238" t="s">
        <v>2861</v>
      </c>
      <c r="C71" s="1393">
        <v>4</v>
      </c>
      <c r="D71" s="1437">
        <v>2</v>
      </c>
      <c r="E71" s="1387" t="s">
        <v>510</v>
      </c>
      <c r="F71" s="1437">
        <v>1</v>
      </c>
      <c r="G71" s="1346" t="s">
        <v>511</v>
      </c>
      <c r="H71" s="1346">
        <v>4</v>
      </c>
      <c r="I71" s="1481">
        <v>3</v>
      </c>
      <c r="J71" s="238"/>
      <c r="K71" s="1481">
        <v>3</v>
      </c>
      <c r="L71" s="588"/>
    </row>
    <row r="72" spans="1:12">
      <c r="A72" s="595">
        <v>4</v>
      </c>
      <c r="B72" s="238"/>
      <c r="C72" s="1393">
        <v>4</v>
      </c>
      <c r="D72" s="1437">
        <v>2</v>
      </c>
      <c r="E72" s="1387" t="s">
        <v>510</v>
      </c>
      <c r="F72" s="1437">
        <v>1</v>
      </c>
      <c r="G72" s="1346" t="s">
        <v>511</v>
      </c>
      <c r="H72" s="1346">
        <v>6</v>
      </c>
      <c r="I72" s="1481">
        <v>2</v>
      </c>
      <c r="J72" s="238"/>
      <c r="K72" s="1481">
        <v>2</v>
      </c>
      <c r="L72" s="588"/>
    </row>
    <row r="73" spans="1:12">
      <c r="A73" s="595">
        <v>5</v>
      </c>
      <c r="B73" s="238"/>
      <c r="C73" s="1393" t="s">
        <v>511</v>
      </c>
      <c r="D73" s="1437">
        <v>2</v>
      </c>
      <c r="E73" s="1387" t="s">
        <v>510</v>
      </c>
      <c r="F73" s="1437">
        <v>1</v>
      </c>
      <c r="G73" s="1346" t="s">
        <v>511</v>
      </c>
      <c r="H73" s="1346">
        <v>6</v>
      </c>
      <c r="I73" s="1481">
        <v>29</v>
      </c>
      <c r="J73" s="238"/>
      <c r="K73" s="1481">
        <v>29</v>
      </c>
      <c r="L73" s="588"/>
    </row>
    <row r="74" spans="1:12" ht="15.75" thickBot="1">
      <c r="A74" s="595">
        <v>6</v>
      </c>
      <c r="B74" s="238"/>
      <c r="C74" s="1547">
        <v>5.5</v>
      </c>
      <c r="D74" s="1437">
        <v>2</v>
      </c>
      <c r="E74" s="1387" t="s">
        <v>510</v>
      </c>
      <c r="F74" s="1437">
        <v>1</v>
      </c>
      <c r="G74" s="1346" t="s">
        <v>511</v>
      </c>
      <c r="H74" s="1346">
        <v>6</v>
      </c>
      <c r="I74" s="1481">
        <v>10</v>
      </c>
      <c r="J74" s="238"/>
      <c r="K74" s="1481">
        <v>10</v>
      </c>
      <c r="L74" s="588"/>
    </row>
    <row r="75" spans="1:12" ht="15.75" thickBot="1">
      <c r="A75" s="595">
        <v>7</v>
      </c>
      <c r="B75" s="238"/>
      <c r="C75" s="1393"/>
      <c r="D75" s="1437"/>
      <c r="E75" s="1387"/>
      <c r="F75" s="1437"/>
      <c r="G75" s="1346"/>
      <c r="H75" s="1346"/>
      <c r="I75" s="1482">
        <f>SUM(I71:I74)</f>
        <v>44</v>
      </c>
      <c r="J75" s="238"/>
      <c r="K75" s="1482">
        <f>SUM(K71:K74)</f>
        <v>44</v>
      </c>
      <c r="L75" s="588"/>
    </row>
    <row r="76" spans="1:12">
      <c r="A76" s="595">
        <v>8</v>
      </c>
      <c r="B76" s="238"/>
      <c r="C76" s="1393" t="s">
        <v>218</v>
      </c>
      <c r="D76" s="1437"/>
      <c r="E76" s="1387"/>
      <c r="F76" s="1437"/>
      <c r="G76" s="1346"/>
      <c r="H76" s="1346"/>
      <c r="I76" s="1346"/>
      <c r="J76" s="238"/>
      <c r="K76" s="1346"/>
      <c r="L76" s="588"/>
    </row>
    <row r="77" spans="1:12">
      <c r="A77" s="595">
        <v>9</v>
      </c>
      <c r="B77" s="238" t="s">
        <v>1778</v>
      </c>
      <c r="C77" s="1393">
        <v>5</v>
      </c>
      <c r="D77" s="1437">
        <v>2</v>
      </c>
      <c r="E77" s="1387" t="s">
        <v>510</v>
      </c>
      <c r="F77" s="1437">
        <v>1</v>
      </c>
      <c r="G77" s="1346" t="s">
        <v>511</v>
      </c>
      <c r="H77" s="1346">
        <v>6</v>
      </c>
      <c r="I77" s="1481">
        <v>3</v>
      </c>
      <c r="J77" s="238"/>
      <c r="K77" s="1481">
        <v>3</v>
      </c>
      <c r="L77" s="588"/>
    </row>
    <row r="78" spans="1:12" ht="15.75" thickBot="1">
      <c r="A78" s="595">
        <v>10</v>
      </c>
      <c r="B78" s="238"/>
      <c r="C78" s="1547">
        <v>5.5</v>
      </c>
      <c r="D78" s="1437">
        <v>2</v>
      </c>
      <c r="E78" s="1387" t="s">
        <v>510</v>
      </c>
      <c r="F78" s="1437">
        <v>1</v>
      </c>
      <c r="G78" s="1346" t="s">
        <v>511</v>
      </c>
      <c r="H78" s="1346">
        <v>6</v>
      </c>
      <c r="I78" s="1481">
        <v>2</v>
      </c>
      <c r="J78" s="238"/>
      <c r="K78" s="1481">
        <v>2</v>
      </c>
      <c r="L78" s="588"/>
    </row>
    <row r="79" spans="1:12" ht="15.75" thickBot="1">
      <c r="A79" s="595">
        <v>11</v>
      </c>
      <c r="B79" s="238"/>
      <c r="C79" s="1393"/>
      <c r="D79" s="1437"/>
      <c r="E79" s="1387"/>
      <c r="F79" s="1437"/>
      <c r="G79" s="1346"/>
      <c r="H79" s="1346"/>
      <c r="I79" s="1482">
        <f>SUM(I77:I78)</f>
        <v>5</v>
      </c>
      <c r="J79" s="238"/>
      <c r="K79" s="1482">
        <f>SUM(K77:K78)</f>
        <v>5</v>
      </c>
      <c r="L79" s="588"/>
    </row>
    <row r="80" spans="1:12">
      <c r="A80" s="595">
        <v>12</v>
      </c>
      <c r="B80" s="238"/>
      <c r="C80" s="1393"/>
      <c r="D80" s="1437"/>
      <c r="E80" s="1387"/>
      <c r="F80" s="1437"/>
      <c r="G80" s="1346"/>
      <c r="H80" s="1346"/>
      <c r="I80" s="1481"/>
      <c r="J80" s="238"/>
      <c r="K80" s="1481"/>
      <c r="L80" s="588"/>
    </row>
    <row r="81" spans="1:12">
      <c r="A81" s="595">
        <v>13</v>
      </c>
      <c r="B81" s="238"/>
      <c r="C81" s="1393"/>
      <c r="D81" s="1437"/>
      <c r="E81" s="1387"/>
      <c r="F81" s="1437"/>
      <c r="G81" s="1346"/>
      <c r="H81" s="1346"/>
      <c r="I81" s="1481"/>
      <c r="J81" s="238"/>
      <c r="K81" s="1481"/>
      <c r="L81" s="588"/>
    </row>
    <row r="82" spans="1:12">
      <c r="A82" s="595">
        <v>14</v>
      </c>
      <c r="B82" s="238" t="s">
        <v>1649</v>
      </c>
      <c r="C82" s="1393">
        <v>4</v>
      </c>
      <c r="D82" s="1437">
        <v>2</v>
      </c>
      <c r="E82" s="1387" t="s">
        <v>510</v>
      </c>
      <c r="F82" s="1437"/>
      <c r="G82" s="1346" t="s">
        <v>511</v>
      </c>
      <c r="H82" s="1346">
        <v>4</v>
      </c>
      <c r="I82" s="1481">
        <v>6</v>
      </c>
      <c r="J82" s="238"/>
      <c r="K82" s="1481">
        <v>6</v>
      </c>
      <c r="L82" s="588"/>
    </row>
    <row r="83" spans="1:12">
      <c r="A83" s="595">
        <v>15</v>
      </c>
      <c r="B83" s="238"/>
      <c r="C83" s="1393">
        <v>4</v>
      </c>
      <c r="D83" s="1437">
        <v>2</v>
      </c>
      <c r="E83" s="1387" t="s">
        <v>510</v>
      </c>
      <c r="F83" s="1437">
        <v>1</v>
      </c>
      <c r="G83" s="1346" t="s">
        <v>511</v>
      </c>
      <c r="H83" s="1346">
        <v>4</v>
      </c>
      <c r="I83" s="1481">
        <v>1</v>
      </c>
      <c r="J83" s="238"/>
      <c r="K83" s="1481">
        <v>1</v>
      </c>
      <c r="L83" s="588"/>
    </row>
    <row r="84" spans="1:12">
      <c r="A84" s="595">
        <v>16</v>
      </c>
      <c r="B84" s="238"/>
      <c r="C84" s="1393">
        <v>4</v>
      </c>
      <c r="D84" s="1437">
        <v>2</v>
      </c>
      <c r="E84" s="1387" t="s">
        <v>510</v>
      </c>
      <c r="F84" s="1437">
        <v>1</v>
      </c>
      <c r="G84" s="1346" t="s">
        <v>511</v>
      </c>
      <c r="H84" s="1346">
        <v>6</v>
      </c>
      <c r="I84" s="1481">
        <v>2</v>
      </c>
      <c r="J84" s="238"/>
      <c r="K84" s="1481">
        <v>2</v>
      </c>
      <c r="L84" s="588"/>
    </row>
    <row r="85" spans="1:12">
      <c r="A85" s="595">
        <v>17</v>
      </c>
      <c r="B85" s="238"/>
      <c r="C85" s="1393" t="s">
        <v>511</v>
      </c>
      <c r="D85" s="1437">
        <v>2</v>
      </c>
      <c r="E85" s="1387" t="s">
        <v>510</v>
      </c>
      <c r="F85" s="1437">
        <v>1</v>
      </c>
      <c r="G85" s="1346" t="s">
        <v>511</v>
      </c>
      <c r="H85" s="1346">
        <v>6</v>
      </c>
      <c r="I85" s="1481">
        <v>57</v>
      </c>
      <c r="J85" s="238"/>
      <c r="K85" s="1481">
        <v>57</v>
      </c>
      <c r="L85" s="588"/>
    </row>
    <row r="86" spans="1:12" ht="15.75" thickBot="1">
      <c r="A86" s="595">
        <v>18</v>
      </c>
      <c r="B86" s="238"/>
      <c r="C86" s="1547">
        <v>5.5</v>
      </c>
      <c r="D86" s="1437">
        <v>2</v>
      </c>
      <c r="E86" s="1387" t="s">
        <v>510</v>
      </c>
      <c r="F86" s="1437">
        <v>1</v>
      </c>
      <c r="G86" s="1346" t="s">
        <v>511</v>
      </c>
      <c r="H86" s="1346">
        <v>6</v>
      </c>
      <c r="I86" s="1481">
        <v>2</v>
      </c>
      <c r="J86" s="238"/>
      <c r="K86" s="1481">
        <v>2</v>
      </c>
      <c r="L86" s="588"/>
    </row>
    <row r="87" spans="1:12" ht="15.75" thickBot="1">
      <c r="A87" s="595">
        <v>19</v>
      </c>
      <c r="B87" s="238"/>
      <c r="C87" s="1393"/>
      <c r="D87" s="1437"/>
      <c r="E87" s="1387"/>
      <c r="F87" s="1437"/>
      <c r="G87" s="1346"/>
      <c r="H87" s="1346"/>
      <c r="I87" s="1482">
        <f>SUM(I82:I86)</f>
        <v>68</v>
      </c>
      <c r="J87" s="238"/>
      <c r="K87" s="1482">
        <f>SUM(K82:K86)</f>
        <v>68</v>
      </c>
      <c r="L87" s="588"/>
    </row>
    <row r="88" spans="1:12">
      <c r="A88" s="595">
        <v>20</v>
      </c>
      <c r="B88" s="238"/>
      <c r="C88" s="1393"/>
      <c r="D88" s="1437"/>
      <c r="E88" s="1387"/>
      <c r="F88" s="1437"/>
      <c r="G88" s="1346"/>
      <c r="H88" s="1346"/>
      <c r="I88" s="1481"/>
      <c r="J88" s="238"/>
      <c r="K88" s="1481"/>
      <c r="L88" s="588"/>
    </row>
    <row r="89" spans="1:12">
      <c r="A89" s="595">
        <v>21</v>
      </c>
      <c r="B89" s="238" t="s">
        <v>1346</v>
      </c>
      <c r="C89" s="1393" t="s">
        <v>511</v>
      </c>
      <c r="D89" s="1437">
        <v>2</v>
      </c>
      <c r="E89" s="1387" t="s">
        <v>510</v>
      </c>
      <c r="F89" s="1437">
        <v>1</v>
      </c>
      <c r="G89" s="1346" t="s">
        <v>511</v>
      </c>
      <c r="H89" s="1346">
        <v>6</v>
      </c>
      <c r="I89" s="1481">
        <v>12</v>
      </c>
      <c r="J89" s="238"/>
      <c r="K89" s="1481">
        <v>12</v>
      </c>
      <c r="L89" s="588"/>
    </row>
    <row r="90" spans="1:12" ht="15.75" thickBot="1">
      <c r="A90" s="595">
        <v>22</v>
      </c>
      <c r="B90" s="238"/>
      <c r="C90" s="1547">
        <v>5.5</v>
      </c>
      <c r="D90" s="1437">
        <v>2</v>
      </c>
      <c r="E90" s="1387" t="s">
        <v>510</v>
      </c>
      <c r="F90" s="1437">
        <v>1</v>
      </c>
      <c r="G90" s="1346" t="s">
        <v>511</v>
      </c>
      <c r="H90" s="1346">
        <v>6</v>
      </c>
      <c r="I90" s="1481">
        <v>3</v>
      </c>
      <c r="J90" s="238"/>
      <c r="K90" s="1481">
        <v>3</v>
      </c>
      <c r="L90" s="588"/>
    </row>
    <row r="91" spans="1:12" ht="15.75" thickBot="1">
      <c r="A91" s="595">
        <v>23</v>
      </c>
      <c r="B91" s="238"/>
      <c r="C91" s="1393"/>
      <c r="D91" s="1437"/>
      <c r="E91" s="1387"/>
      <c r="F91" s="1437"/>
      <c r="G91" s="1346"/>
      <c r="H91" s="1346"/>
      <c r="I91" s="1482">
        <f>SUM(I89:I90)</f>
        <v>15</v>
      </c>
      <c r="J91" s="238"/>
      <c r="K91" s="1482">
        <f>SUM(K89:K90)</f>
        <v>15</v>
      </c>
      <c r="L91" s="588"/>
    </row>
    <row r="92" spans="1:12">
      <c r="A92" s="595">
        <v>24</v>
      </c>
      <c r="B92" s="238"/>
      <c r="C92" s="1393"/>
      <c r="D92" s="1437"/>
      <c r="E92" s="1387"/>
      <c r="F92" s="1437"/>
      <c r="G92" s="1346"/>
      <c r="H92" s="1346"/>
      <c r="I92" s="1481"/>
      <c r="J92" s="238"/>
      <c r="K92" s="1481"/>
      <c r="L92" s="588"/>
    </row>
    <row r="93" spans="1:12">
      <c r="A93" s="595">
        <v>25</v>
      </c>
      <c r="B93" s="238" t="s">
        <v>2872</v>
      </c>
      <c r="C93" s="1393" t="s">
        <v>511</v>
      </c>
      <c r="D93" s="1437">
        <v>2</v>
      </c>
      <c r="E93" s="1387" t="s">
        <v>510</v>
      </c>
      <c r="F93" s="1437">
        <v>1</v>
      </c>
      <c r="G93" s="1346" t="s">
        <v>511</v>
      </c>
      <c r="H93" s="1346">
        <v>6</v>
      </c>
      <c r="I93" s="1481">
        <v>35</v>
      </c>
      <c r="J93" s="238"/>
      <c r="K93" s="1481">
        <v>35</v>
      </c>
      <c r="L93" s="588"/>
    </row>
    <row r="94" spans="1:12" ht="15.75" thickBot="1">
      <c r="A94" s="595">
        <v>26</v>
      </c>
      <c r="B94" s="238"/>
      <c r="C94" s="1547">
        <v>5.5</v>
      </c>
      <c r="D94" s="1437">
        <v>2</v>
      </c>
      <c r="E94" s="1387" t="s">
        <v>510</v>
      </c>
      <c r="F94" s="1437">
        <v>1</v>
      </c>
      <c r="G94" s="1346" t="s">
        <v>511</v>
      </c>
      <c r="H94" s="1346">
        <v>6</v>
      </c>
      <c r="I94" s="1481">
        <v>18</v>
      </c>
      <c r="J94" s="238"/>
      <c r="K94" s="1481">
        <v>18</v>
      </c>
      <c r="L94" s="588"/>
    </row>
    <row r="95" spans="1:12" ht="15.75" thickBot="1">
      <c r="A95" s="595">
        <v>27</v>
      </c>
      <c r="B95" s="238"/>
      <c r="C95" s="1393"/>
      <c r="D95" s="1437"/>
      <c r="E95" s="1387"/>
      <c r="F95" s="1437"/>
      <c r="G95" s="1346"/>
      <c r="H95" s="1346"/>
      <c r="I95" s="1482">
        <f>SUM(I93:I94)</f>
        <v>53</v>
      </c>
      <c r="J95" s="238"/>
      <c r="K95" s="1482">
        <f>SUM(K93:K94)</f>
        <v>53</v>
      </c>
      <c r="L95" s="588"/>
    </row>
    <row r="96" spans="1:12">
      <c r="A96" s="595">
        <v>28</v>
      </c>
      <c r="B96" s="238"/>
      <c r="D96" s="622"/>
      <c r="E96" s="522"/>
      <c r="F96" s="622"/>
      <c r="G96" s="522"/>
      <c r="H96" s="238"/>
      <c r="I96" s="140"/>
      <c r="J96" s="622"/>
      <c r="K96" s="622"/>
      <c r="L96" s="588"/>
    </row>
    <row r="97" spans="1:12">
      <c r="A97" s="595">
        <v>29</v>
      </c>
      <c r="B97" s="238"/>
      <c r="D97" s="622"/>
      <c r="E97" s="522"/>
      <c r="F97" s="622"/>
      <c r="G97" s="522"/>
      <c r="H97" s="238"/>
      <c r="I97" s="140"/>
      <c r="J97" s="622"/>
      <c r="K97" s="622"/>
      <c r="L97" s="588"/>
    </row>
    <row r="98" spans="1:12">
      <c r="A98" s="595">
        <v>30</v>
      </c>
      <c r="B98" s="238"/>
      <c r="D98" s="622"/>
      <c r="E98" s="522"/>
      <c r="F98" s="622"/>
      <c r="G98" s="522"/>
      <c r="H98" s="238"/>
      <c r="I98" s="140"/>
      <c r="J98" s="622"/>
      <c r="K98" s="622"/>
      <c r="L98" s="588"/>
    </row>
    <row r="99" spans="1:12">
      <c r="A99" s="595">
        <v>31</v>
      </c>
      <c r="B99" s="238"/>
      <c r="D99" s="622"/>
      <c r="E99" s="522"/>
      <c r="F99" s="622"/>
      <c r="G99" s="522"/>
      <c r="H99" s="238"/>
      <c r="I99" s="140"/>
      <c r="J99" s="622"/>
      <c r="K99" s="622"/>
      <c r="L99" s="588"/>
    </row>
    <row r="100" spans="1:12">
      <c r="A100" s="595">
        <v>32</v>
      </c>
      <c r="B100" s="238"/>
      <c r="D100" s="622"/>
      <c r="E100" s="522"/>
      <c r="F100" s="622"/>
      <c r="G100" s="522"/>
      <c r="H100" s="238"/>
      <c r="I100" s="140"/>
      <c r="J100" s="622"/>
      <c r="K100" s="622"/>
      <c r="L100" s="588"/>
    </row>
    <row r="101" spans="1:12">
      <c r="A101" s="595">
        <v>33</v>
      </c>
      <c r="B101" s="238"/>
      <c r="D101" s="622"/>
      <c r="E101" s="522"/>
      <c r="F101" s="622"/>
      <c r="G101" s="522"/>
      <c r="H101" s="238"/>
      <c r="I101" s="140"/>
      <c r="J101" s="622"/>
      <c r="K101" s="622"/>
      <c r="L101" s="588"/>
    </row>
    <row r="102" spans="1:12" ht="15.75" thickBot="1">
      <c r="A102" s="603">
        <v>34</v>
      </c>
      <c r="B102" s="779"/>
      <c r="C102" s="125"/>
      <c r="D102" s="969"/>
      <c r="E102" s="698"/>
      <c r="F102" s="969"/>
      <c r="G102" s="698"/>
      <c r="H102" s="989"/>
      <c r="I102" s="1567"/>
      <c r="J102" s="1568"/>
      <c r="K102" s="1569"/>
      <c r="L102" s="1570"/>
    </row>
    <row r="103" spans="1:12">
      <c r="A103" t="s">
        <v>2024</v>
      </c>
    </row>
    <row r="104" spans="1:12">
      <c r="A104" s="4" t="s">
        <v>1896</v>
      </c>
      <c r="B104" s="4"/>
      <c r="C104" s="4"/>
      <c r="D104" s="4"/>
      <c r="E104" s="4"/>
      <c r="F104" s="4"/>
      <c r="G104" s="4"/>
      <c r="H104" s="4"/>
      <c r="I104" s="4"/>
      <c r="J104" s="4"/>
      <c r="K104" s="4"/>
      <c r="L104" s="4"/>
    </row>
  </sheetData>
  <phoneticPr fontId="0" type="noConversion"/>
  <pageMargins left="0.4" right="0.4" top="0.3" bottom="0.3" header="0.5" footer="0.5"/>
  <pageSetup scale="70" fitToHeight="2" orientation="landscape" r:id="rId1"/>
  <headerFooter alignWithMargins="0"/>
  <rowBreaks count="1" manualBreakCount="1">
    <brk id="5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codeName="Sheet13"/>
  <dimension ref="A1:J134"/>
  <sheetViews>
    <sheetView defaultGridColor="0" colorId="22" zoomScaleNormal="100" workbookViewId="0">
      <pane xSplit="4" ySplit="8" topLeftCell="E9" activePane="bottomRight" state="frozen"/>
      <selection activeCell="R36" sqref="R36"/>
      <selection pane="topRight" activeCell="R36" sqref="R36"/>
      <selection pane="bottomLeft" activeCell="R36" sqref="R36"/>
      <selection pane="bottomRight" activeCell="F48" sqref="F48"/>
    </sheetView>
  </sheetViews>
  <sheetFormatPr defaultColWidth="9.77734375" defaultRowHeight="15"/>
  <cols>
    <col min="1" max="1" width="4.77734375" customWidth="1"/>
    <col min="2" max="2" width="56.5546875" customWidth="1"/>
    <col min="3" max="3" width="3.77734375" customWidth="1"/>
    <col min="5" max="6" width="14.77734375" customWidth="1"/>
    <col min="7" max="7" width="6.21875" bestFit="1" customWidth="1"/>
    <col min="8" max="8" width="12.5546875" bestFit="1" customWidth="1"/>
    <col min="9" max="9" width="11" bestFit="1" customWidth="1"/>
  </cols>
  <sheetData>
    <row r="1" spans="1:10" ht="15.75" thickBot="1">
      <c r="A1" s="86" t="str">
        <f>'Data sheet'!A63</f>
        <v>Annual Report of Veolia Water New York, Inc.                                                                             Year Ended  December 31, 2023</v>
      </c>
      <c r="B1" s="86"/>
      <c r="C1" s="86"/>
      <c r="D1" s="86"/>
      <c r="E1" s="86"/>
      <c r="F1" s="86"/>
      <c r="G1" s="86"/>
      <c r="H1" s="86"/>
      <c r="I1" s="86"/>
      <c r="J1" s="86"/>
    </row>
    <row r="2" spans="1:10">
      <c r="A2" s="246"/>
      <c r="B2" s="156"/>
      <c r="C2" s="156"/>
      <c r="D2" s="156"/>
      <c r="E2" s="156"/>
      <c r="F2" s="131"/>
      <c r="G2" s="86"/>
      <c r="H2" s="86"/>
      <c r="I2" s="86"/>
      <c r="J2" s="86"/>
    </row>
    <row r="3" spans="1:10" ht="15.75">
      <c r="A3" s="158" t="s">
        <v>1623</v>
      </c>
      <c r="B3" s="159"/>
      <c r="C3" s="159"/>
      <c r="D3" s="159"/>
      <c r="E3" s="159"/>
      <c r="F3" s="160"/>
      <c r="G3" s="86"/>
      <c r="H3" s="86"/>
      <c r="I3" s="86"/>
      <c r="J3" s="86"/>
    </row>
    <row r="4" spans="1:10">
      <c r="A4" s="169"/>
      <c r="B4" s="175"/>
      <c r="C4" s="175"/>
      <c r="D4" s="98"/>
      <c r="E4" s="1057"/>
      <c r="F4" s="101"/>
      <c r="G4" s="86"/>
      <c r="H4" s="86"/>
      <c r="I4" s="86"/>
      <c r="J4" s="86"/>
    </row>
    <row r="5" spans="1:10">
      <c r="A5" s="247"/>
      <c r="B5" s="159"/>
      <c r="C5" s="159"/>
      <c r="D5" s="174" t="s">
        <v>1624</v>
      </c>
      <c r="E5" s="174" t="s">
        <v>1625</v>
      </c>
      <c r="F5" s="190" t="s">
        <v>1625</v>
      </c>
      <c r="G5" s="86"/>
      <c r="H5" s="86"/>
      <c r="I5" s="86"/>
      <c r="J5" s="86"/>
    </row>
    <row r="6" spans="1:10">
      <c r="A6" s="247" t="s">
        <v>1727</v>
      </c>
      <c r="B6" s="159" t="s">
        <v>1643</v>
      </c>
      <c r="C6" s="159"/>
      <c r="D6" s="174" t="s">
        <v>3276</v>
      </c>
      <c r="E6" s="174" t="s">
        <v>1626</v>
      </c>
      <c r="F6" s="190" t="s">
        <v>1627</v>
      </c>
      <c r="G6" s="86"/>
      <c r="H6" s="159" t="s">
        <v>4622</v>
      </c>
      <c r="I6" s="86"/>
      <c r="J6" s="86"/>
    </row>
    <row r="7" spans="1:10">
      <c r="A7" s="248" t="s">
        <v>1739</v>
      </c>
      <c r="B7" s="162" t="s">
        <v>3279</v>
      </c>
      <c r="C7" s="162"/>
      <c r="D7" s="249" t="s">
        <v>3280</v>
      </c>
      <c r="E7" s="249" t="s">
        <v>3281</v>
      </c>
      <c r="F7" s="183" t="s">
        <v>3282</v>
      </c>
      <c r="G7" s="86"/>
      <c r="I7" s="86"/>
      <c r="J7" s="86"/>
    </row>
    <row r="8" spans="1:10">
      <c r="A8" s="248">
        <v>1</v>
      </c>
      <c r="B8" s="326" t="s">
        <v>1629</v>
      </c>
      <c r="C8" s="162"/>
      <c r="D8" s="249"/>
      <c r="E8" s="1059"/>
      <c r="F8" s="1060"/>
      <c r="G8" s="86"/>
      <c r="H8" s="86"/>
      <c r="I8" s="86"/>
      <c r="J8" s="86"/>
    </row>
    <row r="9" spans="1:10" ht="15.75">
      <c r="A9" s="248">
        <v>2</v>
      </c>
      <c r="B9" s="1041" t="s">
        <v>1630</v>
      </c>
      <c r="C9" s="162"/>
      <c r="D9" s="250" t="s">
        <v>2411</v>
      </c>
      <c r="E9" s="252">
        <v>763813279</v>
      </c>
      <c r="F9" s="252">
        <v>844432303</v>
      </c>
      <c r="G9" s="2180"/>
      <c r="H9" s="1593">
        <f>+E9-F9</f>
        <v>-80619024</v>
      </c>
      <c r="I9" s="86"/>
      <c r="J9" s="86"/>
    </row>
    <row r="10" spans="1:10">
      <c r="A10" s="248">
        <v>3</v>
      </c>
      <c r="B10" s="1041" t="s">
        <v>1631</v>
      </c>
      <c r="C10" s="162"/>
      <c r="D10" s="250" t="s">
        <v>2411</v>
      </c>
      <c r="E10" s="254">
        <v>108601445</v>
      </c>
      <c r="F10" s="254">
        <v>117351869</v>
      </c>
      <c r="G10" s="86"/>
      <c r="H10" s="1593">
        <f t="shared" ref="H10:H75" si="0">+E10-F10</f>
        <v>-8750424</v>
      </c>
      <c r="I10" s="86"/>
      <c r="J10" s="86"/>
    </row>
    <row r="11" spans="1:10">
      <c r="A11" s="248">
        <v>4</v>
      </c>
      <c r="B11" s="1041" t="s">
        <v>1632</v>
      </c>
      <c r="C11" s="162"/>
      <c r="D11" s="250" t="s">
        <v>2509</v>
      </c>
      <c r="E11" s="254">
        <f>E9-E10</f>
        <v>655211834</v>
      </c>
      <c r="F11" s="254">
        <f>F9-F10</f>
        <v>727080434</v>
      </c>
      <c r="G11" s="86"/>
      <c r="H11" s="1593">
        <f t="shared" si="0"/>
        <v>-71868600</v>
      </c>
      <c r="I11" s="86"/>
      <c r="J11" s="86"/>
    </row>
    <row r="12" spans="1:10">
      <c r="A12" s="248">
        <v>5</v>
      </c>
      <c r="B12" s="326" t="s">
        <v>2510</v>
      </c>
      <c r="C12" s="162"/>
      <c r="D12" s="250" t="s">
        <v>2509</v>
      </c>
      <c r="E12" s="1060"/>
      <c r="F12" s="1060"/>
      <c r="G12" s="86"/>
      <c r="H12" s="1593">
        <f t="shared" si="0"/>
        <v>0</v>
      </c>
      <c r="I12" s="86"/>
      <c r="J12" s="86"/>
    </row>
    <row r="13" spans="1:10">
      <c r="A13" s="248">
        <v>6</v>
      </c>
      <c r="B13" s="1041" t="s">
        <v>2511</v>
      </c>
      <c r="C13" s="162"/>
      <c r="D13" s="250">
        <v>211</v>
      </c>
      <c r="E13" s="254">
        <v>1401883</v>
      </c>
      <c r="F13" s="254">
        <v>1401883</v>
      </c>
      <c r="G13" s="86"/>
      <c r="H13" s="1593">
        <f t="shared" si="0"/>
        <v>0</v>
      </c>
      <c r="I13" s="86"/>
      <c r="J13" s="86"/>
    </row>
    <row r="14" spans="1:10">
      <c r="A14" s="248">
        <v>7</v>
      </c>
      <c r="B14" s="1041" t="s">
        <v>2512</v>
      </c>
      <c r="C14" s="162"/>
      <c r="D14" s="250" t="s">
        <v>2509</v>
      </c>
      <c r="E14" s="254">
        <v>278653</v>
      </c>
      <c r="F14" s="254">
        <v>308029</v>
      </c>
      <c r="G14" s="86"/>
      <c r="H14" s="1593">
        <f t="shared" si="0"/>
        <v>-29376</v>
      </c>
      <c r="I14" s="86"/>
      <c r="J14" s="86"/>
    </row>
    <row r="15" spans="1:10">
      <c r="A15" s="248">
        <v>8</v>
      </c>
      <c r="B15" s="1041" t="s">
        <v>3843</v>
      </c>
      <c r="C15" s="162"/>
      <c r="D15" s="250" t="s">
        <v>3090</v>
      </c>
      <c r="E15" s="254"/>
      <c r="F15" s="254"/>
      <c r="G15" s="86"/>
      <c r="H15" s="1593">
        <f t="shared" si="0"/>
        <v>0</v>
      </c>
      <c r="I15" s="86"/>
      <c r="J15" s="86"/>
    </row>
    <row r="16" spans="1:10">
      <c r="A16" s="248">
        <v>9</v>
      </c>
      <c r="B16" s="1041" t="s">
        <v>3844</v>
      </c>
      <c r="C16" s="162"/>
      <c r="D16" s="250" t="s">
        <v>2509</v>
      </c>
      <c r="E16" s="1060"/>
      <c r="F16" s="1060"/>
      <c r="G16" s="86"/>
      <c r="H16" s="1593">
        <f t="shared" si="0"/>
        <v>0</v>
      </c>
      <c r="I16" s="86"/>
      <c r="J16" s="86"/>
    </row>
    <row r="17" spans="1:10">
      <c r="A17" s="248">
        <v>10</v>
      </c>
      <c r="B17" s="1041" t="s">
        <v>3845</v>
      </c>
      <c r="C17" s="162"/>
      <c r="D17" s="250" t="s">
        <v>3090</v>
      </c>
      <c r="E17" s="254"/>
      <c r="F17" s="254"/>
      <c r="G17" s="86"/>
      <c r="H17" s="1593">
        <f t="shared" si="0"/>
        <v>0</v>
      </c>
      <c r="I17" s="86"/>
      <c r="J17" s="86"/>
    </row>
    <row r="18" spans="1:10">
      <c r="A18" s="248">
        <v>11</v>
      </c>
      <c r="B18" s="98" t="s">
        <v>3846</v>
      </c>
      <c r="C18" s="162"/>
      <c r="D18" s="250" t="s">
        <v>765</v>
      </c>
      <c r="E18" s="254"/>
      <c r="F18" s="254"/>
      <c r="G18" s="86"/>
      <c r="H18" s="1593">
        <f t="shared" si="0"/>
        <v>0</v>
      </c>
      <c r="I18" s="86"/>
      <c r="J18" s="86"/>
    </row>
    <row r="19" spans="1:10">
      <c r="A19" s="248">
        <v>12</v>
      </c>
      <c r="B19" s="98" t="s">
        <v>3847</v>
      </c>
      <c r="C19" s="162"/>
      <c r="D19" s="250" t="s">
        <v>765</v>
      </c>
      <c r="E19" s="254"/>
      <c r="F19" s="254"/>
      <c r="G19" s="86"/>
      <c r="H19" s="1593">
        <f t="shared" si="0"/>
        <v>0</v>
      </c>
      <c r="I19" s="86"/>
      <c r="J19" s="86"/>
    </row>
    <row r="20" spans="1:10">
      <c r="A20" s="248">
        <v>13</v>
      </c>
      <c r="B20" s="1041" t="s">
        <v>3848</v>
      </c>
      <c r="C20" s="162"/>
      <c r="D20" s="250" t="s">
        <v>765</v>
      </c>
      <c r="E20" s="254"/>
      <c r="F20" s="254"/>
      <c r="G20" s="86"/>
      <c r="H20" s="1593">
        <f t="shared" si="0"/>
        <v>0</v>
      </c>
      <c r="I20" s="86"/>
      <c r="J20" s="86"/>
    </row>
    <row r="21" spans="1:10">
      <c r="A21" s="248">
        <v>14</v>
      </c>
      <c r="B21" s="1041" t="s">
        <v>3849</v>
      </c>
      <c r="C21" s="162"/>
      <c r="D21" s="250" t="s">
        <v>2509</v>
      </c>
      <c r="E21" s="254">
        <f>E13-E14+SUM(E15:E20)</f>
        <v>1123230</v>
      </c>
      <c r="F21" s="254">
        <f>F13-F14+SUM(F15:F20)</f>
        <v>1093854</v>
      </c>
      <c r="G21" s="86"/>
      <c r="H21" s="1593">
        <f t="shared" si="0"/>
        <v>29376</v>
      </c>
      <c r="I21" s="86"/>
      <c r="J21" s="86"/>
    </row>
    <row r="22" spans="1:10">
      <c r="A22" s="248">
        <v>15</v>
      </c>
      <c r="B22" s="326" t="s">
        <v>3030</v>
      </c>
      <c r="C22" s="162"/>
      <c r="D22" s="250" t="s">
        <v>2509</v>
      </c>
      <c r="E22" s="1060"/>
      <c r="F22" s="1060"/>
      <c r="G22" s="86"/>
      <c r="H22" s="1593">
        <f t="shared" si="0"/>
        <v>0</v>
      </c>
      <c r="I22" s="86"/>
      <c r="J22" s="86"/>
    </row>
    <row r="23" spans="1:10">
      <c r="A23" s="248">
        <v>16</v>
      </c>
      <c r="B23" s="1041" t="s">
        <v>2534</v>
      </c>
      <c r="C23" s="162"/>
      <c r="D23" s="250" t="s">
        <v>2509</v>
      </c>
      <c r="E23" s="254">
        <v>10200</v>
      </c>
      <c r="F23" s="254">
        <v>10000</v>
      </c>
      <c r="G23" s="86"/>
      <c r="H23" s="1593">
        <f t="shared" si="0"/>
        <v>200</v>
      </c>
      <c r="I23" s="86"/>
      <c r="J23" s="86"/>
    </row>
    <row r="24" spans="1:10">
      <c r="A24" s="248">
        <v>17</v>
      </c>
      <c r="B24" s="1041" t="s">
        <v>2535</v>
      </c>
      <c r="C24" s="162"/>
      <c r="D24" s="250" t="s">
        <v>765</v>
      </c>
      <c r="E24" s="254"/>
      <c r="F24" s="254"/>
      <c r="G24" s="86"/>
      <c r="H24" s="1593">
        <f t="shared" si="0"/>
        <v>0</v>
      </c>
      <c r="I24" s="86"/>
      <c r="J24" s="86"/>
    </row>
    <row r="25" spans="1:10">
      <c r="A25" s="248">
        <v>18</v>
      </c>
      <c r="B25" s="1041" t="s">
        <v>2536</v>
      </c>
      <c r="C25" s="162"/>
      <c r="D25" s="250" t="s">
        <v>765</v>
      </c>
      <c r="E25" s="254"/>
      <c r="F25" s="254"/>
      <c r="G25" s="86"/>
      <c r="H25" s="1593">
        <f t="shared" si="0"/>
        <v>0</v>
      </c>
      <c r="I25" s="86"/>
      <c r="J25" s="86"/>
    </row>
    <row r="26" spans="1:10">
      <c r="A26" s="248">
        <v>19</v>
      </c>
      <c r="B26" s="1041" t="s">
        <v>2537</v>
      </c>
      <c r="C26" s="162"/>
      <c r="D26" s="250" t="s">
        <v>765</v>
      </c>
      <c r="E26" s="254"/>
      <c r="F26" s="254"/>
      <c r="G26" s="86"/>
      <c r="H26" s="1593">
        <f t="shared" si="0"/>
        <v>0</v>
      </c>
      <c r="I26" s="86"/>
      <c r="J26" s="86"/>
    </row>
    <row r="27" spans="1:10">
      <c r="A27" s="248">
        <v>20</v>
      </c>
      <c r="B27" s="1041" t="s">
        <v>2538</v>
      </c>
      <c r="C27" s="162"/>
      <c r="D27" s="250" t="s">
        <v>2509</v>
      </c>
      <c r="E27" s="254">
        <v>120</v>
      </c>
      <c r="F27" s="254">
        <v>120</v>
      </c>
      <c r="G27" s="86"/>
      <c r="H27" s="1593">
        <f t="shared" si="0"/>
        <v>0</v>
      </c>
      <c r="I27" s="86"/>
      <c r="J27" s="86"/>
    </row>
    <row r="28" spans="1:10">
      <c r="A28" s="248">
        <v>21</v>
      </c>
      <c r="B28" s="1041" t="s">
        <v>2539</v>
      </c>
      <c r="C28" s="162"/>
      <c r="D28" s="250" t="s">
        <v>2509</v>
      </c>
      <c r="E28" s="254"/>
      <c r="F28" s="254"/>
      <c r="G28" s="86"/>
      <c r="H28" s="1593">
        <f t="shared" si="0"/>
        <v>0</v>
      </c>
      <c r="I28" s="86"/>
      <c r="J28" s="86"/>
    </row>
    <row r="29" spans="1:10">
      <c r="A29" s="248">
        <v>22</v>
      </c>
      <c r="B29" s="1041" t="s">
        <v>2540</v>
      </c>
      <c r="C29" s="162"/>
      <c r="D29" s="250" t="s">
        <v>4299</v>
      </c>
      <c r="E29" s="254"/>
      <c r="F29" s="254"/>
      <c r="G29" s="86"/>
      <c r="H29" s="1593">
        <f t="shared" si="0"/>
        <v>0</v>
      </c>
      <c r="I29" s="86"/>
      <c r="J29" s="86"/>
    </row>
    <row r="30" spans="1:10">
      <c r="A30" s="248">
        <v>23</v>
      </c>
      <c r="B30" s="1041" t="s">
        <v>2541</v>
      </c>
      <c r="C30" s="162"/>
      <c r="D30" s="250" t="s">
        <v>4299</v>
      </c>
      <c r="E30" s="254">
        <v>15190893</v>
      </c>
      <c r="F30" s="254">
        <v>14572057</v>
      </c>
      <c r="G30" s="86"/>
      <c r="H30" s="1593">
        <f t="shared" si="0"/>
        <v>618836</v>
      </c>
      <c r="I30" s="86"/>
      <c r="J30" s="86"/>
    </row>
    <row r="31" spans="1:10">
      <c r="A31" s="248">
        <v>24</v>
      </c>
      <c r="B31" s="1041" t="s">
        <v>2542</v>
      </c>
      <c r="C31" s="162"/>
      <c r="D31" s="250" t="s">
        <v>4299</v>
      </c>
      <c r="E31" s="254">
        <v>878566</v>
      </c>
      <c r="F31" s="254">
        <v>1052024</v>
      </c>
      <c r="G31" s="86"/>
      <c r="H31" s="1593">
        <f t="shared" si="0"/>
        <v>-173458</v>
      </c>
      <c r="I31" s="86"/>
      <c r="J31" s="86"/>
    </row>
    <row r="32" spans="1:10">
      <c r="A32" s="248">
        <v>25</v>
      </c>
      <c r="B32" s="1041" t="s">
        <v>2543</v>
      </c>
      <c r="C32" s="162"/>
      <c r="D32" s="250" t="s">
        <v>4299</v>
      </c>
      <c r="E32" s="254">
        <v>4892337</v>
      </c>
      <c r="F32" s="254">
        <v>4522596</v>
      </c>
      <c r="G32" s="86"/>
      <c r="H32" s="1593">
        <f t="shared" si="0"/>
        <v>369741</v>
      </c>
      <c r="I32" s="86"/>
      <c r="J32" s="86"/>
    </row>
    <row r="33" spans="1:10">
      <c r="A33" s="248">
        <v>26</v>
      </c>
      <c r="B33" s="1041" t="s">
        <v>2544</v>
      </c>
      <c r="C33" s="162"/>
      <c r="D33" s="250" t="s">
        <v>433</v>
      </c>
      <c r="E33" s="254"/>
      <c r="F33" s="254"/>
      <c r="G33" s="86"/>
      <c r="H33" s="1593">
        <f t="shared" si="0"/>
        <v>0</v>
      </c>
      <c r="I33" s="86"/>
      <c r="J33" s="86"/>
    </row>
    <row r="34" spans="1:10">
      <c r="A34" s="248">
        <v>27</v>
      </c>
      <c r="B34" s="1041" t="s">
        <v>2545</v>
      </c>
      <c r="C34" s="162"/>
      <c r="D34" s="250" t="s">
        <v>433</v>
      </c>
      <c r="E34" s="254">
        <v>-2918880</v>
      </c>
      <c r="F34" s="254">
        <v>-1106426</v>
      </c>
      <c r="G34" s="86"/>
      <c r="H34" s="1593">
        <f t="shared" si="0"/>
        <v>-1812454</v>
      </c>
      <c r="I34" s="86"/>
      <c r="J34" s="86"/>
    </row>
    <row r="35" spans="1:10">
      <c r="A35" s="248">
        <v>28</v>
      </c>
      <c r="B35" s="1041" t="s">
        <v>2546</v>
      </c>
      <c r="C35" s="162"/>
      <c r="D35" s="250" t="s">
        <v>2796</v>
      </c>
      <c r="E35" s="254">
        <v>3515770</v>
      </c>
      <c r="F35" s="254">
        <v>2989021</v>
      </c>
      <c r="G35" s="86"/>
      <c r="H35" s="1593">
        <f t="shared" si="0"/>
        <v>526749</v>
      </c>
      <c r="I35" s="86"/>
      <c r="J35" s="86"/>
    </row>
    <row r="36" spans="1:10">
      <c r="A36" s="248">
        <v>29</v>
      </c>
      <c r="B36" s="1041" t="s">
        <v>2547</v>
      </c>
      <c r="C36" s="162"/>
      <c r="D36" s="250" t="s">
        <v>2796</v>
      </c>
      <c r="E36" s="254">
        <v>8701098</v>
      </c>
      <c r="F36" s="254">
        <v>9226882</v>
      </c>
      <c r="G36" s="86"/>
      <c r="H36" s="1593">
        <f t="shared" si="0"/>
        <v>-525784</v>
      </c>
      <c r="I36" s="86"/>
      <c r="J36" s="86"/>
    </row>
    <row r="37" spans="1:10">
      <c r="A37" s="248">
        <v>30</v>
      </c>
      <c r="B37" s="1041" t="s">
        <v>2548</v>
      </c>
      <c r="C37" s="162"/>
      <c r="D37" s="250" t="s">
        <v>2509</v>
      </c>
      <c r="E37" s="254"/>
      <c r="F37" s="254"/>
      <c r="G37" s="86"/>
      <c r="H37" s="1593">
        <f t="shared" si="0"/>
        <v>0</v>
      </c>
      <c r="I37" s="86"/>
      <c r="J37" s="86"/>
    </row>
    <row r="38" spans="1:10">
      <c r="A38" s="248">
        <v>31</v>
      </c>
      <c r="B38" s="1041" t="s">
        <v>2549</v>
      </c>
      <c r="C38" s="162"/>
      <c r="D38" s="250" t="s">
        <v>2509</v>
      </c>
      <c r="E38" s="254"/>
      <c r="F38" s="254"/>
      <c r="G38" s="86"/>
      <c r="H38" s="1593">
        <f t="shared" si="0"/>
        <v>0</v>
      </c>
      <c r="I38" s="86"/>
      <c r="J38" s="86"/>
    </row>
    <row r="39" spans="1:10">
      <c r="A39" s="248">
        <v>32</v>
      </c>
      <c r="B39" s="1041" t="s">
        <v>1377</v>
      </c>
      <c r="C39" s="162"/>
      <c r="D39" s="250" t="s">
        <v>2509</v>
      </c>
      <c r="E39" s="254">
        <v>9592666</v>
      </c>
      <c r="F39" s="254">
        <v>8975430</v>
      </c>
      <c r="G39" s="86"/>
      <c r="H39" s="1593">
        <f t="shared" si="0"/>
        <v>617236</v>
      </c>
      <c r="I39" s="86"/>
      <c r="J39" s="86"/>
    </row>
    <row r="40" spans="1:10">
      <c r="A40" s="248">
        <v>33</v>
      </c>
      <c r="B40" s="1041" t="s">
        <v>1378</v>
      </c>
      <c r="C40" s="162"/>
      <c r="D40" s="250" t="s">
        <v>2509</v>
      </c>
      <c r="E40" s="254"/>
      <c r="F40" s="254"/>
      <c r="G40" s="86"/>
      <c r="H40" s="1593">
        <f t="shared" si="0"/>
        <v>0</v>
      </c>
      <c r="I40" s="86"/>
      <c r="J40" s="86"/>
    </row>
    <row r="41" spans="1:10">
      <c r="A41" s="248">
        <v>34</v>
      </c>
      <c r="B41" s="1041" t="s">
        <v>725</v>
      </c>
      <c r="C41" s="162"/>
      <c r="D41" s="256" t="s">
        <v>2509</v>
      </c>
      <c r="E41" s="1522">
        <f>SUM(E23:E31)-E32+SUM(E33:E40)</f>
        <v>30078096</v>
      </c>
      <c r="F41" s="1522">
        <f>SUM(F23:F31)-F32+SUM(F33:F40)</f>
        <v>31196512</v>
      </c>
      <c r="G41" s="86"/>
      <c r="H41" s="1593">
        <f t="shared" si="0"/>
        <v>-1118416</v>
      </c>
      <c r="I41" s="1593"/>
      <c r="J41" s="86"/>
    </row>
    <row r="42" spans="1:10">
      <c r="A42" s="248">
        <v>35</v>
      </c>
      <c r="B42" s="1041" t="s">
        <v>48</v>
      </c>
      <c r="C42" s="162"/>
      <c r="D42" s="258" t="s">
        <v>2509</v>
      </c>
      <c r="E42" s="1060"/>
      <c r="F42" s="1060"/>
      <c r="G42" s="86"/>
      <c r="H42" s="1593">
        <f t="shared" si="0"/>
        <v>0</v>
      </c>
      <c r="I42" s="86"/>
      <c r="J42" s="86"/>
    </row>
    <row r="43" spans="1:10">
      <c r="A43" s="248">
        <v>36</v>
      </c>
      <c r="B43" s="1041" t="s">
        <v>49</v>
      </c>
      <c r="C43" s="162"/>
      <c r="D43" s="258" t="s">
        <v>2509</v>
      </c>
      <c r="E43" s="254"/>
      <c r="F43" s="254"/>
      <c r="G43" s="86"/>
      <c r="H43" s="1593">
        <f t="shared" si="0"/>
        <v>0</v>
      </c>
      <c r="I43" s="86"/>
      <c r="J43" s="86"/>
    </row>
    <row r="44" spans="1:10">
      <c r="A44" s="248">
        <v>37</v>
      </c>
      <c r="B44" s="1041" t="s">
        <v>632</v>
      </c>
      <c r="C44" s="162"/>
      <c r="D44" s="258" t="s">
        <v>436</v>
      </c>
      <c r="E44" s="254"/>
      <c r="F44" s="254"/>
      <c r="G44" s="86"/>
      <c r="H44" s="1593">
        <f t="shared" si="0"/>
        <v>0</v>
      </c>
      <c r="I44" s="86"/>
      <c r="J44" s="86"/>
    </row>
    <row r="45" spans="1:10">
      <c r="A45" s="248">
        <v>38</v>
      </c>
      <c r="B45" s="1041" t="s">
        <v>633</v>
      </c>
      <c r="C45" s="162"/>
      <c r="D45" s="258" t="s">
        <v>2509</v>
      </c>
      <c r="E45" s="254">
        <v>6591302</v>
      </c>
      <c r="F45" s="254">
        <v>8282877</v>
      </c>
      <c r="G45" s="86"/>
      <c r="H45" s="1593">
        <f t="shared" si="0"/>
        <v>-1691575</v>
      </c>
      <c r="I45" s="86"/>
      <c r="J45" s="86"/>
    </row>
    <row r="46" spans="1:10">
      <c r="A46" s="248">
        <v>39</v>
      </c>
      <c r="B46" s="1041" t="s">
        <v>634</v>
      </c>
      <c r="C46" s="162"/>
      <c r="D46" s="258" t="s">
        <v>2509</v>
      </c>
      <c r="E46" s="254">
        <v>5831</v>
      </c>
      <c r="F46" s="254">
        <v>8763</v>
      </c>
      <c r="G46" s="86"/>
      <c r="H46" s="1593">
        <f t="shared" si="0"/>
        <v>-2932</v>
      </c>
      <c r="I46" s="86"/>
      <c r="J46" s="86"/>
    </row>
    <row r="47" spans="1:10">
      <c r="A47" s="248">
        <v>40</v>
      </c>
      <c r="B47" s="1041" t="s">
        <v>635</v>
      </c>
      <c r="C47" s="162"/>
      <c r="D47" s="258" t="s">
        <v>2509</v>
      </c>
      <c r="E47" s="254"/>
      <c r="F47" s="254"/>
      <c r="G47" s="86"/>
      <c r="H47" s="1593">
        <f t="shared" si="0"/>
        <v>0</v>
      </c>
      <c r="I47" s="86"/>
      <c r="J47" s="86"/>
    </row>
    <row r="48" spans="1:10">
      <c r="A48" s="248">
        <v>41</v>
      </c>
      <c r="B48" s="1041" t="s">
        <v>636</v>
      </c>
      <c r="C48" s="162"/>
      <c r="D48" s="258" t="s">
        <v>436</v>
      </c>
      <c r="E48" s="254">
        <v>55890768</v>
      </c>
      <c r="F48" s="254">
        <v>42955571</v>
      </c>
      <c r="G48" s="86"/>
      <c r="H48" s="1593">
        <f t="shared" si="0"/>
        <v>12935197</v>
      </c>
      <c r="I48" s="86"/>
      <c r="J48" s="86"/>
    </row>
    <row r="49" spans="1:10">
      <c r="A49" s="248">
        <v>42</v>
      </c>
      <c r="B49" s="1041" t="s">
        <v>637</v>
      </c>
      <c r="C49" s="162"/>
      <c r="D49" s="258" t="s">
        <v>4040</v>
      </c>
      <c r="E49" s="254"/>
      <c r="F49" s="254"/>
      <c r="G49" s="86"/>
      <c r="H49" s="1593">
        <f t="shared" si="0"/>
        <v>0</v>
      </c>
      <c r="I49" s="86"/>
      <c r="J49" s="86"/>
    </row>
    <row r="50" spans="1:10">
      <c r="A50" s="248">
        <v>43</v>
      </c>
      <c r="B50" s="1041" t="s">
        <v>638</v>
      </c>
      <c r="C50" s="162"/>
      <c r="D50" s="258" t="s">
        <v>2509</v>
      </c>
      <c r="E50" s="1060"/>
      <c r="F50" s="1060"/>
      <c r="G50" s="86"/>
      <c r="H50" s="1593">
        <f t="shared" si="0"/>
        <v>0</v>
      </c>
      <c r="I50" s="86"/>
      <c r="J50" s="86"/>
    </row>
    <row r="51" spans="1:10">
      <c r="A51" s="248">
        <v>44</v>
      </c>
      <c r="B51" s="1041" t="s">
        <v>639</v>
      </c>
      <c r="C51" s="162"/>
      <c r="D51" s="258" t="s">
        <v>3756</v>
      </c>
      <c r="E51" s="254">
        <v>-701115</v>
      </c>
      <c r="F51" s="254">
        <v>-297526</v>
      </c>
      <c r="G51" s="86"/>
      <c r="H51" s="1593">
        <f t="shared" si="0"/>
        <v>-403589</v>
      </c>
      <c r="I51" s="86"/>
      <c r="J51" s="86"/>
    </row>
    <row r="52" spans="1:10">
      <c r="A52" s="248">
        <v>45</v>
      </c>
      <c r="B52" s="1041" t="s">
        <v>640</v>
      </c>
      <c r="C52" s="162"/>
      <c r="D52" s="258" t="s">
        <v>2509</v>
      </c>
      <c r="E52" s="254">
        <f>SUM(E43:E51)</f>
        <v>61786786</v>
      </c>
      <c r="F52" s="254">
        <f>SUM(F44:F51)</f>
        <v>50949685</v>
      </c>
      <c r="G52" s="86"/>
      <c r="H52" s="1593">
        <f t="shared" si="0"/>
        <v>10837101</v>
      </c>
      <c r="I52" s="86"/>
      <c r="J52" s="86"/>
    </row>
    <row r="53" spans="1:10">
      <c r="A53" s="247">
        <v>46</v>
      </c>
      <c r="B53" s="191" t="s">
        <v>641</v>
      </c>
      <c r="C53" s="159"/>
      <c r="D53" s="259" t="s">
        <v>2509</v>
      </c>
      <c r="E53" s="261"/>
      <c r="F53" s="261"/>
      <c r="G53" s="86"/>
      <c r="H53" s="1593">
        <f t="shared" si="0"/>
        <v>0</v>
      </c>
      <c r="I53" s="86"/>
      <c r="J53" s="86"/>
    </row>
    <row r="54" spans="1:10" ht="15.75" thickBot="1">
      <c r="A54" s="262"/>
      <c r="B54" s="193" t="s">
        <v>642</v>
      </c>
      <c r="C54" s="209"/>
      <c r="D54" s="263" t="s">
        <v>2509</v>
      </c>
      <c r="E54" s="264">
        <f>E11+E21+E41+E52</f>
        <v>748199946</v>
      </c>
      <c r="F54" s="264">
        <f>F11+F21+F41+F52</f>
        <v>810320485</v>
      </c>
      <c r="G54" s="86"/>
      <c r="H54" s="1593">
        <f t="shared" si="0"/>
        <v>-62120539</v>
      </c>
      <c r="I54" s="86"/>
      <c r="J54" s="86"/>
    </row>
    <row r="55" spans="1:10">
      <c r="A55" s="177" t="s">
        <v>2024</v>
      </c>
      <c r="B55" s="177"/>
      <c r="C55" s="159"/>
      <c r="D55" s="177"/>
      <c r="E55" s="206"/>
      <c r="F55" s="206"/>
      <c r="G55" s="86"/>
      <c r="I55" s="86"/>
      <c r="J55" s="86"/>
    </row>
    <row r="56" spans="1:10">
      <c r="A56" s="177"/>
      <c r="B56" s="177"/>
      <c r="C56" s="159"/>
      <c r="D56" s="177"/>
      <c r="E56" s="206"/>
      <c r="F56" s="206"/>
      <c r="G56" s="86"/>
      <c r="H56" s="1593"/>
      <c r="I56" s="86"/>
      <c r="J56" s="86"/>
    </row>
    <row r="57" spans="1:10" ht="15.75">
      <c r="A57" s="177"/>
      <c r="B57" s="2180"/>
      <c r="C57" s="159"/>
      <c r="D57" s="177"/>
      <c r="E57" s="206"/>
      <c r="F57" s="206"/>
      <c r="G57" s="86"/>
      <c r="H57" s="1593"/>
      <c r="I57" s="86"/>
      <c r="J57" s="86"/>
    </row>
    <row r="58" spans="1:10">
      <c r="A58" s="159" t="s">
        <v>643</v>
      </c>
      <c r="B58" s="159"/>
      <c r="C58" s="159"/>
      <c r="D58" s="159"/>
      <c r="E58" s="212"/>
      <c r="F58" s="212"/>
      <c r="G58" s="86"/>
      <c r="H58" s="1593"/>
      <c r="I58" s="86"/>
      <c r="J58" s="86"/>
    </row>
    <row r="59" spans="1:10" ht="15.75" thickBot="1">
      <c r="A59" s="177" t="str">
        <f>'Data sheet'!A63</f>
        <v>Annual Report of Veolia Water New York, Inc.                                                                             Year Ended  December 31, 2023</v>
      </c>
      <c r="B59" s="177"/>
      <c r="C59" s="177"/>
      <c r="D59" s="177"/>
      <c r="E59" s="206"/>
      <c r="F59" s="206"/>
      <c r="G59" s="86"/>
      <c r="H59" s="1593"/>
      <c r="I59" s="86"/>
      <c r="J59" s="86"/>
    </row>
    <row r="60" spans="1:10">
      <c r="A60" s="246"/>
      <c r="B60" s="156"/>
      <c r="C60" s="156"/>
      <c r="D60" s="156"/>
      <c r="E60" s="156"/>
      <c r="F60" s="131"/>
      <c r="G60" s="86"/>
      <c r="H60" s="1593"/>
      <c r="I60" s="86"/>
      <c r="J60" s="86"/>
    </row>
    <row r="61" spans="1:10" ht="15.75">
      <c r="A61" s="158" t="s">
        <v>644</v>
      </c>
      <c r="B61" s="265"/>
      <c r="C61" s="159"/>
      <c r="D61" s="159"/>
      <c r="E61" s="159"/>
      <c r="F61" s="160"/>
      <c r="G61" s="86"/>
      <c r="H61" s="1593"/>
      <c r="I61" s="86"/>
      <c r="J61" s="86"/>
    </row>
    <row r="62" spans="1:10">
      <c r="A62" s="169"/>
      <c r="B62" s="175"/>
      <c r="C62" s="175"/>
      <c r="D62" s="98"/>
      <c r="E62" s="1057"/>
      <c r="F62" s="101"/>
      <c r="G62" s="86"/>
      <c r="H62" s="1593"/>
      <c r="I62" s="86"/>
      <c r="J62" s="86"/>
    </row>
    <row r="63" spans="1:10">
      <c r="A63" s="173"/>
      <c r="B63" s="159"/>
      <c r="C63" s="159"/>
      <c r="D63" s="174" t="s">
        <v>1624</v>
      </c>
      <c r="E63" s="174" t="s">
        <v>1625</v>
      </c>
      <c r="F63" s="190" t="s">
        <v>1625</v>
      </c>
      <c r="G63" s="86"/>
      <c r="H63" s="1593"/>
      <c r="I63" s="86"/>
      <c r="J63" s="86"/>
    </row>
    <row r="64" spans="1:10">
      <c r="A64" s="173" t="s">
        <v>1727</v>
      </c>
      <c r="B64" s="159" t="s">
        <v>1643</v>
      </c>
      <c r="C64" s="159"/>
      <c r="D64" s="174" t="s">
        <v>3276</v>
      </c>
      <c r="E64" s="174" t="s">
        <v>1626</v>
      </c>
      <c r="F64" s="190" t="s">
        <v>1627</v>
      </c>
      <c r="G64" s="86"/>
      <c r="H64" s="159" t="s">
        <v>4622</v>
      </c>
      <c r="I64" s="86"/>
      <c r="J64" s="86"/>
    </row>
    <row r="65" spans="1:10">
      <c r="A65" s="181" t="s">
        <v>1739</v>
      </c>
      <c r="B65" s="162" t="s">
        <v>3279</v>
      </c>
      <c r="C65" s="162"/>
      <c r="D65" s="249" t="s">
        <v>3280</v>
      </c>
      <c r="E65" s="249" t="s">
        <v>3281</v>
      </c>
      <c r="F65" s="183" t="s">
        <v>3282</v>
      </c>
      <c r="G65" s="86"/>
      <c r="H65" s="1593"/>
      <c r="I65" s="86"/>
      <c r="J65" s="86"/>
    </row>
    <row r="66" spans="1:10">
      <c r="A66" s="181">
        <v>1</v>
      </c>
      <c r="B66" s="326" t="s">
        <v>645</v>
      </c>
      <c r="C66" s="162"/>
      <c r="D66" s="258" t="s">
        <v>2509</v>
      </c>
      <c r="E66" s="1059"/>
      <c r="F66" s="1061"/>
      <c r="G66" s="86"/>
      <c r="H66" s="1593"/>
      <c r="I66" s="86"/>
      <c r="J66" s="86"/>
    </row>
    <row r="67" spans="1:10">
      <c r="A67" s="181">
        <v>2</v>
      </c>
      <c r="B67" s="1041" t="s">
        <v>646</v>
      </c>
      <c r="C67" s="162"/>
      <c r="D67" s="258" t="s">
        <v>1714</v>
      </c>
      <c r="E67" s="252">
        <v>13856490</v>
      </c>
      <c r="F67" s="252">
        <v>13856490</v>
      </c>
      <c r="G67" s="86"/>
      <c r="H67" s="1593">
        <f t="shared" si="0"/>
        <v>0</v>
      </c>
      <c r="I67" s="86"/>
      <c r="J67" s="86"/>
    </row>
    <row r="68" spans="1:10">
      <c r="A68" s="181">
        <v>3</v>
      </c>
      <c r="B68" s="1041" t="s">
        <v>647</v>
      </c>
      <c r="C68" s="162"/>
      <c r="D68" s="258" t="s">
        <v>1714</v>
      </c>
      <c r="E68" s="254"/>
      <c r="F68" s="254"/>
      <c r="G68" s="86"/>
      <c r="H68" s="1593">
        <f t="shared" si="0"/>
        <v>0</v>
      </c>
      <c r="I68" s="86"/>
      <c r="J68" s="86"/>
    </row>
    <row r="69" spans="1:10">
      <c r="A69" s="181">
        <v>4</v>
      </c>
      <c r="B69" s="1041" t="s">
        <v>648</v>
      </c>
      <c r="C69" s="162"/>
      <c r="D69" s="258" t="s">
        <v>3364</v>
      </c>
      <c r="E69" s="254"/>
      <c r="F69" s="254"/>
      <c r="G69" s="86"/>
      <c r="H69" s="1593">
        <f t="shared" si="0"/>
        <v>0</v>
      </c>
      <c r="I69" s="86"/>
      <c r="J69" s="86"/>
    </row>
    <row r="70" spans="1:10">
      <c r="A70" s="181">
        <v>5</v>
      </c>
      <c r="B70" s="1041" t="s">
        <v>482</v>
      </c>
      <c r="C70" s="162"/>
      <c r="D70" s="258" t="s">
        <v>3364</v>
      </c>
      <c r="E70" s="254"/>
      <c r="F70" s="254"/>
      <c r="G70" s="86"/>
      <c r="H70" s="1593">
        <f t="shared" si="0"/>
        <v>0</v>
      </c>
      <c r="I70" s="86"/>
      <c r="J70" s="86"/>
    </row>
    <row r="71" spans="1:10">
      <c r="A71" s="181">
        <v>6</v>
      </c>
      <c r="B71" s="1041" t="s">
        <v>2682</v>
      </c>
      <c r="C71" s="162"/>
      <c r="D71" s="258" t="s">
        <v>3364</v>
      </c>
      <c r="E71" s="254">
        <v>6286958</v>
      </c>
      <c r="F71" s="254">
        <v>6286958</v>
      </c>
      <c r="G71" s="86"/>
      <c r="H71" s="1593">
        <f t="shared" si="0"/>
        <v>0</v>
      </c>
      <c r="I71" s="86"/>
      <c r="J71" s="86"/>
    </row>
    <row r="72" spans="1:10">
      <c r="A72" s="181">
        <v>7</v>
      </c>
      <c r="B72" s="1041" t="s">
        <v>2683</v>
      </c>
      <c r="C72" s="162"/>
      <c r="D72" s="258" t="s">
        <v>3035</v>
      </c>
      <c r="E72" s="254">
        <v>354164296</v>
      </c>
      <c r="F72" s="254">
        <v>400054252</v>
      </c>
      <c r="G72" s="86"/>
      <c r="H72" s="1593">
        <f t="shared" si="0"/>
        <v>-45889956</v>
      </c>
      <c r="I72" s="86"/>
      <c r="J72" s="86"/>
    </row>
    <row r="73" spans="1:10">
      <c r="A73" s="181">
        <v>8</v>
      </c>
      <c r="B73" s="1041" t="s">
        <v>2684</v>
      </c>
      <c r="C73" s="162"/>
      <c r="D73" s="258" t="s">
        <v>3364</v>
      </c>
      <c r="E73" s="254"/>
      <c r="F73" s="254"/>
      <c r="G73" s="86"/>
      <c r="H73" s="1593">
        <f t="shared" si="0"/>
        <v>0</v>
      </c>
      <c r="I73" s="86"/>
      <c r="J73" s="86"/>
    </row>
    <row r="74" spans="1:10">
      <c r="A74" s="181">
        <v>9</v>
      </c>
      <c r="B74" s="1041" t="s">
        <v>2685</v>
      </c>
      <c r="C74" s="162"/>
      <c r="D74" s="258" t="s">
        <v>2509</v>
      </c>
      <c r="E74" s="1061"/>
      <c r="F74" s="1061"/>
      <c r="G74" s="86"/>
      <c r="H74" s="1593">
        <f t="shared" si="0"/>
        <v>0</v>
      </c>
      <c r="I74" s="86"/>
      <c r="J74" s="86"/>
    </row>
    <row r="75" spans="1:10">
      <c r="A75" s="181">
        <v>10</v>
      </c>
      <c r="B75" s="1041" t="s">
        <v>2686</v>
      </c>
      <c r="C75" s="162"/>
      <c r="D75" s="258" t="s">
        <v>3037</v>
      </c>
      <c r="E75" s="254"/>
      <c r="F75" s="254"/>
      <c r="G75" s="86"/>
      <c r="H75" s="1593">
        <f t="shared" si="0"/>
        <v>0</v>
      </c>
      <c r="I75" s="86"/>
      <c r="J75" s="86"/>
    </row>
    <row r="76" spans="1:10">
      <c r="A76" s="181">
        <v>11</v>
      </c>
      <c r="B76" s="1041" t="s">
        <v>2687</v>
      </c>
      <c r="C76" s="162"/>
      <c r="D76" s="258" t="s">
        <v>3523</v>
      </c>
      <c r="E76" s="254">
        <v>164523561</v>
      </c>
      <c r="F76" s="254">
        <v>186118123</v>
      </c>
      <c r="G76" s="86"/>
      <c r="H76" s="1593">
        <f t="shared" ref="H76:H118" si="1">+E76-F76</f>
        <v>-21594562</v>
      </c>
      <c r="I76" s="86"/>
      <c r="J76" s="86"/>
    </row>
    <row r="77" spans="1:10">
      <c r="A77" s="181">
        <v>12</v>
      </c>
      <c r="B77" s="1041" t="s">
        <v>726</v>
      </c>
      <c r="C77" s="162"/>
      <c r="D77" s="258" t="s">
        <v>3523</v>
      </c>
      <c r="E77" s="254"/>
      <c r="F77" s="254"/>
      <c r="G77" s="86"/>
      <c r="H77" s="1593">
        <f t="shared" si="1"/>
        <v>0</v>
      </c>
      <c r="I77" s="86"/>
      <c r="J77" s="86"/>
    </row>
    <row r="78" spans="1:10">
      <c r="A78" s="181">
        <v>13</v>
      </c>
      <c r="B78" s="1041" t="s">
        <v>1466</v>
      </c>
      <c r="C78" s="162"/>
      <c r="D78" s="258" t="s">
        <v>2509</v>
      </c>
      <c r="E78" s="254">
        <f>SUM(E67:E73)-SUM(E74:E75)+E76-E77</f>
        <v>538831305</v>
      </c>
      <c r="F78" s="254">
        <f>SUM(F67:F73)-SUM(F74:F75)+F76-F77</f>
        <v>606315823</v>
      </c>
      <c r="G78" s="86"/>
      <c r="H78" s="1593">
        <f t="shared" si="1"/>
        <v>-67484518</v>
      </c>
      <c r="I78" s="86"/>
      <c r="J78" s="86"/>
    </row>
    <row r="79" spans="1:10">
      <c r="A79" s="181">
        <v>14</v>
      </c>
      <c r="B79" s="326" t="s">
        <v>1467</v>
      </c>
      <c r="C79" s="162"/>
      <c r="D79" s="258" t="s">
        <v>2509</v>
      </c>
      <c r="E79" s="1061"/>
      <c r="F79" s="1061"/>
      <c r="G79" s="86"/>
      <c r="H79" s="1593">
        <f t="shared" si="1"/>
        <v>0</v>
      </c>
      <c r="I79" s="86"/>
      <c r="J79" s="86"/>
    </row>
    <row r="80" spans="1:10">
      <c r="A80" s="181">
        <v>15</v>
      </c>
      <c r="B80" s="1041" t="s">
        <v>1468</v>
      </c>
      <c r="C80" s="162"/>
      <c r="D80" s="258" t="s">
        <v>3042</v>
      </c>
      <c r="E80" s="254"/>
      <c r="F80" s="254"/>
      <c r="G80" s="86"/>
      <c r="H80" s="1593">
        <f t="shared" si="1"/>
        <v>0</v>
      </c>
      <c r="I80" s="86"/>
      <c r="J80" s="86"/>
    </row>
    <row r="81" spans="1:10">
      <c r="A81" s="181">
        <v>16</v>
      </c>
      <c r="B81" s="1041" t="s">
        <v>1469</v>
      </c>
      <c r="C81" s="162"/>
      <c r="D81" s="258" t="s">
        <v>3042</v>
      </c>
      <c r="E81" s="254"/>
      <c r="F81" s="254"/>
      <c r="G81" s="86"/>
      <c r="H81" s="1593">
        <f t="shared" si="1"/>
        <v>0</v>
      </c>
      <c r="I81" s="86"/>
      <c r="J81" s="86"/>
    </row>
    <row r="82" spans="1:10">
      <c r="A82" s="181">
        <v>17</v>
      </c>
      <c r="B82" s="1041" t="s">
        <v>1470</v>
      </c>
      <c r="C82" s="162"/>
      <c r="D82" s="258" t="s">
        <v>3042</v>
      </c>
      <c r="E82" s="254"/>
      <c r="F82" s="254"/>
      <c r="G82" s="86"/>
      <c r="H82" s="1593">
        <f t="shared" si="1"/>
        <v>0</v>
      </c>
      <c r="I82" s="86"/>
      <c r="J82" s="86"/>
    </row>
    <row r="83" spans="1:10">
      <c r="A83" s="181">
        <v>18</v>
      </c>
      <c r="B83" s="1041" t="s">
        <v>1471</v>
      </c>
      <c r="C83" s="162"/>
      <c r="D83" s="258" t="s">
        <v>3042</v>
      </c>
      <c r="E83" s="254"/>
      <c r="F83" s="254"/>
      <c r="G83" s="86"/>
      <c r="H83" s="1593">
        <f t="shared" si="1"/>
        <v>0</v>
      </c>
      <c r="I83" s="86"/>
      <c r="J83" s="86"/>
    </row>
    <row r="84" spans="1:10">
      <c r="A84" s="181">
        <v>19</v>
      </c>
      <c r="B84" s="1041" t="s">
        <v>1472</v>
      </c>
      <c r="C84" s="162"/>
      <c r="D84" s="258" t="s">
        <v>3042</v>
      </c>
      <c r="E84" s="254"/>
      <c r="F84" s="254"/>
      <c r="G84" s="86"/>
      <c r="H84" s="1593">
        <f t="shared" si="1"/>
        <v>0</v>
      </c>
      <c r="I84" s="86"/>
      <c r="J84" s="86"/>
    </row>
    <row r="85" spans="1:10">
      <c r="A85" s="181">
        <v>20</v>
      </c>
      <c r="B85" s="1041" t="s">
        <v>1473</v>
      </c>
      <c r="C85" s="162"/>
      <c r="D85" s="258" t="s">
        <v>3042</v>
      </c>
      <c r="E85" s="254"/>
      <c r="F85" s="254"/>
      <c r="G85" s="86"/>
      <c r="H85" s="1593">
        <f t="shared" si="1"/>
        <v>0</v>
      </c>
      <c r="I85" s="86"/>
      <c r="J85" s="86"/>
    </row>
    <row r="86" spans="1:10">
      <c r="A86" s="181">
        <v>21</v>
      </c>
      <c r="B86" s="1041" t="s">
        <v>3134</v>
      </c>
      <c r="C86" s="162"/>
      <c r="D86" s="258" t="s">
        <v>2509</v>
      </c>
      <c r="E86" s="254">
        <f>E80-E81+SUM(E82:E84)-E85</f>
        <v>0</v>
      </c>
      <c r="F86" s="254">
        <f>F80-F81+SUM(F82:F84)-F85</f>
        <v>0</v>
      </c>
      <c r="G86" s="86"/>
      <c r="H86" s="1593">
        <f t="shared" si="1"/>
        <v>0</v>
      </c>
      <c r="I86" s="86"/>
      <c r="J86" s="86"/>
    </row>
    <row r="87" spans="1:10">
      <c r="A87" s="181">
        <v>22</v>
      </c>
      <c r="B87" s="326" t="s">
        <v>3135</v>
      </c>
      <c r="C87" s="162"/>
      <c r="D87" s="258" t="s">
        <v>2509</v>
      </c>
      <c r="E87" s="1061"/>
      <c r="F87" s="1061"/>
      <c r="G87" s="86"/>
      <c r="H87" s="1593">
        <f t="shared" si="1"/>
        <v>0</v>
      </c>
      <c r="I87" s="86"/>
      <c r="J87" s="86"/>
    </row>
    <row r="88" spans="1:10">
      <c r="A88" s="181">
        <v>23</v>
      </c>
      <c r="B88" s="1041" t="s">
        <v>3136</v>
      </c>
      <c r="C88" s="162"/>
      <c r="D88" s="258" t="s">
        <v>2509</v>
      </c>
      <c r="E88" s="1061"/>
      <c r="F88" s="1061"/>
      <c r="G88" s="86"/>
      <c r="H88" s="1593">
        <f t="shared" si="1"/>
        <v>0</v>
      </c>
      <c r="I88" s="86"/>
      <c r="J88" s="86"/>
    </row>
    <row r="89" spans="1:10">
      <c r="A89" s="181">
        <v>24</v>
      </c>
      <c r="B89" s="1041" t="s">
        <v>3137</v>
      </c>
      <c r="C89" s="162"/>
      <c r="D89" s="258" t="s">
        <v>2509</v>
      </c>
      <c r="E89" s="254"/>
      <c r="F89" s="254"/>
      <c r="G89" s="86"/>
      <c r="H89" s="1593">
        <f t="shared" si="1"/>
        <v>0</v>
      </c>
      <c r="I89" s="86"/>
      <c r="J89" s="86"/>
    </row>
    <row r="90" spans="1:10">
      <c r="A90" s="181">
        <v>25</v>
      </c>
      <c r="B90" s="1041" t="s">
        <v>74</v>
      </c>
      <c r="C90" s="162"/>
      <c r="D90" s="258" t="s">
        <v>2509</v>
      </c>
      <c r="E90" s="254">
        <v>116218</v>
      </c>
      <c r="F90" s="254">
        <v>320090</v>
      </c>
      <c r="G90" s="86"/>
      <c r="H90" s="1593">
        <f t="shared" si="1"/>
        <v>-203872</v>
      </c>
      <c r="I90" s="86"/>
      <c r="J90" s="86"/>
    </row>
    <row r="91" spans="1:10">
      <c r="A91" s="181">
        <v>26</v>
      </c>
      <c r="B91" s="1041" t="s">
        <v>75</v>
      </c>
      <c r="C91" s="162"/>
      <c r="D91" s="258" t="s">
        <v>2509</v>
      </c>
      <c r="E91" s="254">
        <v>5969002</v>
      </c>
      <c r="F91" s="254">
        <v>5619568</v>
      </c>
      <c r="G91" s="86"/>
      <c r="H91" s="1593">
        <f t="shared" si="1"/>
        <v>349434</v>
      </c>
      <c r="I91" s="86"/>
      <c r="J91" s="86"/>
    </row>
    <row r="92" spans="1:10">
      <c r="A92" s="181">
        <v>27</v>
      </c>
      <c r="B92" s="1041" t="s">
        <v>1088</v>
      </c>
      <c r="C92" s="162"/>
      <c r="D92" s="258" t="s">
        <v>2509</v>
      </c>
      <c r="E92" s="254">
        <v>13442773</v>
      </c>
      <c r="F92" s="254">
        <v>13442815</v>
      </c>
      <c r="G92" s="86"/>
      <c r="H92" s="1593">
        <f t="shared" si="1"/>
        <v>-42</v>
      </c>
      <c r="I92" s="86"/>
      <c r="J92" s="86"/>
    </row>
    <row r="93" spans="1:10">
      <c r="A93" s="181">
        <v>28</v>
      </c>
      <c r="B93" s="1041" t="s">
        <v>1204</v>
      </c>
      <c r="C93" s="162"/>
      <c r="D93" s="258" t="s">
        <v>2509</v>
      </c>
      <c r="E93" s="254">
        <f>SUM(E88:E92)</f>
        <v>19527993</v>
      </c>
      <c r="F93" s="254">
        <f>SUM(F88:F92)</f>
        <v>19382473</v>
      </c>
      <c r="G93" s="86"/>
      <c r="H93" s="1593">
        <f t="shared" si="1"/>
        <v>145520</v>
      </c>
      <c r="I93" s="86"/>
      <c r="J93" s="86"/>
    </row>
    <row r="94" spans="1:10">
      <c r="A94" s="181">
        <v>29</v>
      </c>
      <c r="B94" s="326" t="s">
        <v>1205</v>
      </c>
      <c r="C94" s="162"/>
      <c r="D94" s="258" t="s">
        <v>2509</v>
      </c>
      <c r="E94" s="1061"/>
      <c r="F94" s="1061"/>
      <c r="G94" s="86"/>
      <c r="H94" s="1593">
        <f t="shared" si="1"/>
        <v>0</v>
      </c>
      <c r="I94" s="86"/>
      <c r="J94" s="86"/>
    </row>
    <row r="95" spans="1:10">
      <c r="A95" s="181">
        <v>30</v>
      </c>
      <c r="B95" s="1041" t="s">
        <v>316</v>
      </c>
      <c r="C95" s="162"/>
      <c r="D95" s="258" t="s">
        <v>3040</v>
      </c>
      <c r="E95" s="254"/>
      <c r="F95" s="254"/>
      <c r="G95" s="86"/>
      <c r="H95" s="1593">
        <f t="shared" si="1"/>
        <v>0</v>
      </c>
      <c r="I95" s="86"/>
      <c r="J95" s="86"/>
    </row>
    <row r="96" spans="1:10">
      <c r="A96" s="181">
        <v>31</v>
      </c>
      <c r="B96" s="1041" t="s">
        <v>317</v>
      </c>
      <c r="C96" s="162"/>
      <c r="D96" s="258" t="s">
        <v>3040</v>
      </c>
      <c r="E96" s="254">
        <v>20808246</v>
      </c>
      <c r="F96" s="254">
        <v>22730710</v>
      </c>
      <c r="G96" s="86"/>
      <c r="H96" s="1593">
        <f t="shared" ref="H96:H101" si="2">+E96-F96</f>
        <v>-1922464</v>
      </c>
      <c r="I96" s="86"/>
      <c r="J96" s="86"/>
    </row>
    <row r="97" spans="1:10">
      <c r="A97" s="181">
        <v>32</v>
      </c>
      <c r="B97" s="1041" t="s">
        <v>318</v>
      </c>
      <c r="C97" s="162"/>
      <c r="D97" s="258" t="s">
        <v>3040</v>
      </c>
      <c r="E97" s="254"/>
      <c r="F97" s="254"/>
      <c r="G97" s="86"/>
      <c r="H97" s="1593">
        <f t="shared" si="2"/>
        <v>0</v>
      </c>
      <c r="I97" s="86"/>
      <c r="J97" s="86"/>
    </row>
    <row r="98" spans="1:10">
      <c r="A98" s="181">
        <v>33</v>
      </c>
      <c r="B98" s="1041" t="s">
        <v>319</v>
      </c>
      <c r="C98" s="162"/>
      <c r="D98" s="258" t="s">
        <v>3040</v>
      </c>
      <c r="E98" s="254"/>
      <c r="F98" s="254"/>
      <c r="G98" s="86"/>
      <c r="H98" s="1593">
        <f t="shared" si="2"/>
        <v>0</v>
      </c>
      <c r="I98" s="86"/>
      <c r="J98" s="86"/>
    </row>
    <row r="99" spans="1:10">
      <c r="A99" s="181">
        <v>34</v>
      </c>
      <c r="B99" s="1041" t="s">
        <v>320</v>
      </c>
      <c r="C99" s="162"/>
      <c r="D99" s="258" t="s">
        <v>2509</v>
      </c>
      <c r="E99" s="254">
        <v>25746</v>
      </c>
      <c r="F99" s="254">
        <v>19814</v>
      </c>
      <c r="G99" s="86"/>
      <c r="H99" s="1593">
        <f t="shared" si="2"/>
        <v>5932</v>
      </c>
      <c r="I99" s="86"/>
      <c r="J99" s="86"/>
    </row>
    <row r="100" spans="1:10">
      <c r="A100" s="181">
        <v>35</v>
      </c>
      <c r="B100" s="1041" t="s">
        <v>3590</v>
      </c>
      <c r="C100" s="162"/>
      <c r="D100" s="258" t="s">
        <v>3044</v>
      </c>
      <c r="E100" s="254">
        <v>3907587</v>
      </c>
      <c r="F100" s="254">
        <v>4719948</v>
      </c>
      <c r="G100" s="86"/>
      <c r="H100" s="1593">
        <f t="shared" si="2"/>
        <v>-812361</v>
      </c>
      <c r="I100" s="86"/>
      <c r="J100" s="86"/>
    </row>
    <row r="101" spans="1:10">
      <c r="A101" s="181">
        <v>36</v>
      </c>
      <c r="B101" s="1041" t="s">
        <v>2285</v>
      </c>
      <c r="C101" s="162"/>
      <c r="D101" s="258" t="s">
        <v>2509</v>
      </c>
      <c r="E101" s="254">
        <v>5433</v>
      </c>
      <c r="F101" s="254">
        <v>5859</v>
      </c>
      <c r="G101" s="86"/>
      <c r="H101" s="1593">
        <f t="shared" si="2"/>
        <v>-426</v>
      </c>
      <c r="I101" s="86"/>
      <c r="J101" s="86"/>
    </row>
    <row r="102" spans="1:10">
      <c r="A102" s="181">
        <v>37</v>
      </c>
      <c r="B102" s="1041" t="s">
        <v>2286</v>
      </c>
      <c r="C102" s="162"/>
      <c r="D102" s="258" t="s">
        <v>2509</v>
      </c>
      <c r="E102" s="254"/>
      <c r="F102" s="254"/>
      <c r="G102" s="86"/>
      <c r="H102" s="1593">
        <f t="shared" si="1"/>
        <v>0</v>
      </c>
      <c r="I102" s="86"/>
      <c r="J102" s="86"/>
    </row>
    <row r="103" spans="1:10">
      <c r="A103" s="181">
        <v>38</v>
      </c>
      <c r="B103" s="1041" t="s">
        <v>2287</v>
      </c>
      <c r="C103" s="162"/>
      <c r="D103" s="258" t="s">
        <v>2509</v>
      </c>
      <c r="E103" s="254"/>
      <c r="F103" s="254"/>
      <c r="G103" s="86"/>
      <c r="H103" s="1593">
        <f t="shared" si="1"/>
        <v>0</v>
      </c>
      <c r="I103" s="86"/>
      <c r="J103" s="86"/>
    </row>
    <row r="104" spans="1:10">
      <c r="A104" s="181">
        <v>39</v>
      </c>
      <c r="B104" s="1041" t="s">
        <v>4112</v>
      </c>
      <c r="C104" s="162"/>
      <c r="D104" s="258" t="s">
        <v>2509</v>
      </c>
      <c r="E104" s="254"/>
      <c r="F104" s="254"/>
      <c r="G104" s="86"/>
      <c r="H104" s="1593">
        <f t="shared" si="1"/>
        <v>0</v>
      </c>
      <c r="I104" s="86"/>
      <c r="J104" s="86"/>
    </row>
    <row r="105" spans="1:10">
      <c r="A105" s="181">
        <v>40</v>
      </c>
      <c r="B105" s="1041" t="s">
        <v>4113</v>
      </c>
      <c r="C105" s="162"/>
      <c r="D105" s="258" t="s">
        <v>2509</v>
      </c>
      <c r="E105" s="254"/>
      <c r="F105" s="254"/>
      <c r="G105" s="86"/>
      <c r="H105" s="1593">
        <f t="shared" si="1"/>
        <v>0</v>
      </c>
      <c r="I105" s="86"/>
      <c r="J105" s="86"/>
    </row>
    <row r="106" spans="1:10">
      <c r="A106" s="181">
        <v>41</v>
      </c>
      <c r="B106" s="1041" t="s">
        <v>4114</v>
      </c>
      <c r="C106" s="162"/>
      <c r="D106" s="258" t="s">
        <v>2509</v>
      </c>
      <c r="E106" s="254">
        <v>7114159</v>
      </c>
      <c r="F106" s="254">
        <v>5645869</v>
      </c>
      <c r="G106" s="86"/>
      <c r="H106" s="1593">
        <f t="shared" si="1"/>
        <v>1468290</v>
      </c>
      <c r="I106" s="86"/>
      <c r="J106" s="86"/>
    </row>
    <row r="107" spans="1:10">
      <c r="A107" s="181">
        <v>42</v>
      </c>
      <c r="B107" s="1041" t="s">
        <v>326</v>
      </c>
      <c r="C107" s="162"/>
      <c r="D107" s="258" t="s">
        <v>2509</v>
      </c>
      <c r="E107" s="1061"/>
      <c r="F107" s="1061"/>
      <c r="G107" s="86"/>
      <c r="H107" s="1593">
        <f t="shared" si="1"/>
        <v>0</v>
      </c>
      <c r="I107" s="86"/>
      <c r="J107" s="86"/>
    </row>
    <row r="108" spans="1:10">
      <c r="A108" s="181">
        <v>43</v>
      </c>
      <c r="B108" s="1041" t="s">
        <v>4122</v>
      </c>
      <c r="C108" s="162"/>
      <c r="D108" s="258" t="s">
        <v>2509</v>
      </c>
      <c r="E108" s="254">
        <f>SUM(E95:E107)</f>
        <v>31861171</v>
      </c>
      <c r="F108" s="254">
        <f>SUM(F95:F107)</f>
        <v>33122200</v>
      </c>
      <c r="G108" s="86"/>
      <c r="H108" s="1593">
        <f t="shared" si="1"/>
        <v>-1261029</v>
      </c>
      <c r="I108" s="86"/>
      <c r="J108" s="86"/>
    </row>
    <row r="109" spans="1:10">
      <c r="A109" s="181">
        <v>44</v>
      </c>
      <c r="B109" s="326" t="s">
        <v>4123</v>
      </c>
      <c r="C109" s="162"/>
      <c r="D109" s="258" t="s">
        <v>2509</v>
      </c>
      <c r="E109" s="1061"/>
      <c r="F109" s="1061"/>
      <c r="G109" s="86"/>
      <c r="H109" s="1593">
        <f t="shared" si="1"/>
        <v>0</v>
      </c>
      <c r="I109" s="86"/>
      <c r="J109" s="86"/>
    </row>
    <row r="110" spans="1:10">
      <c r="A110" s="181">
        <v>45</v>
      </c>
      <c r="B110" s="1041" t="s">
        <v>4124</v>
      </c>
      <c r="C110" s="162"/>
      <c r="D110" s="258" t="s">
        <v>2509</v>
      </c>
      <c r="E110" s="254">
        <v>5667977</v>
      </c>
      <c r="F110" s="254">
        <v>5395406</v>
      </c>
      <c r="G110" s="86"/>
      <c r="H110" s="1593">
        <f t="shared" si="1"/>
        <v>272571</v>
      </c>
      <c r="I110" s="86"/>
      <c r="J110" s="86"/>
    </row>
    <row r="111" spans="1:10">
      <c r="A111" s="181">
        <v>46</v>
      </c>
      <c r="B111" s="1041" t="s">
        <v>4125</v>
      </c>
      <c r="C111" s="162"/>
      <c r="D111" s="258" t="s">
        <v>2689</v>
      </c>
      <c r="E111" s="254">
        <v>102723271</v>
      </c>
      <c r="F111" s="254">
        <v>91818410</v>
      </c>
      <c r="G111" s="86"/>
      <c r="H111" s="1593">
        <f t="shared" si="1"/>
        <v>10904861</v>
      </c>
      <c r="I111" s="86"/>
      <c r="J111" s="86"/>
    </row>
    <row r="112" spans="1:10">
      <c r="A112" s="181">
        <v>47</v>
      </c>
      <c r="B112" s="1041" t="s">
        <v>4126</v>
      </c>
      <c r="C112" s="162"/>
      <c r="D112" s="258" t="s">
        <v>2691</v>
      </c>
      <c r="E112" s="254">
        <v>348947</v>
      </c>
      <c r="F112" s="254">
        <v>321935</v>
      </c>
      <c r="G112" s="86"/>
      <c r="H112" s="1593">
        <f t="shared" si="1"/>
        <v>27012</v>
      </c>
      <c r="I112" s="86"/>
      <c r="J112" s="86"/>
    </row>
    <row r="113" spans="1:10">
      <c r="A113" s="181">
        <v>48</v>
      </c>
      <c r="B113" s="108" t="s">
        <v>4127</v>
      </c>
      <c r="C113" s="162"/>
      <c r="D113" s="258" t="s">
        <v>2509</v>
      </c>
      <c r="E113" s="1060"/>
      <c r="F113" s="1060"/>
      <c r="G113" s="86"/>
      <c r="H113" s="1593">
        <f t="shared" si="1"/>
        <v>0</v>
      </c>
      <c r="I113" s="86"/>
      <c r="J113" s="86"/>
    </row>
    <row r="114" spans="1:10">
      <c r="A114" s="181">
        <v>49</v>
      </c>
      <c r="B114" s="1058" t="s">
        <v>4128</v>
      </c>
      <c r="C114" s="162"/>
      <c r="D114" s="258" t="s">
        <v>2509</v>
      </c>
      <c r="E114" s="1060"/>
      <c r="F114" s="1060"/>
      <c r="G114" s="86"/>
      <c r="H114" s="1593">
        <f t="shared" si="1"/>
        <v>0</v>
      </c>
      <c r="I114" s="86"/>
      <c r="J114" s="86"/>
    </row>
    <row r="115" spans="1:10">
      <c r="A115" s="181">
        <v>50</v>
      </c>
      <c r="B115" s="1041" t="s">
        <v>3796</v>
      </c>
      <c r="C115" s="162"/>
      <c r="D115" s="258" t="s">
        <v>2692</v>
      </c>
      <c r="E115" s="254">
        <v>49239282</v>
      </c>
      <c r="F115" s="254">
        <v>53964238</v>
      </c>
      <c r="G115" s="86"/>
      <c r="H115" s="1593">
        <f t="shared" si="1"/>
        <v>-4724956</v>
      </c>
      <c r="I115" s="86"/>
      <c r="J115" s="86"/>
    </row>
    <row r="116" spans="1:10">
      <c r="A116" s="181">
        <v>51</v>
      </c>
      <c r="B116" s="1041" t="s">
        <v>2238</v>
      </c>
      <c r="C116" s="162"/>
      <c r="D116" s="258" t="s">
        <v>2509</v>
      </c>
      <c r="E116" s="254">
        <f>SUM(E110:E115)</f>
        <v>157979477</v>
      </c>
      <c r="F116" s="254">
        <f>SUM(F110:F115)</f>
        <v>151499989</v>
      </c>
      <c r="G116" s="86"/>
      <c r="H116" s="1593">
        <f t="shared" si="1"/>
        <v>6479488</v>
      </c>
      <c r="I116" s="86"/>
      <c r="J116" s="86"/>
    </row>
    <row r="117" spans="1:10">
      <c r="A117" s="173">
        <v>52</v>
      </c>
      <c r="B117" s="191" t="s">
        <v>2239</v>
      </c>
      <c r="C117" s="159"/>
      <c r="D117" s="259" t="s">
        <v>2509</v>
      </c>
      <c r="E117" s="267"/>
      <c r="F117" s="267"/>
      <c r="G117" s="86"/>
      <c r="H117" s="1593">
        <f t="shared" si="1"/>
        <v>0</v>
      </c>
      <c r="I117" s="86"/>
      <c r="J117" s="86"/>
    </row>
    <row r="118" spans="1:10" ht="15.75" thickBot="1">
      <c r="A118" s="192"/>
      <c r="B118" s="193" t="s">
        <v>2240</v>
      </c>
      <c r="C118" s="209"/>
      <c r="D118" s="268"/>
      <c r="E118" s="264">
        <f>E78+E86+E93+E108+E116</f>
        <v>748199946</v>
      </c>
      <c r="F118" s="264">
        <f>F78+F86+F93+F108+F116</f>
        <v>810320485</v>
      </c>
      <c r="G118" t="str">
        <f>IF(ROUND(F118,2)=ROUND(F54,2),"ok","error")</f>
        <v>ok</v>
      </c>
      <c r="H118" s="1593">
        <f t="shared" si="1"/>
        <v>-62120539</v>
      </c>
      <c r="I118" s="86" t="str">
        <f>IF(ROUND(F54,0)=ROUND(F118,0),"ok","error")</f>
        <v>ok</v>
      </c>
      <c r="J118" s="86"/>
    </row>
    <row r="119" spans="1:10">
      <c r="B119" s="177"/>
      <c r="C119" s="159"/>
      <c r="D119" s="159"/>
      <c r="E119" s="212"/>
      <c r="F119" s="177" t="s">
        <v>2024</v>
      </c>
      <c r="G119" s="86"/>
      <c r="H119" s="86"/>
      <c r="I119" s="86"/>
      <c r="J119" s="86"/>
    </row>
    <row r="120" spans="1:10">
      <c r="A120" s="159" t="s">
        <v>2241</v>
      </c>
      <c r="B120" s="4"/>
      <c r="C120" s="159"/>
      <c r="D120" s="159"/>
      <c r="E120" s="212"/>
      <c r="F120" s="212"/>
      <c r="H120" s="1593"/>
    </row>
    <row r="121" spans="1:10">
      <c r="A121" s="177"/>
      <c r="B121" s="177"/>
      <c r="C121" s="177"/>
      <c r="D121" s="177"/>
      <c r="E121" s="1523">
        <f>+E54-E118</f>
        <v>0</v>
      </c>
      <c r="F121" s="1523">
        <f>+F54-F118</f>
        <v>0</v>
      </c>
    </row>
    <row r="122" spans="1:10">
      <c r="A122" s="269"/>
      <c r="B122" s="177"/>
      <c r="C122" s="177"/>
      <c r="D122" s="177"/>
      <c r="E122" s="1523"/>
      <c r="F122" s="212"/>
    </row>
    <row r="123" spans="1:10">
      <c r="A123" s="269"/>
      <c r="B123" s="177"/>
      <c r="C123" s="177"/>
      <c r="D123" s="177"/>
      <c r="E123" s="1523"/>
      <c r="F123" s="1529"/>
    </row>
    <row r="124" spans="1:10">
      <c r="A124" s="269"/>
      <c r="B124" s="177"/>
      <c r="C124" s="177"/>
      <c r="D124" s="177"/>
      <c r="E124" s="1523"/>
      <c r="F124" s="1529"/>
    </row>
    <row r="125" spans="1:10">
      <c r="A125" s="269"/>
      <c r="B125" s="177"/>
      <c r="C125" s="177"/>
      <c r="D125" s="177"/>
      <c r="E125" s="1523"/>
      <c r="F125" s="1529"/>
    </row>
    <row r="126" spans="1:10">
      <c r="A126" s="269"/>
      <c r="B126" s="177"/>
      <c r="C126" s="177"/>
      <c r="D126" s="177"/>
      <c r="E126" s="206"/>
      <c r="F126" s="206"/>
    </row>
    <row r="127" spans="1:10">
      <c r="A127" s="269"/>
      <c r="B127" s="177"/>
      <c r="C127" s="177"/>
      <c r="D127" s="177"/>
      <c r="E127" s="206"/>
      <c r="F127" s="206"/>
    </row>
    <row r="128" spans="1:10">
      <c r="A128" s="269"/>
      <c r="B128" s="177"/>
      <c r="C128" s="177"/>
      <c r="D128" s="177"/>
      <c r="E128" s="206"/>
      <c r="F128" s="206"/>
    </row>
    <row r="129" spans="1:6">
      <c r="A129" s="269"/>
      <c r="B129" s="177"/>
      <c r="C129" s="177"/>
      <c r="D129" s="177"/>
      <c r="E129" s="206"/>
      <c r="F129" s="206"/>
    </row>
    <row r="130" spans="1:6">
      <c r="A130" s="269"/>
      <c r="B130" s="177"/>
      <c r="C130" s="177"/>
      <c r="D130" s="177"/>
      <c r="E130" s="206"/>
      <c r="F130" s="206"/>
    </row>
    <row r="131" spans="1:6">
      <c r="A131" s="269"/>
      <c r="B131" s="177"/>
      <c r="C131" s="177"/>
      <c r="D131" s="177"/>
      <c r="E131" s="206"/>
      <c r="F131" s="206"/>
    </row>
    <row r="132" spans="1:6">
      <c r="A132" s="269"/>
      <c r="B132" s="177"/>
      <c r="C132" s="177"/>
      <c r="D132" s="177"/>
      <c r="E132" s="206"/>
      <c r="F132" s="206"/>
    </row>
    <row r="133" spans="1:6">
      <c r="A133" s="269"/>
      <c r="B133" s="177"/>
      <c r="C133" s="177"/>
      <c r="D133" s="177"/>
      <c r="E133" s="177"/>
      <c r="F133" s="177"/>
    </row>
    <row r="134" spans="1:6">
      <c r="A134" s="269"/>
      <c r="B134" s="177"/>
      <c r="C134" s="177"/>
      <c r="D134" s="177"/>
      <c r="E134" s="177"/>
      <c r="F134" s="177"/>
    </row>
  </sheetData>
  <phoneticPr fontId="0" type="noConversion"/>
  <printOptions horizontalCentered="1" verticalCentered="1"/>
  <pageMargins left="0.4" right="0.4" top="0.3" bottom="0.3" header="0" footer="0"/>
  <pageSetup scale="78" fitToHeight="2" orientation="portrait" r:id="rId1"/>
  <headerFooter alignWithMargins="0"/>
  <rowBreaks count="1" manualBreakCount="1">
    <brk id="58" max="16383"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transitionEvaluation="1" codeName="Sheet116"/>
  <dimension ref="A1:L260"/>
  <sheetViews>
    <sheetView defaultGridColor="0" colorId="22" zoomScaleNormal="100" workbookViewId="0">
      <pane xSplit="2" ySplit="15" topLeftCell="C16" activePane="bottomRight" state="frozen"/>
      <selection activeCell="S32" sqref="S32"/>
      <selection pane="topRight" activeCell="S32" sqref="S32"/>
      <selection pane="bottomLeft" activeCell="S32" sqref="S32"/>
      <selection pane="bottomRight" activeCell="F24" sqref="F24"/>
    </sheetView>
  </sheetViews>
  <sheetFormatPr defaultColWidth="9.77734375" defaultRowHeight="15"/>
  <cols>
    <col min="1" max="1" width="4.77734375" customWidth="1"/>
    <col min="2" max="2" width="30.77734375" customWidth="1"/>
    <col min="3" max="3" width="8.44140625" customWidth="1"/>
    <col min="4" max="11" width="11.33203125" customWidth="1"/>
  </cols>
  <sheetData>
    <row r="1" spans="1:11" ht="15.75" thickBot="1">
      <c r="A1" s="86" t="str">
        <f>'Data sheet'!A65</f>
        <v>Annual Report of Veolia Water New York, Inc.                                                                                          Year Ended  December 31, 2023</v>
      </c>
      <c r="B1" s="86"/>
      <c r="C1" s="86"/>
      <c r="D1" s="86"/>
      <c r="E1" s="86"/>
      <c r="F1" s="86"/>
      <c r="G1" s="86"/>
      <c r="H1" s="86"/>
      <c r="I1" s="86"/>
      <c r="J1" s="86"/>
      <c r="K1" s="86"/>
    </row>
    <row r="2" spans="1:11">
      <c r="A2" s="129"/>
      <c r="B2" s="130"/>
      <c r="C2" s="130"/>
      <c r="D2" s="130"/>
      <c r="E2" s="130"/>
      <c r="F2" s="130"/>
      <c r="G2" s="130"/>
      <c r="H2" s="130"/>
      <c r="I2" s="130"/>
      <c r="J2" s="130"/>
      <c r="K2" s="131"/>
    </row>
    <row r="3" spans="1:11" ht="15.75">
      <c r="A3" s="118" t="s">
        <v>2725</v>
      </c>
      <c r="B3" s="3"/>
      <c r="C3" s="3"/>
      <c r="D3" s="3"/>
      <c r="E3" s="3"/>
      <c r="F3" s="3"/>
      <c r="G3" s="3"/>
      <c r="H3" s="3"/>
      <c r="I3" s="5"/>
      <c r="J3" s="5"/>
      <c r="K3" s="132"/>
    </row>
    <row r="4" spans="1:11">
      <c r="A4" s="85"/>
      <c r="B4" s="86"/>
      <c r="C4" s="86"/>
      <c r="D4" s="86"/>
      <c r="E4" s="86"/>
      <c r="F4" s="86"/>
      <c r="G4" s="86"/>
      <c r="H4" s="86"/>
      <c r="I4" s="86"/>
      <c r="J4" s="86"/>
      <c r="K4" s="87"/>
    </row>
    <row r="5" spans="1:11">
      <c r="A5" s="85"/>
      <c r="B5" s="86" t="s">
        <v>2726</v>
      </c>
      <c r="C5" s="86"/>
      <c r="D5" s="86"/>
      <c r="E5" s="86"/>
      <c r="F5" s="86"/>
      <c r="G5" s="86" t="s">
        <v>2727</v>
      </c>
      <c r="H5" s="86"/>
      <c r="I5" s="86"/>
      <c r="J5" s="86"/>
      <c r="K5" s="87"/>
    </row>
    <row r="6" spans="1:11">
      <c r="A6" s="85"/>
      <c r="B6" s="86" t="s">
        <v>101</v>
      </c>
      <c r="C6" s="86"/>
      <c r="D6" s="86"/>
      <c r="E6" s="86"/>
      <c r="F6" s="86"/>
      <c r="G6" s="86" t="s">
        <v>102</v>
      </c>
      <c r="H6" s="86"/>
      <c r="I6" s="86"/>
      <c r="J6" s="86"/>
      <c r="K6" s="87"/>
    </row>
    <row r="7" spans="1:11">
      <c r="A7" s="85"/>
      <c r="B7" s="86" t="s">
        <v>103</v>
      </c>
      <c r="C7" s="86"/>
      <c r="D7" s="86"/>
      <c r="E7" s="86"/>
      <c r="F7" s="86"/>
      <c r="G7" s="86" t="s">
        <v>3096</v>
      </c>
      <c r="H7" s="86"/>
      <c r="I7" s="86"/>
      <c r="J7" s="86"/>
      <c r="K7" s="87"/>
    </row>
    <row r="8" spans="1:11">
      <c r="A8" s="85"/>
      <c r="B8" s="86"/>
      <c r="C8" s="86"/>
      <c r="D8" s="86"/>
      <c r="E8" s="86"/>
      <c r="F8" s="86"/>
      <c r="G8" s="86"/>
      <c r="H8" s="86"/>
      <c r="I8" s="86"/>
      <c r="J8" s="86"/>
      <c r="K8" s="87"/>
    </row>
    <row r="9" spans="1:11">
      <c r="A9" s="85"/>
      <c r="B9" s="86" t="s">
        <v>2815</v>
      </c>
      <c r="C9" s="86"/>
      <c r="D9" s="86"/>
      <c r="E9" s="86"/>
      <c r="F9" s="86"/>
      <c r="G9" s="86"/>
      <c r="H9" s="86"/>
      <c r="I9" s="86"/>
      <c r="J9" s="86"/>
      <c r="K9" s="87"/>
    </row>
    <row r="10" spans="1:11">
      <c r="A10" s="97"/>
      <c r="B10" s="98"/>
      <c r="C10" s="98"/>
      <c r="D10" s="98"/>
      <c r="E10" s="98"/>
      <c r="F10" s="98"/>
      <c r="G10" s="98"/>
      <c r="H10" s="98"/>
      <c r="I10" s="86"/>
      <c r="J10" s="86"/>
      <c r="K10" s="87"/>
    </row>
    <row r="11" spans="1:11">
      <c r="A11" s="85"/>
      <c r="B11" s="96"/>
      <c r="C11" s="86"/>
      <c r="D11" s="134" t="s">
        <v>2816</v>
      </c>
      <c r="E11" s="5"/>
      <c r="F11" s="5"/>
      <c r="G11" s="5"/>
      <c r="H11" s="117"/>
      <c r="I11" s="994" t="s">
        <v>202</v>
      </c>
      <c r="J11" s="618" t="s">
        <v>2723</v>
      </c>
      <c r="K11" s="478"/>
    </row>
    <row r="12" spans="1:11">
      <c r="A12" s="85"/>
      <c r="B12" s="109"/>
      <c r="C12" s="94" t="s">
        <v>2817</v>
      </c>
      <c r="D12" s="618" t="s">
        <v>2818</v>
      </c>
      <c r="E12" s="477"/>
      <c r="F12" s="618" t="s">
        <v>2819</v>
      </c>
      <c r="G12" s="477"/>
      <c r="H12" s="1190"/>
      <c r="I12" s="94" t="s">
        <v>2820</v>
      </c>
      <c r="J12" s="96"/>
      <c r="K12" s="87"/>
    </row>
    <row r="13" spans="1:11">
      <c r="A13" s="110" t="s">
        <v>1727</v>
      </c>
      <c r="B13" s="109" t="s">
        <v>2570</v>
      </c>
      <c r="C13" s="94" t="s">
        <v>2713</v>
      </c>
      <c r="D13" s="109" t="s">
        <v>3962</v>
      </c>
      <c r="E13" s="94" t="s">
        <v>2591</v>
      </c>
      <c r="F13" s="109" t="s">
        <v>3962</v>
      </c>
      <c r="G13" s="440" t="s">
        <v>2821</v>
      </c>
      <c r="H13" s="440" t="s">
        <v>2591</v>
      </c>
      <c r="I13" s="94" t="s">
        <v>2822</v>
      </c>
      <c r="J13" s="109" t="s">
        <v>3962</v>
      </c>
      <c r="K13" s="428" t="s">
        <v>2591</v>
      </c>
    </row>
    <row r="14" spans="1:11">
      <c r="A14" s="110" t="s">
        <v>1739</v>
      </c>
      <c r="B14" s="109"/>
      <c r="C14" s="94"/>
      <c r="D14" s="109" t="s">
        <v>1689</v>
      </c>
      <c r="E14" s="94" t="s">
        <v>1689</v>
      </c>
      <c r="F14" s="109" t="s">
        <v>1689</v>
      </c>
      <c r="G14" s="440" t="s">
        <v>2823</v>
      </c>
      <c r="H14" s="440" t="s">
        <v>1689</v>
      </c>
      <c r="I14" s="94" t="s">
        <v>2824</v>
      </c>
      <c r="J14" s="109" t="s">
        <v>1689</v>
      </c>
      <c r="K14" s="428" t="s">
        <v>1689</v>
      </c>
    </row>
    <row r="15" spans="1:11">
      <c r="A15" s="97"/>
      <c r="B15" s="997" t="s">
        <v>3279</v>
      </c>
      <c r="C15" s="996" t="s">
        <v>3280</v>
      </c>
      <c r="D15" s="997" t="s">
        <v>3281</v>
      </c>
      <c r="E15" s="996" t="s">
        <v>3282</v>
      </c>
      <c r="F15" s="997" t="s">
        <v>721</v>
      </c>
      <c r="G15" s="1000" t="s">
        <v>722</v>
      </c>
      <c r="H15" s="1000" t="s">
        <v>723</v>
      </c>
      <c r="I15" s="996" t="s">
        <v>335</v>
      </c>
      <c r="J15" s="997" t="s">
        <v>336</v>
      </c>
      <c r="K15" s="424" t="s">
        <v>337</v>
      </c>
    </row>
    <row r="16" spans="1:11" ht="15.75">
      <c r="A16" s="110">
        <v>1</v>
      </c>
      <c r="B16" s="2537" t="s">
        <v>4908</v>
      </c>
      <c r="C16" s="1735"/>
      <c r="D16" s="508"/>
      <c r="E16" s="426"/>
      <c r="F16" s="508"/>
      <c r="G16" s="1192"/>
      <c r="H16" s="577"/>
      <c r="I16" s="426"/>
      <c r="J16" s="508"/>
      <c r="K16" s="427"/>
    </row>
    <row r="17" spans="1:12">
      <c r="A17" s="110">
        <v>2</v>
      </c>
      <c r="B17" s="96" t="s">
        <v>503</v>
      </c>
      <c r="C17" s="2816">
        <v>0.625</v>
      </c>
      <c r="D17" s="2539">
        <v>1482</v>
      </c>
      <c r="E17" s="2538">
        <v>1501</v>
      </c>
      <c r="F17" s="2539"/>
      <c r="G17" s="2268"/>
      <c r="H17" s="2268"/>
      <c r="I17" s="2538">
        <v>11</v>
      </c>
      <c r="J17" s="508"/>
      <c r="K17" s="427"/>
      <c r="L17" s="86"/>
    </row>
    <row r="18" spans="1:12">
      <c r="A18" s="110">
        <v>3</v>
      </c>
      <c r="B18" s="96" t="s">
        <v>503</v>
      </c>
      <c r="C18" s="2813">
        <v>0.75</v>
      </c>
      <c r="D18" s="2539">
        <v>21</v>
      </c>
      <c r="E18" s="2538">
        <v>23</v>
      </c>
      <c r="F18" s="2539"/>
      <c r="G18" s="2268"/>
      <c r="H18" s="2268"/>
      <c r="I18" s="2538"/>
      <c r="J18" s="508"/>
      <c r="K18" s="427"/>
    </row>
    <row r="19" spans="1:12">
      <c r="A19" s="110">
        <v>4</v>
      </c>
      <c r="B19" s="96" t="s">
        <v>503</v>
      </c>
      <c r="C19" s="2814">
        <v>1</v>
      </c>
      <c r="D19" s="2539">
        <v>22</v>
      </c>
      <c r="E19" s="2538">
        <v>22</v>
      </c>
      <c r="F19" s="2539"/>
      <c r="G19" s="2268"/>
      <c r="H19" s="2268"/>
      <c r="I19" s="2538"/>
      <c r="J19" s="508"/>
      <c r="K19" s="427"/>
    </row>
    <row r="20" spans="1:12">
      <c r="A20" s="110">
        <v>5</v>
      </c>
      <c r="B20" s="96" t="s">
        <v>503</v>
      </c>
      <c r="C20" s="2813">
        <v>1.5</v>
      </c>
      <c r="D20" s="2539">
        <v>9</v>
      </c>
      <c r="E20" s="2538">
        <v>10</v>
      </c>
      <c r="F20" s="2539"/>
      <c r="G20" s="2268"/>
      <c r="H20" s="2268"/>
      <c r="I20" s="2538"/>
      <c r="J20" s="508"/>
      <c r="K20" s="427"/>
    </row>
    <row r="21" spans="1:12">
      <c r="A21" s="110">
        <v>6</v>
      </c>
      <c r="B21" s="96" t="s">
        <v>503</v>
      </c>
      <c r="C21" s="2815">
        <v>2</v>
      </c>
      <c r="D21" s="2539">
        <v>20</v>
      </c>
      <c r="E21" s="2538">
        <v>18</v>
      </c>
      <c r="F21" s="2539"/>
      <c r="G21" s="2268"/>
      <c r="H21" s="2268"/>
      <c r="I21" s="2538"/>
      <c r="J21" s="508"/>
      <c r="K21" s="427"/>
    </row>
    <row r="22" spans="1:12">
      <c r="A22" s="110">
        <v>7</v>
      </c>
      <c r="B22" s="96" t="s">
        <v>503</v>
      </c>
      <c r="C22" s="2815">
        <v>3</v>
      </c>
      <c r="D22" s="2539">
        <v>8</v>
      </c>
      <c r="E22" s="2538">
        <v>8</v>
      </c>
      <c r="F22" s="2539"/>
      <c r="G22" s="2268"/>
      <c r="H22" s="2268"/>
      <c r="I22" s="2538"/>
      <c r="J22" s="508"/>
      <c r="K22" s="427"/>
    </row>
    <row r="23" spans="1:12">
      <c r="A23" s="110">
        <v>8</v>
      </c>
      <c r="B23" s="96" t="s">
        <v>503</v>
      </c>
      <c r="C23" s="2815">
        <v>4</v>
      </c>
      <c r="D23" s="2539">
        <v>2</v>
      </c>
      <c r="E23" s="2538">
        <v>2</v>
      </c>
      <c r="F23" s="2539"/>
      <c r="G23" s="2268"/>
      <c r="H23" s="2268"/>
      <c r="I23" s="2538"/>
      <c r="J23" s="508"/>
      <c r="K23" s="427"/>
    </row>
    <row r="24" spans="1:12">
      <c r="A24" s="110">
        <v>9</v>
      </c>
      <c r="B24" s="96" t="s">
        <v>503</v>
      </c>
      <c r="C24" s="2815">
        <v>6</v>
      </c>
      <c r="D24" s="2539">
        <v>4</v>
      </c>
      <c r="E24" s="2538">
        <v>4</v>
      </c>
      <c r="F24" s="2539"/>
      <c r="G24" s="2268"/>
      <c r="H24" s="2268"/>
      <c r="I24" s="2538"/>
      <c r="J24" s="508"/>
      <c r="K24" s="427"/>
    </row>
    <row r="25" spans="1:12">
      <c r="A25" s="110">
        <v>10</v>
      </c>
      <c r="B25" s="238" t="s">
        <v>4955</v>
      </c>
      <c r="C25" s="2815">
        <v>8</v>
      </c>
      <c r="D25" s="2539">
        <v>1</v>
      </c>
      <c r="E25" s="2538">
        <v>2</v>
      </c>
      <c r="F25" s="2539"/>
      <c r="G25" s="2268"/>
      <c r="H25" s="2268"/>
      <c r="I25" s="2538"/>
      <c r="J25" s="508"/>
      <c r="K25" s="427"/>
    </row>
    <row r="26" spans="1:12">
      <c r="A26" s="110">
        <v>11</v>
      </c>
      <c r="B26" s="96"/>
      <c r="C26" s="1735"/>
      <c r="D26" s="2539"/>
      <c r="E26" s="2538"/>
      <c r="F26" s="2539"/>
      <c r="G26" s="2268"/>
      <c r="H26" s="2268"/>
      <c r="I26" s="2538"/>
      <c r="J26" s="508"/>
      <c r="K26" s="427"/>
    </row>
    <row r="27" spans="1:12">
      <c r="A27" s="110">
        <v>12</v>
      </c>
      <c r="B27" s="96"/>
      <c r="C27" s="1735"/>
      <c r="D27" s="2539"/>
      <c r="E27" s="2538"/>
      <c r="F27" s="2539"/>
      <c r="G27" s="2268"/>
      <c r="H27" s="2268"/>
      <c r="I27" s="2538"/>
      <c r="J27" s="508"/>
      <c r="K27" s="427"/>
    </row>
    <row r="28" spans="1:12" ht="15.75">
      <c r="A28" s="110">
        <v>13</v>
      </c>
      <c r="B28" s="2537"/>
      <c r="C28" s="1735"/>
      <c r="D28" s="2539"/>
      <c r="E28" s="2538"/>
      <c r="F28" s="2539"/>
      <c r="G28" s="2268"/>
      <c r="H28" s="2268"/>
      <c r="I28" s="2538"/>
      <c r="J28" s="508"/>
      <c r="K28" s="427"/>
    </row>
    <row r="29" spans="1:12">
      <c r="A29" s="110">
        <v>14</v>
      </c>
      <c r="B29" s="96"/>
      <c r="C29" s="1735"/>
      <c r="D29" s="2539"/>
      <c r="E29" s="2538"/>
      <c r="F29" s="2539"/>
      <c r="G29" s="2268"/>
      <c r="H29" s="2268"/>
      <c r="I29" s="2538"/>
      <c r="J29" s="508"/>
      <c r="K29" s="427"/>
    </row>
    <row r="30" spans="1:12">
      <c r="A30" s="110">
        <v>15</v>
      </c>
      <c r="B30" s="96"/>
      <c r="C30" s="1735"/>
      <c r="D30" s="2539"/>
      <c r="E30" s="2538"/>
      <c r="F30" s="2539"/>
      <c r="G30" s="2268"/>
      <c r="H30" s="2268"/>
      <c r="I30" s="2538"/>
      <c r="J30" s="508"/>
      <c r="K30" s="427"/>
    </row>
    <row r="31" spans="1:12">
      <c r="A31" s="110">
        <v>16</v>
      </c>
      <c r="B31" s="96"/>
      <c r="C31" s="1736"/>
      <c r="D31" s="2268"/>
      <c r="E31" s="2539"/>
      <c r="F31" s="2268"/>
      <c r="G31" s="2268"/>
      <c r="H31" s="2268"/>
      <c r="I31" s="2538"/>
      <c r="J31" s="508"/>
      <c r="K31" s="427"/>
    </row>
    <row r="32" spans="1:12">
      <c r="A32" s="110">
        <v>17</v>
      </c>
      <c r="B32" s="96"/>
      <c r="C32" s="1735"/>
      <c r="D32" s="2539"/>
      <c r="E32" s="2538"/>
      <c r="F32" s="2539"/>
      <c r="G32" s="2268"/>
      <c r="H32" s="2268"/>
      <c r="I32" s="2538"/>
      <c r="J32" s="508"/>
      <c r="K32" s="427"/>
    </row>
    <row r="33" spans="1:11">
      <c r="A33" s="110">
        <v>18</v>
      </c>
      <c r="B33" s="96"/>
      <c r="C33" s="1735"/>
      <c r="D33" s="2539"/>
      <c r="E33" s="2538"/>
      <c r="F33" s="2539"/>
      <c r="G33" s="2268"/>
      <c r="H33" s="2268"/>
      <c r="I33" s="2538"/>
      <c r="J33" s="508"/>
      <c r="K33" s="427"/>
    </row>
    <row r="34" spans="1:11">
      <c r="A34" s="110">
        <v>19</v>
      </c>
      <c r="B34" s="96"/>
      <c r="C34" s="1191"/>
      <c r="D34" s="2539"/>
      <c r="E34" s="2538"/>
      <c r="F34" s="2539"/>
      <c r="G34" s="2268"/>
      <c r="H34" s="2268"/>
      <c r="I34" s="2538"/>
      <c r="J34" s="508"/>
      <c r="K34" s="427"/>
    </row>
    <row r="35" spans="1:11">
      <c r="A35" s="110">
        <v>20</v>
      </c>
      <c r="B35" s="96"/>
      <c r="C35" s="2390"/>
      <c r="D35" s="2539"/>
      <c r="E35" s="2538"/>
      <c r="F35" s="2539"/>
      <c r="G35" s="2268"/>
      <c r="H35" s="2268"/>
      <c r="I35" s="2538"/>
      <c r="J35" s="508"/>
      <c r="K35" s="427"/>
    </row>
    <row r="36" spans="1:11">
      <c r="A36" s="110">
        <v>21</v>
      </c>
      <c r="B36" s="238"/>
      <c r="C36" s="998"/>
      <c r="D36" s="2539"/>
      <c r="E36" s="2538"/>
      <c r="F36" s="2539"/>
      <c r="G36" s="2268"/>
      <c r="H36" s="2268"/>
      <c r="I36" s="2538"/>
      <c r="J36" s="508"/>
      <c r="K36" s="427"/>
    </row>
    <row r="37" spans="1:11">
      <c r="A37" s="110">
        <v>22</v>
      </c>
      <c r="B37" s="96"/>
      <c r="C37" s="998"/>
      <c r="D37" s="2539"/>
      <c r="E37" s="2538"/>
      <c r="F37" s="2539"/>
      <c r="G37" s="2268"/>
      <c r="H37" s="2268"/>
      <c r="I37" s="2538"/>
      <c r="J37" s="508"/>
      <c r="K37" s="427"/>
    </row>
    <row r="38" spans="1:11">
      <c r="A38" s="110">
        <v>23</v>
      </c>
      <c r="B38" s="96"/>
      <c r="C38" s="1191"/>
      <c r="D38" s="2539"/>
      <c r="E38" s="2538"/>
      <c r="F38" s="2539"/>
      <c r="G38" s="2268"/>
      <c r="H38" s="2268"/>
      <c r="I38" s="2538"/>
      <c r="J38" s="508"/>
      <c r="K38" s="427"/>
    </row>
    <row r="39" spans="1:11">
      <c r="A39" s="110">
        <v>24</v>
      </c>
      <c r="B39" s="96"/>
      <c r="C39" s="1191"/>
      <c r="D39" s="508"/>
      <c r="E39" s="426"/>
      <c r="F39" s="508"/>
      <c r="G39" s="1192"/>
      <c r="H39" s="577"/>
      <c r="I39" s="426"/>
      <c r="J39" s="508"/>
      <c r="K39" s="427"/>
    </row>
    <row r="40" spans="1:11">
      <c r="A40" s="110">
        <v>25</v>
      </c>
      <c r="B40" s="96"/>
      <c r="C40" s="1735"/>
      <c r="D40" s="508"/>
      <c r="E40" s="426"/>
      <c r="F40" s="508"/>
      <c r="G40" s="1192"/>
      <c r="H40" s="577"/>
      <c r="I40" s="426"/>
      <c r="J40" s="508"/>
      <c r="K40" s="427"/>
    </row>
    <row r="41" spans="1:11">
      <c r="A41" s="110">
        <v>26</v>
      </c>
      <c r="B41" s="96"/>
      <c r="C41" s="1735"/>
      <c r="D41" s="508"/>
      <c r="E41" s="426"/>
      <c r="F41" s="508"/>
      <c r="G41" s="1192"/>
      <c r="H41" s="577"/>
      <c r="I41" s="426"/>
      <c r="J41" s="508"/>
      <c r="K41" s="427"/>
    </row>
    <row r="42" spans="1:11">
      <c r="A42" s="110">
        <v>27</v>
      </c>
      <c r="B42" s="96"/>
      <c r="C42" s="1735"/>
      <c r="D42" s="508"/>
      <c r="E42" s="426"/>
      <c r="F42" s="508"/>
      <c r="G42" s="1192"/>
      <c r="H42" s="577"/>
      <c r="I42" s="426"/>
      <c r="J42" s="508"/>
      <c r="K42" s="427"/>
    </row>
    <row r="43" spans="1:11">
      <c r="A43" s="110">
        <v>28</v>
      </c>
      <c r="B43" s="96"/>
      <c r="C43" s="1735"/>
      <c r="D43" s="508"/>
      <c r="E43" s="426"/>
      <c r="F43" s="508"/>
      <c r="G43" s="1192"/>
      <c r="H43" s="577"/>
      <c r="I43" s="426"/>
      <c r="J43" s="508"/>
      <c r="K43" s="427"/>
    </row>
    <row r="44" spans="1:11">
      <c r="A44" s="110">
        <v>29</v>
      </c>
      <c r="B44" s="96"/>
      <c r="C44" s="1735"/>
      <c r="D44" s="508"/>
      <c r="E44" s="426"/>
      <c r="F44" s="508"/>
      <c r="G44" s="1192"/>
      <c r="H44" s="577"/>
      <c r="I44" s="426"/>
      <c r="J44" s="508"/>
      <c r="K44" s="427"/>
    </row>
    <row r="45" spans="1:11">
      <c r="A45" s="110">
        <v>30</v>
      </c>
      <c r="B45" s="96" t="s">
        <v>4897</v>
      </c>
      <c r="C45" s="2541"/>
      <c r="D45" s="382">
        <f>SUM(D16:D44)</f>
        <v>1569</v>
      </c>
      <c r="E45" s="382">
        <f>SUM(E16:E44)</f>
        <v>1590</v>
      </c>
      <c r="F45" s="2542">
        <f>SUM(F16:F44)</f>
        <v>0</v>
      </c>
      <c r="G45" s="2540"/>
      <c r="H45" s="2544">
        <f>SUM(H16:H44)</f>
        <v>0</v>
      </c>
      <c r="I45" s="409">
        <f>SUM(I16:I44)</f>
        <v>11</v>
      </c>
      <c r="J45" s="2542">
        <f>SUM(J16:J44)</f>
        <v>0</v>
      </c>
      <c r="K45" s="2545">
        <f>SUM(K16:K44)</f>
        <v>0</v>
      </c>
    </row>
    <row r="46" spans="1:11">
      <c r="A46" s="110">
        <v>31</v>
      </c>
      <c r="B46" s="96"/>
      <c r="C46" s="1191"/>
      <c r="D46" s="508"/>
      <c r="E46" s="426"/>
      <c r="F46" s="2539"/>
      <c r="G46" s="1192"/>
      <c r="H46" s="2268"/>
      <c r="I46" s="426"/>
      <c r="J46" s="2539"/>
      <c r="K46" s="2546"/>
    </row>
    <row r="47" spans="1:11">
      <c r="A47" s="110">
        <v>32</v>
      </c>
      <c r="B47" s="96"/>
      <c r="C47" s="1191"/>
      <c r="D47" s="508"/>
      <c r="E47" s="426"/>
      <c r="F47" s="2539"/>
      <c r="G47" s="1192"/>
      <c r="H47" s="2268"/>
      <c r="I47" s="426"/>
      <c r="J47" s="2539"/>
      <c r="K47" s="2546"/>
    </row>
    <row r="48" spans="1:11">
      <c r="A48" s="110">
        <v>33</v>
      </c>
      <c r="B48" s="96"/>
      <c r="C48" s="1191"/>
      <c r="D48" s="508"/>
      <c r="E48" s="426"/>
      <c r="F48" s="2539"/>
      <c r="G48" s="1192"/>
      <c r="H48" s="2268"/>
      <c r="I48" s="426"/>
      <c r="J48" s="2539"/>
      <c r="K48" s="2546"/>
    </row>
    <row r="49" spans="1:11" ht="15.75" thickBot="1">
      <c r="A49" s="437">
        <v>34</v>
      </c>
      <c r="B49" s="115" t="s">
        <v>2722</v>
      </c>
      <c r="C49" s="1194"/>
      <c r="D49" s="720">
        <f>+'410'!D49++D45</f>
        <v>86157</v>
      </c>
      <c r="E49" s="720">
        <f>+'410'!E49+E45</f>
        <v>87226</v>
      </c>
      <c r="F49" s="2543">
        <f>+'410'!F49++F45</f>
        <v>0</v>
      </c>
      <c r="G49" s="1194"/>
      <c r="H49" s="2543">
        <f>+'410'!H49+H45</f>
        <v>0</v>
      </c>
      <c r="I49" s="720">
        <f>+'410'!I49+I45</f>
        <v>28</v>
      </c>
      <c r="J49" s="2543">
        <f>+'410'!J49+J45</f>
        <v>0</v>
      </c>
      <c r="K49" s="2547">
        <f>+'410'!K49+K45</f>
        <v>8</v>
      </c>
    </row>
    <row r="50" spans="1:11">
      <c r="A50" s="86"/>
      <c r="B50" s="86"/>
      <c r="C50" s="86"/>
      <c r="D50" s="426"/>
      <c r="E50" s="86"/>
      <c r="F50" s="86"/>
      <c r="G50" s="86"/>
      <c r="H50" s="86"/>
      <c r="I50" s="86"/>
      <c r="J50" s="86"/>
      <c r="K50" s="405" t="s">
        <v>2024</v>
      </c>
    </row>
    <row r="51" spans="1:11">
      <c r="A51" s="5" t="s">
        <v>5114</v>
      </c>
      <c r="B51" s="5"/>
      <c r="C51" s="5"/>
      <c r="D51" s="5"/>
      <c r="E51" s="5"/>
      <c r="F51" s="5"/>
      <c r="G51" s="5"/>
      <c r="H51" s="5"/>
      <c r="I51" s="5"/>
      <c r="J51" s="5"/>
      <c r="K51" s="5"/>
    </row>
    <row r="52" spans="1:11">
      <c r="A52" s="86"/>
      <c r="B52" s="86"/>
      <c r="C52" s="86"/>
      <c r="D52" s="86"/>
      <c r="E52" s="86"/>
      <c r="F52" s="86"/>
      <c r="G52" s="86"/>
      <c r="H52" s="86"/>
      <c r="I52" s="86"/>
      <c r="J52" s="86"/>
      <c r="K52" s="86"/>
    </row>
    <row r="53" spans="1:11">
      <c r="A53" s="86"/>
      <c r="B53" s="86"/>
      <c r="C53" s="86"/>
      <c r="D53" s="86"/>
      <c r="E53" s="86"/>
      <c r="F53" s="86"/>
      <c r="G53" s="86"/>
      <c r="H53" s="86"/>
      <c r="I53" s="86"/>
      <c r="J53" s="86"/>
      <c r="K53" s="86"/>
    </row>
    <row r="54" spans="1:11">
      <c r="A54" s="86"/>
      <c r="B54" s="86"/>
      <c r="C54" s="86"/>
      <c r="D54" s="426"/>
      <c r="E54" s="426"/>
      <c r="F54" s="426"/>
      <c r="G54" s="426"/>
      <c r="H54" s="426"/>
      <c r="I54" s="426"/>
      <c r="J54" s="426"/>
      <c r="K54" s="426"/>
    </row>
    <row r="55" spans="1:11">
      <c r="A55" s="86"/>
      <c r="B55" s="86"/>
      <c r="C55" s="86"/>
      <c r="D55" s="86"/>
      <c r="E55" s="86"/>
      <c r="F55" s="86"/>
      <c r="G55" s="86"/>
      <c r="H55" s="86"/>
      <c r="I55" s="86"/>
      <c r="J55" s="86"/>
      <c r="K55" s="86"/>
    </row>
    <row r="56" spans="1:11">
      <c r="A56" s="86"/>
      <c r="B56" s="86"/>
      <c r="C56" s="86"/>
      <c r="D56" s="86"/>
      <c r="E56" s="86"/>
      <c r="F56" s="86"/>
      <c r="G56" s="86"/>
      <c r="H56" s="86"/>
      <c r="I56" s="86"/>
      <c r="J56" s="86"/>
      <c r="K56" s="86"/>
    </row>
    <row r="57" spans="1:11">
      <c r="A57" s="86"/>
      <c r="B57" s="86"/>
      <c r="C57" s="86"/>
      <c r="D57" s="86"/>
      <c r="E57" s="86"/>
      <c r="F57" s="86"/>
      <c r="G57" s="86"/>
      <c r="H57" s="86"/>
      <c r="I57" s="86"/>
      <c r="J57" s="86"/>
      <c r="K57" s="86"/>
    </row>
    <row r="58" spans="1:11">
      <c r="A58" s="86"/>
      <c r="B58" s="86"/>
      <c r="C58" s="86"/>
      <c r="D58" s="86"/>
      <c r="E58" s="86"/>
      <c r="F58" s="86"/>
      <c r="G58" s="86"/>
      <c r="H58" s="86"/>
      <c r="I58" s="86"/>
      <c r="J58" s="86"/>
      <c r="K58" s="86"/>
    </row>
    <row r="59" spans="1:11">
      <c r="A59" s="86"/>
      <c r="B59" s="86"/>
      <c r="C59" s="86"/>
      <c r="D59" s="86"/>
      <c r="E59" s="86"/>
      <c r="F59" s="86"/>
      <c r="G59" s="86"/>
      <c r="H59" s="86"/>
      <c r="I59" s="86"/>
      <c r="J59" s="86"/>
      <c r="K59" s="86"/>
    </row>
    <row r="60" spans="1:11">
      <c r="A60" s="86"/>
      <c r="B60" s="86"/>
      <c r="C60" s="86"/>
      <c r="D60" s="86"/>
      <c r="E60" s="86"/>
      <c r="F60" s="86"/>
      <c r="G60" s="86"/>
      <c r="H60" s="86"/>
      <c r="I60" s="86"/>
      <c r="J60" s="86"/>
      <c r="K60" s="86"/>
    </row>
    <row r="61" spans="1:11">
      <c r="A61" s="86"/>
      <c r="B61" s="86"/>
      <c r="C61" s="86"/>
      <c r="D61" s="86"/>
      <c r="E61" s="86"/>
      <c r="F61" s="86"/>
      <c r="G61" s="86"/>
      <c r="H61" s="86"/>
      <c r="I61" s="86"/>
      <c r="J61" s="86"/>
      <c r="K61" s="86"/>
    </row>
    <row r="62" spans="1:11">
      <c r="A62" s="86"/>
      <c r="B62" s="86"/>
      <c r="C62" s="86"/>
      <c r="D62" s="86"/>
      <c r="E62" s="86"/>
      <c r="F62" s="86"/>
      <c r="G62" s="86"/>
      <c r="H62" s="86"/>
      <c r="I62" s="86"/>
      <c r="J62" s="86"/>
      <c r="K62" s="86"/>
    </row>
    <row r="63" spans="1:11">
      <c r="A63" s="86"/>
      <c r="B63" s="86"/>
      <c r="C63" s="86"/>
      <c r="D63" s="86"/>
      <c r="E63" s="86"/>
      <c r="F63" s="86"/>
      <c r="G63" s="86"/>
      <c r="H63" s="86"/>
      <c r="I63" s="86"/>
      <c r="J63" s="86"/>
      <c r="K63" s="86"/>
    </row>
    <row r="64" spans="1:11">
      <c r="A64" s="86"/>
      <c r="B64" s="86"/>
      <c r="C64" s="86"/>
      <c r="D64" s="86"/>
      <c r="E64" s="86"/>
      <c r="F64" s="86"/>
      <c r="G64" s="86"/>
      <c r="H64" s="86"/>
      <c r="I64" s="86"/>
      <c r="J64" s="86"/>
      <c r="K64" s="86"/>
    </row>
    <row r="65" spans="1:11">
      <c r="A65" s="86"/>
      <c r="B65" s="86"/>
      <c r="C65" s="86"/>
      <c r="D65" s="86"/>
      <c r="E65" s="86"/>
      <c r="F65" s="86"/>
      <c r="G65" s="86"/>
      <c r="H65" s="86"/>
      <c r="I65" s="86"/>
      <c r="J65" s="86"/>
      <c r="K65" s="86"/>
    </row>
    <row r="66" spans="1:11">
      <c r="A66" s="86"/>
      <c r="B66" s="86"/>
      <c r="C66" s="86"/>
      <c r="D66" s="86"/>
      <c r="E66" s="86"/>
      <c r="F66" s="86"/>
      <c r="G66" s="86"/>
      <c r="H66" s="86"/>
      <c r="I66" s="86"/>
      <c r="J66" s="86"/>
      <c r="K66" s="86"/>
    </row>
    <row r="67" spans="1:11">
      <c r="A67" s="86"/>
      <c r="B67" s="86"/>
      <c r="C67" s="86"/>
      <c r="D67" s="86"/>
      <c r="E67" s="86"/>
      <c r="F67" s="86"/>
      <c r="G67" s="86"/>
      <c r="H67" s="86"/>
      <c r="I67" s="86"/>
      <c r="J67" s="86"/>
      <c r="K67" s="86"/>
    </row>
    <row r="68" spans="1:11">
      <c r="A68" s="86"/>
      <c r="B68" s="86"/>
      <c r="C68" s="86"/>
      <c r="D68" s="86"/>
      <c r="E68" s="86"/>
      <c r="F68" s="86"/>
      <c r="G68" s="86"/>
      <c r="H68" s="86"/>
      <c r="I68" s="86"/>
      <c r="J68" s="86"/>
      <c r="K68" s="86"/>
    </row>
    <row r="69" spans="1:11">
      <c r="A69" s="86"/>
      <c r="B69" s="86"/>
      <c r="C69" s="86"/>
      <c r="D69" s="86"/>
      <c r="E69" s="86"/>
      <c r="F69" s="86"/>
      <c r="G69" s="86"/>
      <c r="H69" s="86"/>
      <c r="I69" s="86"/>
      <c r="J69" s="86"/>
      <c r="K69" s="86"/>
    </row>
    <row r="70" spans="1:11">
      <c r="A70" s="86"/>
      <c r="B70" s="86"/>
      <c r="C70" s="86"/>
      <c r="D70" s="86"/>
      <c r="E70" s="86"/>
      <c r="F70" s="86"/>
      <c r="G70" s="86"/>
      <c r="H70" s="86"/>
      <c r="I70" s="86"/>
      <c r="J70" s="86"/>
      <c r="K70" s="86"/>
    </row>
    <row r="71" spans="1:11">
      <c r="A71" s="86"/>
      <c r="B71" s="86"/>
      <c r="C71" s="86"/>
      <c r="D71" s="86"/>
      <c r="E71" s="86"/>
      <c r="F71" s="86"/>
      <c r="G71" s="86"/>
      <c r="H71" s="86"/>
      <c r="I71" s="86"/>
      <c r="J71" s="86"/>
      <c r="K71" s="86"/>
    </row>
    <row r="72" spans="1:11">
      <c r="A72" s="86"/>
      <c r="B72" s="86"/>
      <c r="C72" s="86"/>
      <c r="D72" s="86"/>
      <c r="E72" s="86"/>
      <c r="F72" s="86"/>
      <c r="G72" s="86"/>
      <c r="H72" s="86"/>
      <c r="I72" s="86"/>
      <c r="J72" s="86"/>
      <c r="K72" s="86"/>
    </row>
    <row r="73" spans="1:11">
      <c r="A73" s="86"/>
      <c r="B73" s="86"/>
      <c r="C73" s="86"/>
      <c r="D73" s="86"/>
      <c r="E73" s="86"/>
      <c r="F73" s="86"/>
      <c r="G73" s="86"/>
      <c r="H73" s="86"/>
      <c r="I73" s="86"/>
      <c r="J73" s="86"/>
      <c r="K73" s="86"/>
    </row>
    <row r="74" spans="1:11">
      <c r="A74" s="86"/>
      <c r="B74" s="86"/>
      <c r="C74" s="86"/>
      <c r="D74" s="86"/>
      <c r="E74" s="86"/>
      <c r="F74" s="86"/>
      <c r="G74" s="86"/>
      <c r="H74" s="86"/>
      <c r="I74" s="86"/>
      <c r="J74" s="86"/>
      <c r="K74" s="86"/>
    </row>
    <row r="75" spans="1:11">
      <c r="A75" s="86"/>
      <c r="B75" s="86"/>
      <c r="C75" s="86"/>
      <c r="D75" s="86"/>
      <c r="E75" s="86"/>
      <c r="F75" s="86"/>
      <c r="G75" s="86"/>
      <c r="H75" s="86"/>
      <c r="I75" s="86"/>
      <c r="J75" s="86"/>
      <c r="K75" s="86"/>
    </row>
    <row r="76" spans="1:11">
      <c r="A76" s="86"/>
      <c r="B76" s="86"/>
      <c r="C76" s="86"/>
      <c r="D76" s="86"/>
      <c r="E76" s="86"/>
      <c r="F76" s="86"/>
      <c r="G76" s="86"/>
      <c r="H76" s="86"/>
      <c r="I76" s="86"/>
      <c r="J76" s="86"/>
      <c r="K76" s="86"/>
    </row>
    <row r="77" spans="1:11">
      <c r="A77" s="86"/>
      <c r="B77" s="86"/>
      <c r="C77" s="86"/>
      <c r="D77" s="86"/>
      <c r="E77" s="86"/>
      <c r="F77" s="86"/>
      <c r="G77" s="86"/>
      <c r="H77" s="86"/>
      <c r="I77" s="86"/>
      <c r="J77" s="86"/>
      <c r="K77" s="86"/>
    </row>
    <row r="78" spans="1:11">
      <c r="A78" s="86"/>
      <c r="B78" s="86"/>
      <c r="C78" s="86"/>
      <c r="D78" s="86"/>
      <c r="E78" s="86"/>
      <c r="F78" s="86"/>
      <c r="G78" s="86"/>
      <c r="H78" s="86"/>
      <c r="I78" s="86"/>
      <c r="J78" s="86"/>
      <c r="K78" s="86"/>
    </row>
    <row r="79" spans="1:11">
      <c r="A79" s="86"/>
      <c r="B79" s="86"/>
      <c r="C79" s="86"/>
      <c r="D79" s="86"/>
      <c r="E79" s="86"/>
      <c r="F79" s="86"/>
      <c r="G79" s="86"/>
      <c r="H79" s="86"/>
      <c r="I79" s="86"/>
      <c r="J79" s="86"/>
      <c r="K79" s="86"/>
    </row>
    <row r="80" spans="1:11">
      <c r="A80" s="86"/>
      <c r="B80" s="86"/>
      <c r="C80" s="86"/>
      <c r="D80" s="86"/>
      <c r="E80" s="86"/>
      <c r="F80" s="86"/>
      <c r="G80" s="86"/>
      <c r="H80" s="86"/>
      <c r="I80" s="86"/>
      <c r="J80" s="86"/>
      <c r="K80" s="86"/>
    </row>
    <row r="81" spans="1:11">
      <c r="A81" s="86"/>
      <c r="B81" s="86"/>
      <c r="C81" s="86"/>
      <c r="D81" s="86"/>
      <c r="E81" s="86"/>
      <c r="F81" s="86"/>
      <c r="G81" s="86"/>
      <c r="H81" s="86"/>
      <c r="I81" s="86"/>
      <c r="J81" s="86"/>
      <c r="K81" s="86"/>
    </row>
    <row r="82" spans="1:11">
      <c r="A82" s="86"/>
      <c r="B82" s="86"/>
      <c r="C82" s="86"/>
      <c r="D82" s="86"/>
      <c r="E82" s="86"/>
      <c r="F82" s="86"/>
      <c r="G82" s="86"/>
      <c r="H82" s="86"/>
      <c r="I82" s="86"/>
      <c r="J82" s="86"/>
      <c r="K82" s="86"/>
    </row>
    <row r="83" spans="1:11">
      <c r="A83" s="86"/>
      <c r="B83" s="86"/>
      <c r="C83" s="86"/>
      <c r="D83" s="86"/>
      <c r="E83" s="86"/>
      <c r="F83" s="86"/>
      <c r="G83" s="86"/>
      <c r="H83" s="86"/>
      <c r="I83" s="86"/>
      <c r="J83" s="86"/>
      <c r="K83" s="86"/>
    </row>
    <row r="84" spans="1:11">
      <c r="A84" s="86"/>
      <c r="B84" s="86"/>
      <c r="C84" s="86"/>
      <c r="D84" s="86"/>
      <c r="E84" s="86"/>
      <c r="F84" s="86"/>
      <c r="G84" s="86"/>
      <c r="H84" s="86"/>
      <c r="I84" s="86"/>
      <c r="J84" s="86"/>
      <c r="K84" s="86"/>
    </row>
    <row r="85" spans="1:11">
      <c r="A85" s="86"/>
      <c r="B85" s="86"/>
      <c r="C85" s="86"/>
      <c r="D85" s="86"/>
      <c r="E85" s="86"/>
      <c r="F85" s="86"/>
      <c r="G85" s="86"/>
      <c r="H85" s="86"/>
      <c r="I85" s="86"/>
      <c r="J85" s="86"/>
      <c r="K85" s="86"/>
    </row>
    <row r="86" spans="1:11">
      <c r="A86" s="86"/>
      <c r="B86" s="86"/>
      <c r="C86" s="86"/>
      <c r="D86" s="86"/>
      <c r="E86" s="86"/>
      <c r="F86" s="86"/>
      <c r="G86" s="86"/>
      <c r="H86" s="86"/>
      <c r="I86" s="86"/>
      <c r="J86" s="86"/>
      <c r="K86" s="86"/>
    </row>
    <row r="87" spans="1:11">
      <c r="A87" s="86"/>
      <c r="B87" s="86"/>
      <c r="C87" s="86"/>
      <c r="D87" s="86"/>
      <c r="E87" s="86"/>
      <c r="F87" s="86"/>
      <c r="G87" s="86"/>
      <c r="H87" s="86"/>
      <c r="I87" s="86"/>
      <c r="J87" s="86"/>
      <c r="K87" s="86"/>
    </row>
    <row r="88" spans="1:11">
      <c r="A88" s="86"/>
      <c r="B88" s="86"/>
      <c r="C88" s="86"/>
      <c r="D88" s="86"/>
      <c r="E88" s="86"/>
      <c r="F88" s="86"/>
      <c r="G88" s="86"/>
      <c r="H88" s="86"/>
      <c r="I88" s="86"/>
      <c r="J88" s="86"/>
      <c r="K88" s="86"/>
    </row>
    <row r="89" spans="1:11">
      <c r="A89" s="86"/>
      <c r="B89" s="86"/>
      <c r="C89" s="86"/>
      <c r="D89" s="86"/>
      <c r="E89" s="86"/>
      <c r="F89" s="86"/>
      <c r="G89" s="86"/>
      <c r="H89" s="86"/>
      <c r="I89" s="86"/>
      <c r="J89" s="86"/>
      <c r="K89" s="86"/>
    </row>
    <row r="90" spans="1:11">
      <c r="A90" s="86"/>
      <c r="B90" s="86"/>
      <c r="C90" s="86"/>
      <c r="D90" s="86"/>
      <c r="E90" s="86"/>
      <c r="F90" s="86"/>
      <c r="G90" s="86"/>
      <c r="H90" s="86"/>
      <c r="I90" s="86"/>
      <c r="J90" s="86"/>
      <c r="K90" s="86"/>
    </row>
    <row r="91" spans="1:11">
      <c r="A91" s="86"/>
      <c r="B91" s="86"/>
      <c r="C91" s="86"/>
      <c r="D91" s="86"/>
      <c r="E91" s="86"/>
      <c r="F91" s="86"/>
      <c r="G91" s="86"/>
      <c r="H91" s="86"/>
      <c r="I91" s="86"/>
      <c r="J91" s="86"/>
      <c r="K91" s="86"/>
    </row>
    <row r="92" spans="1:11">
      <c r="A92" s="86"/>
      <c r="B92" s="86"/>
      <c r="C92" s="86"/>
      <c r="D92" s="86"/>
      <c r="E92" s="86"/>
      <c r="F92" s="86"/>
      <c r="G92" s="86"/>
      <c r="H92" s="86"/>
      <c r="I92" s="86"/>
      <c r="J92" s="86"/>
      <c r="K92" s="86"/>
    </row>
    <row r="93" spans="1:11">
      <c r="A93" s="86"/>
      <c r="B93" s="86"/>
      <c r="C93" s="86"/>
      <c r="D93" s="86"/>
      <c r="E93" s="86"/>
      <c r="F93" s="86"/>
      <c r="G93" s="86"/>
      <c r="H93" s="86"/>
      <c r="I93" s="86"/>
      <c r="J93" s="86"/>
      <c r="K93" s="86"/>
    </row>
    <row r="94" spans="1:11">
      <c r="A94" s="86"/>
      <c r="B94" s="86"/>
      <c r="C94" s="86"/>
      <c r="D94" s="86"/>
      <c r="E94" s="86"/>
      <c r="F94" s="86"/>
      <c r="G94" s="86"/>
      <c r="H94" s="86"/>
      <c r="I94" s="86"/>
      <c r="J94" s="86"/>
      <c r="K94" s="86"/>
    </row>
    <row r="95" spans="1:11">
      <c r="A95" s="86"/>
      <c r="B95" s="86"/>
      <c r="C95" s="86"/>
      <c r="D95" s="86"/>
      <c r="E95" s="86"/>
      <c r="F95" s="86"/>
      <c r="G95" s="86"/>
      <c r="H95" s="86"/>
      <c r="I95" s="86"/>
      <c r="J95" s="86"/>
      <c r="K95" s="86"/>
    </row>
    <row r="96" spans="1:11">
      <c r="A96" s="86"/>
      <c r="B96" s="86"/>
      <c r="C96" s="86"/>
      <c r="D96" s="86"/>
      <c r="E96" s="86"/>
      <c r="F96" s="86"/>
      <c r="G96" s="86"/>
      <c r="H96" s="86"/>
      <c r="I96" s="86"/>
      <c r="J96" s="86"/>
      <c r="K96" s="86"/>
    </row>
    <row r="97" spans="1:11">
      <c r="A97" s="86"/>
      <c r="B97" s="86"/>
      <c r="C97" s="86"/>
      <c r="D97" s="86"/>
      <c r="E97" s="86"/>
      <c r="F97" s="86"/>
      <c r="G97" s="86"/>
      <c r="H97" s="86"/>
      <c r="I97" s="86"/>
      <c r="J97" s="86"/>
      <c r="K97" s="86"/>
    </row>
    <row r="98" spans="1:11">
      <c r="A98" s="86"/>
      <c r="B98" s="86"/>
      <c r="C98" s="86"/>
      <c r="D98" s="86"/>
      <c r="E98" s="86"/>
      <c r="F98" s="86"/>
      <c r="G98" s="86"/>
      <c r="H98" s="86"/>
      <c r="I98" s="86"/>
      <c r="J98" s="86"/>
      <c r="K98" s="86"/>
    </row>
    <row r="99" spans="1:11">
      <c r="A99" s="86"/>
      <c r="B99" s="86"/>
      <c r="C99" s="86"/>
      <c r="D99" s="86"/>
      <c r="E99" s="86"/>
      <c r="F99" s="86"/>
      <c r="G99" s="86"/>
      <c r="H99" s="86"/>
      <c r="I99" s="86"/>
      <c r="J99" s="86"/>
      <c r="K99" s="86"/>
    </row>
    <row r="100" spans="1:11">
      <c r="A100" s="86"/>
      <c r="B100" s="86"/>
      <c r="C100" s="86"/>
      <c r="D100" s="86"/>
      <c r="E100" s="86"/>
      <c r="F100" s="86"/>
      <c r="G100" s="86"/>
      <c r="H100" s="86"/>
      <c r="I100" s="86"/>
      <c r="J100" s="86"/>
      <c r="K100" s="86"/>
    </row>
    <row r="101" spans="1:11">
      <c r="A101" s="86"/>
      <c r="B101" s="86"/>
      <c r="C101" s="86"/>
      <c r="D101" s="86"/>
      <c r="E101" s="86"/>
      <c r="F101" s="86"/>
      <c r="G101" s="86"/>
      <c r="H101" s="86"/>
      <c r="I101" s="86"/>
      <c r="J101" s="86"/>
      <c r="K101" s="86"/>
    </row>
    <row r="102" spans="1:11">
      <c r="A102" s="86"/>
      <c r="B102" s="86"/>
      <c r="C102" s="86"/>
      <c r="D102" s="86"/>
      <c r="E102" s="86"/>
      <c r="F102" s="86"/>
      <c r="G102" s="86"/>
      <c r="H102" s="86"/>
      <c r="I102" s="86"/>
      <c r="J102" s="86"/>
      <c r="K102" s="86"/>
    </row>
    <row r="103" spans="1:11">
      <c r="A103" s="86"/>
      <c r="B103" s="86"/>
      <c r="C103" s="86"/>
      <c r="D103" s="86"/>
      <c r="E103" s="86"/>
      <c r="F103" s="86"/>
      <c r="G103" s="86"/>
      <c r="H103" s="86"/>
      <c r="I103" s="86"/>
      <c r="J103" s="86"/>
      <c r="K103" s="86"/>
    </row>
    <row r="104" spans="1:11">
      <c r="A104" s="86"/>
      <c r="B104" s="86"/>
      <c r="C104" s="86"/>
      <c r="D104" s="86"/>
      <c r="E104" s="86"/>
      <c r="F104" s="86"/>
      <c r="G104" s="86"/>
      <c r="H104" s="86"/>
      <c r="I104" s="86"/>
      <c r="J104" s="86"/>
      <c r="K104" s="86"/>
    </row>
    <row r="105" spans="1:11">
      <c r="A105" s="86"/>
      <c r="B105" s="86"/>
      <c r="C105" s="86"/>
      <c r="D105" s="86"/>
      <c r="E105" s="86"/>
      <c r="F105" s="86"/>
      <c r="G105" s="86"/>
      <c r="H105" s="86"/>
      <c r="I105" s="86"/>
      <c r="J105" s="86"/>
      <c r="K105" s="86"/>
    </row>
    <row r="106" spans="1:11">
      <c r="A106" s="86"/>
      <c r="B106" s="86"/>
      <c r="C106" s="86"/>
      <c r="D106" s="86"/>
      <c r="E106" s="86"/>
      <c r="F106" s="86"/>
      <c r="G106" s="86"/>
      <c r="H106" s="86"/>
      <c r="I106" s="86"/>
      <c r="J106" s="86"/>
      <c r="K106" s="86"/>
    </row>
    <row r="107" spans="1:11">
      <c r="A107" s="86"/>
      <c r="B107" s="86"/>
      <c r="C107" s="86"/>
      <c r="D107" s="86"/>
      <c r="E107" s="86"/>
      <c r="F107" s="86"/>
      <c r="G107" s="86"/>
      <c r="H107" s="86"/>
      <c r="I107" s="86"/>
      <c r="J107" s="86"/>
      <c r="K107" s="86"/>
    </row>
    <row r="108" spans="1:11">
      <c r="A108" s="86"/>
      <c r="B108" s="86"/>
      <c r="C108" s="86"/>
      <c r="D108" s="86"/>
      <c r="E108" s="86"/>
      <c r="F108" s="86"/>
      <c r="G108" s="86"/>
      <c r="H108" s="86"/>
      <c r="I108" s="86"/>
      <c r="J108" s="86"/>
      <c r="K108" s="86"/>
    </row>
    <row r="109" spans="1:11">
      <c r="A109" s="86"/>
      <c r="B109" s="86"/>
      <c r="C109" s="86"/>
      <c r="D109" s="86"/>
      <c r="E109" s="86"/>
      <c r="F109" s="86"/>
      <c r="G109" s="86"/>
      <c r="H109" s="86"/>
      <c r="I109" s="86"/>
      <c r="J109" s="86"/>
      <c r="K109" s="86"/>
    </row>
    <row r="110" spans="1:11">
      <c r="A110" s="86"/>
      <c r="B110" s="86"/>
      <c r="C110" s="86"/>
      <c r="D110" s="86"/>
      <c r="E110" s="86"/>
      <c r="F110" s="86"/>
      <c r="G110" s="86"/>
      <c r="H110" s="86"/>
      <c r="I110" s="86"/>
      <c r="J110" s="86"/>
      <c r="K110" s="86"/>
    </row>
    <row r="111" spans="1:11">
      <c r="A111" s="86"/>
      <c r="B111" s="86"/>
      <c r="C111" s="86"/>
      <c r="D111" s="86"/>
      <c r="E111" s="86"/>
      <c r="F111" s="86"/>
      <c r="G111" s="86"/>
      <c r="H111" s="86"/>
      <c r="I111" s="86"/>
      <c r="J111" s="86"/>
      <c r="K111" s="86"/>
    </row>
    <row r="112" spans="1:11">
      <c r="A112" s="86"/>
      <c r="B112" s="86"/>
      <c r="C112" s="86"/>
      <c r="D112" s="86"/>
      <c r="E112" s="86"/>
      <c r="F112" s="86"/>
      <c r="G112" s="86"/>
      <c r="H112" s="86"/>
      <c r="I112" s="86"/>
      <c r="J112" s="86"/>
      <c r="K112" s="86"/>
    </row>
    <row r="113" spans="1:11">
      <c r="A113" s="86"/>
      <c r="B113" s="86"/>
      <c r="C113" s="86"/>
      <c r="D113" s="86"/>
      <c r="E113" s="86"/>
      <c r="F113" s="86"/>
      <c r="G113" s="86"/>
      <c r="H113" s="86"/>
      <c r="I113" s="86"/>
      <c r="J113" s="86"/>
      <c r="K113" s="86"/>
    </row>
    <row r="114" spans="1:11">
      <c r="A114" s="86"/>
      <c r="B114" s="86"/>
      <c r="C114" s="86"/>
      <c r="D114" s="86"/>
      <c r="E114" s="86"/>
      <c r="F114" s="86"/>
      <c r="G114" s="86"/>
      <c r="H114" s="86"/>
      <c r="I114" s="86"/>
      <c r="J114" s="86"/>
      <c r="K114" s="86"/>
    </row>
    <row r="115" spans="1:11">
      <c r="A115" s="86"/>
      <c r="B115" s="86"/>
      <c r="C115" s="86"/>
      <c r="D115" s="86"/>
      <c r="E115" s="86"/>
      <c r="F115" s="86"/>
      <c r="G115" s="86"/>
      <c r="H115" s="86"/>
      <c r="I115" s="86"/>
      <c r="J115" s="86"/>
      <c r="K115" s="86"/>
    </row>
    <row r="116" spans="1:11">
      <c r="A116" s="86"/>
      <c r="B116" s="86"/>
      <c r="C116" s="86"/>
      <c r="D116" s="86"/>
      <c r="E116" s="86"/>
      <c r="F116" s="86"/>
      <c r="G116" s="86"/>
      <c r="H116" s="86"/>
      <c r="I116" s="86"/>
      <c r="J116" s="86"/>
      <c r="K116" s="86"/>
    </row>
    <row r="117" spans="1:11">
      <c r="A117" s="86"/>
      <c r="B117" s="86"/>
      <c r="C117" s="86"/>
      <c r="D117" s="86"/>
      <c r="E117" s="86"/>
      <c r="F117" s="86"/>
      <c r="G117" s="86"/>
      <c r="H117" s="86"/>
      <c r="I117" s="86"/>
      <c r="J117" s="86"/>
      <c r="K117" s="86"/>
    </row>
    <row r="118" spans="1:11">
      <c r="A118" s="86"/>
      <c r="B118" s="86"/>
      <c r="C118" s="86"/>
      <c r="D118" s="86"/>
      <c r="E118" s="86"/>
      <c r="F118" s="86"/>
      <c r="G118" s="86"/>
      <c r="H118" s="86"/>
      <c r="I118" s="86"/>
      <c r="J118" s="86"/>
      <c r="K118" s="86"/>
    </row>
    <row r="119" spans="1:11">
      <c r="A119" s="86"/>
      <c r="B119" s="86"/>
      <c r="C119" s="86"/>
      <c r="D119" s="86"/>
      <c r="E119" s="86"/>
      <c r="F119" s="86"/>
      <c r="G119" s="86"/>
      <c r="H119" s="86"/>
      <c r="I119" s="86"/>
      <c r="J119" s="86"/>
      <c r="K119" s="86"/>
    </row>
    <row r="120" spans="1:11">
      <c r="A120" s="86"/>
      <c r="B120" s="86"/>
      <c r="C120" s="86"/>
      <c r="D120" s="86"/>
      <c r="E120" s="86"/>
      <c r="F120" s="86"/>
      <c r="G120" s="86"/>
      <c r="H120" s="86"/>
      <c r="I120" s="86"/>
      <c r="J120" s="86"/>
      <c r="K120" s="86"/>
    </row>
    <row r="121" spans="1:11">
      <c r="A121" s="86"/>
      <c r="B121" s="86"/>
      <c r="C121" s="86"/>
      <c r="D121" s="86"/>
      <c r="E121" s="86"/>
      <c r="F121" s="86"/>
      <c r="G121" s="86"/>
      <c r="H121" s="86"/>
      <c r="I121" s="86"/>
      <c r="J121" s="86"/>
      <c r="K121" s="86"/>
    </row>
    <row r="122" spans="1:11">
      <c r="A122" s="86"/>
      <c r="B122" s="86"/>
      <c r="C122" s="86"/>
      <c r="D122" s="86"/>
      <c r="E122" s="86"/>
      <c r="F122" s="86"/>
      <c r="G122" s="86"/>
      <c r="H122" s="86"/>
      <c r="I122" s="86"/>
      <c r="J122" s="86"/>
      <c r="K122" s="86"/>
    </row>
    <row r="123" spans="1:11">
      <c r="A123" s="86"/>
      <c r="B123" s="86"/>
      <c r="C123" s="86"/>
      <c r="D123" s="86"/>
      <c r="E123" s="86"/>
      <c r="F123" s="86"/>
      <c r="G123" s="86"/>
      <c r="H123" s="86"/>
      <c r="I123" s="86"/>
      <c r="J123" s="86"/>
      <c r="K123" s="86"/>
    </row>
    <row r="124" spans="1:11">
      <c r="A124" s="86"/>
      <c r="B124" s="86"/>
      <c r="C124" s="86"/>
      <c r="D124" s="86"/>
      <c r="E124" s="86"/>
      <c r="F124" s="86"/>
      <c r="G124" s="86"/>
      <c r="H124" s="86"/>
      <c r="I124" s="86"/>
      <c r="J124" s="86"/>
      <c r="K124" s="86"/>
    </row>
    <row r="125" spans="1:11">
      <c r="A125" s="86"/>
      <c r="B125" s="86"/>
      <c r="C125" s="86"/>
      <c r="D125" s="86"/>
      <c r="E125" s="86"/>
      <c r="F125" s="86"/>
      <c r="G125" s="86"/>
      <c r="H125" s="86"/>
      <c r="I125" s="86"/>
      <c r="J125" s="86"/>
      <c r="K125" s="86"/>
    </row>
    <row r="126" spans="1:11">
      <c r="A126" s="86"/>
      <c r="B126" s="86"/>
      <c r="C126" s="86"/>
      <c r="D126" s="86"/>
      <c r="E126" s="86"/>
      <c r="F126" s="86"/>
      <c r="G126" s="86"/>
      <c r="H126" s="86"/>
      <c r="I126" s="86"/>
      <c r="J126" s="86"/>
      <c r="K126" s="86"/>
    </row>
    <row r="127" spans="1:11">
      <c r="A127" s="86"/>
      <c r="B127" s="86"/>
      <c r="C127" s="86"/>
      <c r="D127" s="86"/>
      <c r="E127" s="86"/>
      <c r="F127" s="86"/>
      <c r="G127" s="86"/>
      <c r="H127" s="86"/>
      <c r="I127" s="86"/>
      <c r="J127" s="86"/>
      <c r="K127" s="86"/>
    </row>
    <row r="128" spans="1:11">
      <c r="A128" s="86"/>
      <c r="B128" s="86"/>
      <c r="C128" s="86"/>
      <c r="D128" s="86"/>
      <c r="E128" s="86"/>
      <c r="F128" s="86"/>
      <c r="G128" s="86"/>
      <c r="H128" s="86"/>
      <c r="I128" s="86"/>
      <c r="J128" s="86"/>
      <c r="K128" s="86"/>
    </row>
    <row r="129" spans="1:11">
      <c r="A129" s="86"/>
      <c r="B129" s="86"/>
      <c r="C129" s="86"/>
      <c r="D129" s="86"/>
      <c r="E129" s="86"/>
      <c r="F129" s="86"/>
      <c r="G129" s="86"/>
      <c r="H129" s="86"/>
      <c r="I129" s="86"/>
      <c r="J129" s="86"/>
      <c r="K129" s="86"/>
    </row>
    <row r="130" spans="1:11">
      <c r="A130" s="86"/>
      <c r="B130" s="86"/>
      <c r="C130" s="86"/>
      <c r="D130" s="86"/>
      <c r="E130" s="86"/>
      <c r="F130" s="86"/>
      <c r="G130" s="86"/>
      <c r="H130" s="86"/>
      <c r="I130" s="86"/>
      <c r="J130" s="86"/>
      <c r="K130" s="86"/>
    </row>
    <row r="131" spans="1:11">
      <c r="A131" s="86"/>
      <c r="B131" s="86"/>
      <c r="C131" s="86"/>
      <c r="D131" s="86"/>
      <c r="E131" s="86"/>
      <c r="F131" s="86"/>
      <c r="G131" s="86"/>
      <c r="H131" s="86"/>
      <c r="I131" s="86"/>
      <c r="J131" s="86"/>
      <c r="K131" s="86"/>
    </row>
    <row r="132" spans="1:11">
      <c r="A132" s="86"/>
      <c r="B132" s="86"/>
      <c r="C132" s="86"/>
      <c r="D132" s="86"/>
      <c r="E132" s="86"/>
      <c r="F132" s="86"/>
      <c r="G132" s="86"/>
      <c r="H132" s="86"/>
      <c r="I132" s="86"/>
      <c r="J132" s="86"/>
      <c r="K132" s="86"/>
    </row>
    <row r="133" spans="1:11">
      <c r="A133" s="86"/>
      <c r="B133" s="86"/>
      <c r="C133" s="86"/>
      <c r="D133" s="86"/>
      <c r="E133" s="86"/>
      <c r="F133" s="86"/>
      <c r="G133" s="86"/>
      <c r="H133" s="86"/>
      <c r="I133" s="86"/>
      <c r="J133" s="86"/>
      <c r="K133" s="86"/>
    </row>
    <row r="134" spans="1:11">
      <c r="A134" s="86"/>
      <c r="B134" s="86"/>
      <c r="C134" s="86"/>
      <c r="D134" s="86"/>
      <c r="E134" s="86"/>
      <c r="F134" s="86"/>
      <c r="G134" s="86"/>
      <c r="H134" s="86"/>
      <c r="I134" s="86"/>
      <c r="J134" s="86"/>
      <c r="K134" s="86"/>
    </row>
    <row r="135" spans="1:11">
      <c r="A135" s="86"/>
      <c r="B135" s="86"/>
      <c r="C135" s="86"/>
      <c r="D135" s="86"/>
      <c r="E135" s="86"/>
      <c r="F135" s="86"/>
      <c r="G135" s="86"/>
      <c r="H135" s="86"/>
      <c r="I135" s="86"/>
      <c r="J135" s="86"/>
      <c r="K135" s="86"/>
    </row>
    <row r="136" spans="1:11">
      <c r="A136" s="86"/>
      <c r="B136" s="86"/>
      <c r="C136" s="86"/>
      <c r="D136" s="86"/>
      <c r="E136" s="86"/>
      <c r="F136" s="86"/>
      <c r="G136" s="86"/>
      <c r="H136" s="86"/>
      <c r="I136" s="86"/>
      <c r="J136" s="86"/>
      <c r="K136" s="86"/>
    </row>
    <row r="137" spans="1:11">
      <c r="A137" s="86"/>
      <c r="B137" s="86"/>
      <c r="C137" s="86"/>
      <c r="D137" s="86"/>
      <c r="E137" s="86"/>
      <c r="F137" s="86"/>
      <c r="G137" s="86"/>
      <c r="H137" s="86"/>
      <c r="I137" s="86"/>
      <c r="J137" s="86"/>
      <c r="K137" s="86"/>
    </row>
    <row r="138" spans="1:11">
      <c r="A138" s="86"/>
      <c r="B138" s="86"/>
      <c r="C138" s="86"/>
      <c r="D138" s="86"/>
      <c r="E138" s="86"/>
      <c r="F138" s="86"/>
      <c r="G138" s="86"/>
      <c r="H138" s="86"/>
      <c r="I138" s="86"/>
      <c r="J138" s="86"/>
      <c r="K138" s="86"/>
    </row>
    <row r="139" spans="1:11">
      <c r="A139" s="86"/>
      <c r="B139" s="86"/>
      <c r="C139" s="86"/>
      <c r="D139" s="86"/>
      <c r="E139" s="86"/>
      <c r="F139" s="86"/>
      <c r="G139" s="86"/>
      <c r="H139" s="86"/>
      <c r="I139" s="86"/>
      <c r="J139" s="86"/>
      <c r="K139" s="86"/>
    </row>
    <row r="140" spans="1:11">
      <c r="A140" s="86"/>
      <c r="B140" s="86"/>
      <c r="C140" s="86"/>
      <c r="D140" s="86"/>
      <c r="E140" s="86"/>
      <c r="F140" s="86"/>
      <c r="G140" s="86"/>
      <c r="H140" s="86"/>
      <c r="I140" s="86"/>
      <c r="J140" s="86"/>
      <c r="K140" s="86"/>
    </row>
    <row r="141" spans="1:11">
      <c r="A141" s="86"/>
      <c r="B141" s="86"/>
      <c r="C141" s="86"/>
      <c r="D141" s="86"/>
      <c r="E141" s="86"/>
      <c r="F141" s="86"/>
      <c r="G141" s="86"/>
      <c r="H141" s="86"/>
      <c r="I141" s="86"/>
      <c r="J141" s="86"/>
      <c r="K141" s="86"/>
    </row>
    <row r="142" spans="1:11">
      <c r="A142" s="86"/>
      <c r="B142" s="86"/>
      <c r="C142" s="86"/>
      <c r="D142" s="86"/>
      <c r="E142" s="86"/>
      <c r="F142" s="86"/>
      <c r="G142" s="86"/>
      <c r="H142" s="86"/>
      <c r="I142" s="86"/>
      <c r="J142" s="86"/>
      <c r="K142" s="86"/>
    </row>
    <row r="143" spans="1:11">
      <c r="A143" s="86"/>
      <c r="B143" s="86"/>
      <c r="C143" s="86"/>
      <c r="D143" s="86"/>
      <c r="E143" s="86"/>
      <c r="F143" s="86"/>
      <c r="G143" s="86"/>
      <c r="H143" s="86"/>
      <c r="I143" s="86"/>
      <c r="J143" s="86"/>
      <c r="K143" s="86"/>
    </row>
    <row r="144" spans="1:11">
      <c r="A144" s="86"/>
      <c r="B144" s="86"/>
      <c r="C144" s="86"/>
      <c r="D144" s="86"/>
      <c r="E144" s="86"/>
      <c r="F144" s="86"/>
      <c r="G144" s="86"/>
      <c r="H144" s="86"/>
      <c r="I144" s="86"/>
      <c r="J144" s="86"/>
      <c r="K144" s="86"/>
    </row>
    <row r="145" spans="1:11">
      <c r="A145" s="86"/>
      <c r="B145" s="86"/>
      <c r="C145" s="86"/>
      <c r="D145" s="86"/>
      <c r="E145" s="86"/>
      <c r="F145" s="86"/>
      <c r="G145" s="86"/>
      <c r="H145" s="86"/>
      <c r="I145" s="86"/>
      <c r="J145" s="86"/>
      <c r="K145" s="86"/>
    </row>
    <row r="146" spans="1:11">
      <c r="A146" s="86"/>
      <c r="B146" s="86"/>
      <c r="C146" s="86"/>
      <c r="D146" s="86"/>
      <c r="E146" s="86"/>
      <c r="F146" s="86"/>
      <c r="G146" s="86"/>
      <c r="H146" s="86"/>
      <c r="I146" s="86"/>
      <c r="J146" s="86"/>
      <c r="K146" s="86"/>
    </row>
    <row r="147" spans="1:11">
      <c r="A147" s="86"/>
      <c r="B147" s="86"/>
      <c r="C147" s="86"/>
      <c r="D147" s="86"/>
      <c r="E147" s="86"/>
      <c r="F147" s="86"/>
      <c r="G147" s="86"/>
      <c r="H147" s="86"/>
      <c r="I147" s="86"/>
      <c r="J147" s="86"/>
      <c r="K147" s="86"/>
    </row>
    <row r="148" spans="1:11">
      <c r="A148" s="86"/>
      <c r="B148" s="86"/>
      <c r="C148" s="86"/>
      <c r="D148" s="86"/>
      <c r="E148" s="86"/>
      <c r="F148" s="86"/>
      <c r="G148" s="86"/>
      <c r="H148" s="86"/>
      <c r="I148" s="86"/>
      <c r="J148" s="86"/>
      <c r="K148" s="86"/>
    </row>
    <row r="149" spans="1:11">
      <c r="A149" s="86"/>
      <c r="B149" s="86"/>
      <c r="C149" s="86"/>
      <c r="D149" s="86"/>
      <c r="E149" s="86"/>
      <c r="F149" s="86"/>
      <c r="G149" s="86"/>
      <c r="H149" s="86"/>
      <c r="I149" s="86"/>
      <c r="J149" s="86"/>
      <c r="K149" s="86"/>
    </row>
    <row r="150" spans="1:11">
      <c r="A150" s="86"/>
      <c r="B150" s="86"/>
      <c r="C150" s="86"/>
      <c r="D150" s="86"/>
      <c r="E150" s="86"/>
      <c r="F150" s="86"/>
      <c r="G150" s="86"/>
      <c r="H150" s="86"/>
      <c r="I150" s="86"/>
      <c r="J150" s="86"/>
      <c r="K150" s="86"/>
    </row>
    <row r="151" spans="1:11">
      <c r="A151" s="86"/>
      <c r="B151" s="86"/>
      <c r="C151" s="86"/>
      <c r="D151" s="86"/>
      <c r="E151" s="86"/>
      <c r="F151" s="86"/>
      <c r="G151" s="86"/>
      <c r="H151" s="86"/>
      <c r="I151" s="86"/>
      <c r="J151" s="86"/>
      <c r="K151" s="86"/>
    </row>
    <row r="152" spans="1:11">
      <c r="A152" s="86"/>
      <c r="B152" s="86"/>
      <c r="C152" s="86"/>
      <c r="D152" s="86"/>
      <c r="E152" s="86"/>
      <c r="F152" s="86"/>
      <c r="G152" s="86"/>
      <c r="H152" s="86"/>
      <c r="I152" s="86"/>
      <c r="J152" s="86"/>
      <c r="K152" s="86"/>
    </row>
    <row r="153" spans="1:11">
      <c r="A153" s="86"/>
      <c r="B153" s="86"/>
      <c r="C153" s="86"/>
      <c r="D153" s="86"/>
      <c r="E153" s="86"/>
      <c r="F153" s="86"/>
      <c r="G153" s="86"/>
      <c r="H153" s="86"/>
      <c r="I153" s="86"/>
      <c r="J153" s="86"/>
      <c r="K153" s="86"/>
    </row>
    <row r="154" spans="1:11">
      <c r="A154" s="86"/>
      <c r="B154" s="86"/>
      <c r="C154" s="86"/>
      <c r="D154" s="86"/>
      <c r="E154" s="86"/>
      <c r="F154" s="86"/>
      <c r="G154" s="86"/>
      <c r="H154" s="86"/>
      <c r="I154" s="86"/>
      <c r="J154" s="86"/>
      <c r="K154" s="86"/>
    </row>
    <row r="155" spans="1:11">
      <c r="A155" s="86"/>
      <c r="B155" s="86"/>
      <c r="C155" s="86"/>
      <c r="D155" s="86"/>
      <c r="E155" s="86"/>
      <c r="F155" s="86"/>
      <c r="G155" s="86"/>
      <c r="H155" s="86"/>
      <c r="I155" s="86"/>
      <c r="J155" s="86"/>
      <c r="K155" s="86"/>
    </row>
    <row r="156" spans="1:11">
      <c r="A156" s="86"/>
      <c r="B156" s="86"/>
      <c r="C156" s="86"/>
      <c r="D156" s="86"/>
      <c r="E156" s="86"/>
      <c r="F156" s="86"/>
      <c r="G156" s="86"/>
      <c r="H156" s="86"/>
      <c r="I156" s="86"/>
      <c r="J156" s="86"/>
      <c r="K156" s="86"/>
    </row>
    <row r="157" spans="1:11">
      <c r="A157" s="86"/>
      <c r="B157" s="86"/>
      <c r="C157" s="86"/>
      <c r="D157" s="86"/>
      <c r="E157" s="86"/>
      <c r="F157" s="86"/>
      <c r="G157" s="86"/>
      <c r="H157" s="86"/>
      <c r="I157" s="86"/>
      <c r="J157" s="86"/>
      <c r="K157" s="86"/>
    </row>
    <row r="158" spans="1:11">
      <c r="A158" s="86"/>
      <c r="B158" s="86"/>
      <c r="C158" s="86"/>
      <c r="D158" s="86"/>
      <c r="E158" s="86"/>
      <c r="F158" s="86"/>
      <c r="G158" s="86"/>
      <c r="H158" s="86"/>
      <c r="I158" s="86"/>
      <c r="J158" s="86"/>
      <c r="K158" s="86"/>
    </row>
    <row r="159" spans="1:11">
      <c r="A159" s="86"/>
      <c r="B159" s="86"/>
      <c r="C159" s="86"/>
      <c r="D159" s="86"/>
      <c r="E159" s="86"/>
      <c r="F159" s="86"/>
      <c r="G159" s="86"/>
      <c r="H159" s="86"/>
      <c r="I159" s="86"/>
      <c r="J159" s="86"/>
      <c r="K159" s="86"/>
    </row>
    <row r="160" spans="1:11">
      <c r="A160" s="86"/>
      <c r="B160" s="86"/>
      <c r="C160" s="86"/>
      <c r="D160" s="86"/>
      <c r="E160" s="86"/>
      <c r="F160" s="86"/>
      <c r="G160" s="86"/>
      <c r="H160" s="86"/>
      <c r="I160" s="86"/>
      <c r="J160" s="86"/>
      <c r="K160" s="86"/>
    </row>
    <row r="161" spans="1:11">
      <c r="A161" s="86"/>
      <c r="B161" s="86"/>
      <c r="C161" s="86"/>
      <c r="D161" s="86"/>
      <c r="E161" s="86"/>
      <c r="F161" s="86"/>
      <c r="G161" s="86"/>
      <c r="H161" s="86"/>
      <c r="I161" s="86"/>
      <c r="J161" s="86"/>
      <c r="K161" s="86"/>
    </row>
    <row r="162" spans="1:11">
      <c r="A162" s="86"/>
      <c r="B162" s="86"/>
      <c r="C162" s="86"/>
      <c r="D162" s="86"/>
      <c r="E162" s="86"/>
      <c r="F162" s="86"/>
      <c r="G162" s="86"/>
      <c r="H162" s="86"/>
      <c r="I162" s="86"/>
      <c r="J162" s="86"/>
      <c r="K162" s="86"/>
    </row>
    <row r="163" spans="1:11">
      <c r="A163" s="86"/>
      <c r="B163" s="86"/>
      <c r="C163" s="86"/>
      <c r="D163" s="86"/>
      <c r="E163" s="86"/>
      <c r="F163" s="86"/>
      <c r="G163" s="86"/>
      <c r="H163" s="86"/>
      <c r="I163" s="86"/>
      <c r="J163" s="86"/>
      <c r="K163" s="86"/>
    </row>
    <row r="164" spans="1:11">
      <c r="A164" s="86"/>
      <c r="B164" s="86"/>
      <c r="C164" s="86"/>
      <c r="D164" s="86"/>
      <c r="E164" s="86"/>
      <c r="F164" s="86"/>
      <c r="G164" s="86"/>
      <c r="H164" s="86"/>
      <c r="I164" s="86"/>
      <c r="J164" s="86"/>
      <c r="K164" s="86"/>
    </row>
    <row r="165" spans="1:11">
      <c r="A165" s="86"/>
      <c r="B165" s="86"/>
      <c r="C165" s="86"/>
      <c r="D165" s="86"/>
      <c r="E165" s="86"/>
      <c r="F165" s="86"/>
      <c r="G165" s="86"/>
      <c r="H165" s="86"/>
      <c r="I165" s="86"/>
      <c r="J165" s="86"/>
      <c r="K165" s="86"/>
    </row>
    <row r="166" spans="1:11">
      <c r="A166" s="86"/>
      <c r="B166" s="86"/>
      <c r="C166" s="86"/>
      <c r="D166" s="86"/>
      <c r="E166" s="86"/>
      <c r="F166" s="86"/>
      <c r="G166" s="86"/>
      <c r="H166" s="86"/>
      <c r="I166" s="86"/>
      <c r="J166" s="86"/>
      <c r="K166" s="86"/>
    </row>
    <row r="167" spans="1:11">
      <c r="A167" s="86"/>
      <c r="B167" s="86"/>
      <c r="C167" s="86"/>
      <c r="D167" s="86"/>
      <c r="E167" s="86"/>
      <c r="F167" s="86"/>
      <c r="G167" s="86"/>
      <c r="H167" s="86"/>
      <c r="I167" s="86"/>
      <c r="J167" s="86"/>
      <c r="K167" s="86"/>
    </row>
    <row r="168" spans="1:11">
      <c r="A168" s="86"/>
      <c r="B168" s="86"/>
      <c r="C168" s="86"/>
      <c r="D168" s="86"/>
      <c r="E168" s="86"/>
      <c r="F168" s="86"/>
      <c r="G168" s="86"/>
      <c r="H168" s="86"/>
      <c r="I168" s="86"/>
      <c r="J168" s="86"/>
      <c r="K168" s="86"/>
    </row>
    <row r="169" spans="1:11">
      <c r="A169" s="86"/>
      <c r="B169" s="86"/>
      <c r="C169" s="86"/>
      <c r="D169" s="86"/>
      <c r="E169" s="86"/>
      <c r="F169" s="86"/>
      <c r="G169" s="86"/>
      <c r="H169" s="86"/>
      <c r="I169" s="86"/>
      <c r="J169" s="86"/>
      <c r="K169" s="86"/>
    </row>
    <row r="170" spans="1:11">
      <c r="A170" s="86"/>
      <c r="B170" s="86"/>
      <c r="C170" s="86"/>
      <c r="D170" s="86"/>
      <c r="E170" s="86"/>
      <c r="F170" s="86"/>
      <c r="G170" s="86"/>
      <c r="H170" s="86"/>
      <c r="I170" s="86"/>
      <c r="J170" s="86"/>
      <c r="K170" s="86"/>
    </row>
    <row r="171" spans="1:11">
      <c r="A171" s="86"/>
      <c r="B171" s="86"/>
      <c r="C171" s="86"/>
      <c r="D171" s="86"/>
      <c r="E171" s="86"/>
      <c r="F171" s="86"/>
      <c r="G171" s="86"/>
      <c r="H171" s="86"/>
      <c r="I171" s="86"/>
      <c r="J171" s="86"/>
      <c r="K171" s="86"/>
    </row>
    <row r="172" spans="1:11">
      <c r="A172" s="86"/>
      <c r="B172" s="86"/>
      <c r="C172" s="86"/>
      <c r="D172" s="86"/>
      <c r="E172" s="86"/>
      <c r="F172" s="86"/>
      <c r="G172" s="86"/>
      <c r="H172" s="86"/>
      <c r="I172" s="86"/>
      <c r="J172" s="86"/>
      <c r="K172" s="86"/>
    </row>
    <row r="173" spans="1:11">
      <c r="A173" s="86"/>
      <c r="B173" s="86"/>
      <c r="C173" s="86"/>
      <c r="D173" s="86"/>
      <c r="E173" s="86"/>
      <c r="F173" s="86"/>
      <c r="G173" s="86"/>
      <c r="H173" s="86"/>
      <c r="I173" s="86"/>
      <c r="J173" s="86"/>
      <c r="K173" s="86"/>
    </row>
    <row r="174" spans="1:11">
      <c r="A174" s="86"/>
      <c r="B174" s="86"/>
      <c r="C174" s="86"/>
      <c r="D174" s="86"/>
      <c r="E174" s="86"/>
      <c r="F174" s="86"/>
      <c r="G174" s="86"/>
      <c r="H174" s="86"/>
      <c r="I174" s="86"/>
      <c r="J174" s="86"/>
      <c r="K174" s="86"/>
    </row>
    <row r="175" spans="1:11">
      <c r="A175" s="86"/>
      <c r="B175" s="86"/>
      <c r="C175" s="86"/>
      <c r="D175" s="86"/>
      <c r="E175" s="86"/>
      <c r="F175" s="86"/>
      <c r="G175" s="86"/>
      <c r="H175" s="86"/>
      <c r="I175" s="86"/>
      <c r="J175" s="86"/>
      <c r="K175" s="86"/>
    </row>
    <row r="176" spans="1:11">
      <c r="A176" s="86"/>
      <c r="B176" s="86"/>
      <c r="C176" s="86"/>
      <c r="D176" s="86"/>
      <c r="E176" s="86"/>
      <c r="F176" s="86"/>
      <c r="G176" s="86"/>
      <c r="H176" s="86"/>
      <c r="I176" s="86"/>
      <c r="J176" s="86"/>
      <c r="K176" s="86"/>
    </row>
    <row r="177" spans="1:11">
      <c r="A177" s="86"/>
      <c r="B177" s="86"/>
      <c r="C177" s="86"/>
      <c r="D177" s="86"/>
      <c r="E177" s="86"/>
      <c r="F177" s="86"/>
      <c r="G177" s="86"/>
      <c r="H177" s="86"/>
      <c r="I177" s="86"/>
      <c r="J177" s="86"/>
      <c r="K177" s="86"/>
    </row>
    <row r="178" spans="1:11">
      <c r="A178" s="86"/>
      <c r="B178" s="86"/>
      <c r="C178" s="86"/>
      <c r="D178" s="86"/>
      <c r="E178" s="86"/>
      <c r="F178" s="86"/>
      <c r="G178" s="86"/>
      <c r="H178" s="86"/>
      <c r="I178" s="86"/>
      <c r="J178" s="86"/>
      <c r="K178" s="86"/>
    </row>
    <row r="179" spans="1:11">
      <c r="A179" s="86"/>
      <c r="B179" s="86"/>
      <c r="C179" s="86"/>
      <c r="D179" s="86"/>
      <c r="E179" s="86"/>
      <c r="F179" s="86"/>
      <c r="G179" s="86"/>
      <c r="H179" s="86"/>
      <c r="I179" s="86"/>
      <c r="J179" s="86"/>
      <c r="K179" s="86"/>
    </row>
    <row r="180" spans="1:11">
      <c r="A180" s="86"/>
      <c r="B180" s="86"/>
      <c r="C180" s="86"/>
      <c r="D180" s="86"/>
      <c r="E180" s="86"/>
      <c r="F180" s="86"/>
      <c r="G180" s="86"/>
      <c r="H180" s="86"/>
      <c r="I180" s="86"/>
      <c r="J180" s="86"/>
      <c r="K180" s="86"/>
    </row>
    <row r="181" spans="1:11">
      <c r="A181" s="86"/>
      <c r="B181" s="86"/>
      <c r="C181" s="86"/>
      <c r="D181" s="86"/>
      <c r="E181" s="86"/>
      <c r="F181" s="86"/>
      <c r="G181" s="86"/>
      <c r="H181" s="86"/>
      <c r="I181" s="86"/>
      <c r="J181" s="86"/>
      <c r="K181" s="86"/>
    </row>
    <row r="182" spans="1:11">
      <c r="A182" s="86"/>
      <c r="B182" s="86"/>
      <c r="C182" s="86"/>
      <c r="D182" s="86"/>
      <c r="E182" s="86"/>
      <c r="F182" s="86"/>
      <c r="G182" s="86"/>
      <c r="H182" s="86"/>
      <c r="I182" s="86"/>
      <c r="J182" s="86"/>
      <c r="K182" s="86"/>
    </row>
    <row r="183" spans="1:11">
      <c r="A183" s="86"/>
      <c r="B183" s="86"/>
      <c r="C183" s="86"/>
      <c r="D183" s="86"/>
      <c r="E183" s="86"/>
      <c r="F183" s="86"/>
      <c r="G183" s="86"/>
      <c r="H183" s="86"/>
      <c r="I183" s="86"/>
      <c r="J183" s="86"/>
      <c r="K183" s="86"/>
    </row>
    <row r="184" spans="1:11">
      <c r="A184" s="86"/>
      <c r="B184" s="86"/>
      <c r="C184" s="86"/>
      <c r="D184" s="86"/>
      <c r="E184" s="86"/>
      <c r="F184" s="86"/>
      <c r="G184" s="86"/>
      <c r="H184" s="86"/>
      <c r="I184" s="86"/>
      <c r="J184" s="86"/>
      <c r="K184" s="86"/>
    </row>
    <row r="185" spans="1:11">
      <c r="A185" s="86"/>
      <c r="B185" s="86"/>
      <c r="C185" s="86"/>
      <c r="D185" s="86"/>
      <c r="E185" s="86"/>
      <c r="F185" s="86"/>
      <c r="G185" s="86"/>
      <c r="H185" s="86"/>
      <c r="I185" s="86"/>
      <c r="J185" s="86"/>
      <c r="K185" s="86"/>
    </row>
    <row r="186" spans="1:11">
      <c r="A186" s="86"/>
      <c r="B186" s="86"/>
      <c r="C186" s="86"/>
      <c r="D186" s="86"/>
      <c r="E186" s="86"/>
      <c r="F186" s="86"/>
      <c r="G186" s="86"/>
      <c r="H186" s="86"/>
      <c r="I186" s="86"/>
      <c r="J186" s="86"/>
      <c r="K186" s="86"/>
    </row>
    <row r="187" spans="1:11">
      <c r="A187" s="86"/>
      <c r="B187" s="86"/>
      <c r="C187" s="86"/>
      <c r="D187" s="86"/>
      <c r="E187" s="86"/>
      <c r="F187" s="86"/>
      <c r="G187" s="86"/>
      <c r="H187" s="86"/>
      <c r="I187" s="86"/>
      <c r="J187" s="86"/>
      <c r="K187" s="86"/>
    </row>
    <row r="188" spans="1:11">
      <c r="A188" s="86"/>
      <c r="B188" s="86"/>
      <c r="C188" s="86"/>
      <c r="D188" s="86"/>
      <c r="E188" s="86"/>
      <c r="F188" s="86"/>
      <c r="G188" s="86"/>
      <c r="H188" s="86"/>
      <c r="I188" s="86"/>
      <c r="J188" s="86"/>
      <c r="K188" s="86"/>
    </row>
    <row r="189" spans="1:11">
      <c r="A189" s="86"/>
      <c r="B189" s="86"/>
      <c r="C189" s="86"/>
      <c r="D189" s="86"/>
      <c r="E189" s="86"/>
      <c r="F189" s="86"/>
      <c r="G189" s="86"/>
      <c r="H189" s="86"/>
      <c r="I189" s="86"/>
      <c r="J189" s="86"/>
      <c r="K189" s="86"/>
    </row>
    <row r="190" spans="1:11">
      <c r="A190" s="86"/>
      <c r="B190" s="86"/>
      <c r="C190" s="86"/>
      <c r="D190" s="86"/>
      <c r="E190" s="86"/>
      <c r="F190" s="86"/>
      <c r="G190" s="86"/>
      <c r="H190" s="86"/>
      <c r="I190" s="86"/>
      <c r="J190" s="86"/>
      <c r="K190" s="86"/>
    </row>
    <row r="191" spans="1:11">
      <c r="A191" s="86"/>
      <c r="B191" s="86"/>
      <c r="C191" s="86"/>
      <c r="D191" s="86"/>
      <c r="E191" s="86"/>
      <c r="F191" s="86"/>
      <c r="G191" s="86"/>
      <c r="H191" s="86"/>
      <c r="I191" s="86"/>
      <c r="J191" s="86"/>
      <c r="K191" s="86"/>
    </row>
    <row r="192" spans="1:11">
      <c r="A192" s="86"/>
      <c r="B192" s="86"/>
      <c r="C192" s="86"/>
      <c r="D192" s="86"/>
      <c r="E192" s="86"/>
      <c r="F192" s="86"/>
      <c r="G192" s="86"/>
      <c r="H192" s="86"/>
      <c r="I192" s="86"/>
      <c r="J192" s="86"/>
      <c r="K192" s="86"/>
    </row>
    <row r="193" spans="1:11">
      <c r="A193" s="86"/>
      <c r="B193" s="86"/>
      <c r="C193" s="86"/>
      <c r="D193" s="86"/>
      <c r="E193" s="86"/>
      <c r="F193" s="86"/>
      <c r="G193" s="86"/>
      <c r="H193" s="86"/>
      <c r="I193" s="86"/>
      <c r="J193" s="86"/>
      <c r="K193" s="86"/>
    </row>
    <row r="194" spans="1:11">
      <c r="A194" s="86"/>
      <c r="B194" s="86"/>
      <c r="C194" s="86"/>
      <c r="D194" s="86"/>
      <c r="E194" s="86"/>
      <c r="F194" s="86"/>
      <c r="G194" s="86"/>
      <c r="H194" s="86"/>
      <c r="I194" s="86"/>
      <c r="J194" s="86"/>
      <c r="K194" s="86"/>
    </row>
    <row r="195" spans="1:11">
      <c r="A195" s="86"/>
      <c r="B195" s="86"/>
      <c r="C195" s="86"/>
      <c r="D195" s="86"/>
      <c r="E195" s="86"/>
      <c r="F195" s="86"/>
      <c r="G195" s="86"/>
      <c r="H195" s="86"/>
      <c r="I195" s="86"/>
      <c r="J195" s="86"/>
      <c r="K195" s="86"/>
    </row>
    <row r="196" spans="1:11">
      <c r="A196" s="86"/>
      <c r="B196" s="86"/>
      <c r="C196" s="86"/>
      <c r="D196" s="86"/>
      <c r="E196" s="86"/>
      <c r="F196" s="86"/>
      <c r="G196" s="86"/>
      <c r="H196" s="86"/>
      <c r="I196" s="86"/>
      <c r="J196" s="86"/>
      <c r="K196" s="86"/>
    </row>
    <row r="197" spans="1:11">
      <c r="A197" s="86"/>
      <c r="B197" s="86"/>
      <c r="C197" s="86"/>
      <c r="D197" s="86"/>
      <c r="E197" s="86"/>
      <c r="F197" s="86"/>
      <c r="G197" s="86"/>
      <c r="H197" s="86"/>
      <c r="I197" s="86"/>
      <c r="J197" s="86"/>
      <c r="K197" s="86"/>
    </row>
    <row r="198" spans="1:11">
      <c r="A198" s="86"/>
      <c r="B198" s="86"/>
      <c r="C198" s="86"/>
      <c r="D198" s="86"/>
      <c r="E198" s="86"/>
      <c r="F198" s="86"/>
      <c r="G198" s="86"/>
      <c r="H198" s="86"/>
      <c r="I198" s="86"/>
      <c r="J198" s="86"/>
      <c r="K198" s="86"/>
    </row>
    <row r="199" spans="1:11">
      <c r="A199" s="86"/>
      <c r="B199" s="86"/>
      <c r="C199" s="86"/>
      <c r="D199" s="86"/>
      <c r="E199" s="86"/>
      <c r="F199" s="86"/>
      <c r="G199" s="86"/>
      <c r="H199" s="86"/>
      <c r="I199" s="86"/>
      <c r="J199" s="86"/>
      <c r="K199" s="86"/>
    </row>
    <row r="200" spans="1:11">
      <c r="A200" s="86"/>
      <c r="B200" s="86"/>
      <c r="C200" s="86"/>
      <c r="D200" s="86"/>
      <c r="E200" s="86"/>
      <c r="F200" s="86"/>
      <c r="G200" s="86"/>
      <c r="H200" s="86"/>
      <c r="I200" s="86"/>
      <c r="J200" s="86"/>
      <c r="K200" s="86"/>
    </row>
    <row r="201" spans="1:11">
      <c r="A201" s="86"/>
      <c r="B201" s="86"/>
      <c r="C201" s="86"/>
      <c r="D201" s="86"/>
      <c r="E201" s="86"/>
      <c r="F201" s="86"/>
      <c r="G201" s="86"/>
      <c r="H201" s="86"/>
      <c r="I201" s="86"/>
      <c r="J201" s="86"/>
      <c r="K201" s="86"/>
    </row>
    <row r="202" spans="1:11">
      <c r="A202" s="86"/>
      <c r="B202" s="86"/>
      <c r="C202" s="86"/>
      <c r="D202" s="86"/>
      <c r="E202" s="86"/>
      <c r="F202" s="86"/>
      <c r="G202" s="86"/>
      <c r="H202" s="86"/>
      <c r="I202" s="86"/>
      <c r="J202" s="86"/>
      <c r="K202" s="86"/>
    </row>
    <row r="203" spans="1:11">
      <c r="A203" s="86"/>
      <c r="B203" s="86"/>
      <c r="C203" s="86"/>
      <c r="D203" s="86"/>
      <c r="E203" s="86"/>
      <c r="F203" s="86"/>
      <c r="G203" s="86"/>
      <c r="H203" s="86"/>
      <c r="I203" s="86"/>
      <c r="J203" s="86"/>
      <c r="K203" s="86"/>
    </row>
    <row r="204" spans="1:11">
      <c r="A204" s="86"/>
      <c r="B204" s="86"/>
      <c r="C204" s="86"/>
      <c r="D204" s="86"/>
      <c r="E204" s="86"/>
      <c r="F204" s="86"/>
      <c r="G204" s="86"/>
      <c r="H204" s="86"/>
      <c r="I204" s="86"/>
      <c r="J204" s="86"/>
      <c r="K204" s="86"/>
    </row>
    <row r="205" spans="1:11">
      <c r="A205" s="86"/>
      <c r="B205" s="86"/>
      <c r="C205" s="86"/>
      <c r="D205" s="86"/>
      <c r="E205" s="86"/>
      <c r="F205" s="86"/>
      <c r="G205" s="86"/>
      <c r="H205" s="86"/>
      <c r="I205" s="86"/>
      <c r="J205" s="86"/>
      <c r="K205" s="86"/>
    </row>
    <row r="206" spans="1:11">
      <c r="A206" s="86"/>
      <c r="B206" s="86"/>
      <c r="C206" s="86"/>
      <c r="D206" s="86"/>
      <c r="E206" s="86"/>
      <c r="F206" s="86"/>
      <c r="G206" s="86"/>
      <c r="H206" s="86"/>
      <c r="I206" s="86"/>
      <c r="J206" s="86"/>
      <c r="K206" s="86"/>
    </row>
    <row r="207" spans="1:11">
      <c r="A207" s="86"/>
      <c r="B207" s="86"/>
      <c r="C207" s="86"/>
      <c r="D207" s="86"/>
      <c r="E207" s="86"/>
      <c r="F207" s="86"/>
      <c r="G207" s="86"/>
      <c r="H207" s="86"/>
      <c r="I207" s="86"/>
      <c r="J207" s="86"/>
      <c r="K207" s="86"/>
    </row>
    <row r="208" spans="1:11">
      <c r="A208" s="86"/>
      <c r="B208" s="86"/>
      <c r="C208" s="86"/>
      <c r="D208" s="86"/>
      <c r="E208" s="86"/>
      <c r="F208" s="86"/>
      <c r="G208" s="86"/>
      <c r="H208" s="86"/>
      <c r="I208" s="86"/>
      <c r="J208" s="86"/>
      <c r="K208" s="86"/>
    </row>
    <row r="209" spans="1:11">
      <c r="A209" s="86"/>
      <c r="B209" s="86"/>
      <c r="C209" s="86"/>
      <c r="D209" s="86"/>
      <c r="E209" s="86"/>
      <c r="F209" s="86"/>
      <c r="G209" s="86"/>
      <c r="H209" s="86"/>
      <c r="I209" s="86"/>
      <c r="J209" s="86"/>
      <c r="K209" s="86"/>
    </row>
    <row r="210" spans="1:11">
      <c r="A210" s="86"/>
      <c r="B210" s="86"/>
      <c r="C210" s="86"/>
      <c r="D210" s="86"/>
      <c r="E210" s="86"/>
      <c r="F210" s="86"/>
      <c r="G210" s="86"/>
      <c r="H210" s="86"/>
      <c r="I210" s="86"/>
      <c r="J210" s="86"/>
      <c r="K210" s="86"/>
    </row>
    <row r="211" spans="1:11">
      <c r="A211" s="86"/>
      <c r="B211" s="86"/>
      <c r="C211" s="86"/>
      <c r="D211" s="86"/>
      <c r="E211" s="86"/>
      <c r="F211" s="86"/>
      <c r="G211" s="86"/>
      <c r="H211" s="86"/>
      <c r="I211" s="86"/>
      <c r="J211" s="86"/>
      <c r="K211" s="86"/>
    </row>
    <row r="212" spans="1:11">
      <c r="A212" s="86"/>
      <c r="B212" s="86"/>
      <c r="C212" s="86"/>
      <c r="D212" s="86"/>
      <c r="E212" s="86"/>
      <c r="F212" s="86"/>
      <c r="G212" s="86"/>
      <c r="H212" s="86"/>
      <c r="I212" s="86"/>
      <c r="J212" s="86"/>
      <c r="K212" s="86"/>
    </row>
    <row r="213" spans="1:11">
      <c r="A213" s="86"/>
      <c r="B213" s="86"/>
      <c r="C213" s="86"/>
      <c r="D213" s="86"/>
      <c r="E213" s="86"/>
      <c r="F213" s="86"/>
      <c r="G213" s="86"/>
      <c r="H213" s="86"/>
      <c r="I213" s="86"/>
      <c r="J213" s="86"/>
      <c r="K213" s="86"/>
    </row>
    <row r="214" spans="1:11">
      <c r="A214" s="86"/>
      <c r="B214" s="86"/>
      <c r="C214" s="86"/>
      <c r="D214" s="86"/>
      <c r="E214" s="86"/>
      <c r="F214" s="86"/>
      <c r="G214" s="86"/>
      <c r="H214" s="86"/>
      <c r="I214" s="86"/>
      <c r="J214" s="86"/>
      <c r="K214" s="86"/>
    </row>
    <row r="215" spans="1:11">
      <c r="A215" s="86"/>
      <c r="B215" s="86"/>
      <c r="C215" s="86"/>
      <c r="D215" s="86"/>
      <c r="E215" s="86"/>
      <c r="F215" s="86"/>
      <c r="G215" s="86"/>
      <c r="H215" s="86"/>
      <c r="I215" s="86"/>
      <c r="J215" s="86"/>
      <c r="K215" s="86"/>
    </row>
    <row r="216" spans="1:11">
      <c r="A216" s="86"/>
      <c r="B216" s="86"/>
      <c r="C216" s="86"/>
      <c r="D216" s="86"/>
      <c r="E216" s="86"/>
      <c r="F216" s="86"/>
      <c r="G216" s="86"/>
      <c r="H216" s="86"/>
      <c r="I216" s="86"/>
      <c r="J216" s="86"/>
      <c r="K216" s="86"/>
    </row>
    <row r="217" spans="1:11">
      <c r="A217" s="86"/>
      <c r="B217" s="86"/>
      <c r="C217" s="86"/>
      <c r="D217" s="86"/>
      <c r="E217" s="86"/>
      <c r="F217" s="86"/>
      <c r="G217" s="86"/>
      <c r="H217" s="86"/>
      <c r="I217" s="86"/>
      <c r="J217" s="86"/>
      <c r="K217" s="86"/>
    </row>
    <row r="218" spans="1:11">
      <c r="A218" s="86"/>
      <c r="B218" s="86"/>
      <c r="C218" s="86"/>
      <c r="D218" s="86"/>
      <c r="E218" s="86"/>
      <c r="F218" s="86"/>
      <c r="G218" s="86"/>
      <c r="H218" s="86"/>
      <c r="I218" s="86"/>
      <c r="J218" s="86"/>
      <c r="K218" s="86"/>
    </row>
    <row r="219" spans="1:11">
      <c r="A219" s="86"/>
      <c r="B219" s="86"/>
      <c r="C219" s="86"/>
      <c r="D219" s="86"/>
      <c r="E219" s="86"/>
      <c r="F219" s="86"/>
      <c r="G219" s="86"/>
      <c r="H219" s="86"/>
      <c r="I219" s="86"/>
      <c r="J219" s="86"/>
      <c r="K219" s="86"/>
    </row>
    <row r="220" spans="1:11">
      <c r="A220" s="86"/>
      <c r="B220" s="86"/>
      <c r="C220" s="86"/>
      <c r="D220" s="86"/>
      <c r="E220" s="86"/>
      <c r="F220" s="86"/>
      <c r="G220" s="86"/>
      <c r="H220" s="86"/>
      <c r="I220" s="86"/>
      <c r="J220" s="86"/>
      <c r="K220" s="86"/>
    </row>
    <row r="221" spans="1:11">
      <c r="A221" s="86"/>
      <c r="B221" s="86"/>
      <c r="C221" s="86"/>
      <c r="D221" s="86"/>
      <c r="E221" s="86"/>
      <c r="F221" s="86"/>
      <c r="G221" s="86"/>
      <c r="H221" s="86"/>
      <c r="I221" s="86"/>
      <c r="J221" s="86"/>
      <c r="K221" s="86"/>
    </row>
    <row r="222" spans="1:11">
      <c r="A222" s="86"/>
      <c r="B222" s="86"/>
      <c r="C222" s="86"/>
      <c r="D222" s="86"/>
      <c r="E222" s="86"/>
      <c r="F222" s="86"/>
      <c r="G222" s="86"/>
      <c r="H222" s="86"/>
      <c r="I222" s="86"/>
      <c r="J222" s="86"/>
      <c r="K222" s="86"/>
    </row>
    <row r="223" spans="1:11">
      <c r="A223" s="86"/>
      <c r="B223" s="86"/>
      <c r="C223" s="86"/>
      <c r="D223" s="86"/>
      <c r="E223" s="86"/>
      <c r="F223" s="86"/>
      <c r="G223" s="86"/>
      <c r="H223" s="86"/>
      <c r="I223" s="86"/>
      <c r="J223" s="86"/>
      <c r="K223" s="86"/>
    </row>
    <row r="224" spans="1:11">
      <c r="A224" s="86"/>
      <c r="B224" s="86"/>
      <c r="C224" s="86"/>
      <c r="D224" s="86"/>
      <c r="E224" s="86"/>
      <c r="F224" s="86"/>
      <c r="G224" s="86"/>
      <c r="H224" s="86"/>
      <c r="I224" s="86"/>
      <c r="J224" s="86"/>
      <c r="K224" s="86"/>
    </row>
    <row r="225" spans="1:11">
      <c r="A225" s="86"/>
      <c r="B225" s="86"/>
      <c r="C225" s="86"/>
      <c r="D225" s="86"/>
      <c r="E225" s="86"/>
      <c r="F225" s="86"/>
      <c r="G225" s="86"/>
      <c r="H225" s="86"/>
      <c r="I225" s="86"/>
      <c r="J225" s="86"/>
      <c r="K225" s="86"/>
    </row>
    <row r="226" spans="1:11">
      <c r="A226" s="86"/>
      <c r="B226" s="86"/>
      <c r="C226" s="86"/>
      <c r="D226" s="86"/>
      <c r="E226" s="86"/>
      <c r="F226" s="86"/>
      <c r="G226" s="86"/>
      <c r="H226" s="86"/>
      <c r="I226" s="86"/>
      <c r="J226" s="86"/>
      <c r="K226" s="86"/>
    </row>
    <row r="227" spans="1:11">
      <c r="A227" s="86"/>
      <c r="B227" s="86"/>
      <c r="C227" s="86"/>
      <c r="D227" s="86"/>
      <c r="E227" s="86"/>
      <c r="F227" s="86"/>
      <c r="G227" s="86"/>
      <c r="H227" s="86"/>
      <c r="I227" s="86"/>
      <c r="J227" s="86"/>
      <c r="K227" s="86"/>
    </row>
    <row r="228" spans="1:11">
      <c r="A228" s="86"/>
      <c r="B228" s="86"/>
      <c r="C228" s="86"/>
      <c r="D228" s="86"/>
      <c r="E228" s="86"/>
      <c r="F228" s="86"/>
      <c r="G228" s="86"/>
      <c r="H228" s="86"/>
      <c r="I228" s="86"/>
      <c r="J228" s="86"/>
      <c r="K228" s="86"/>
    </row>
    <row r="229" spans="1:11">
      <c r="A229" s="86"/>
      <c r="B229" s="86"/>
      <c r="C229" s="86"/>
      <c r="D229" s="86"/>
      <c r="E229" s="86"/>
      <c r="F229" s="86"/>
      <c r="G229" s="86"/>
      <c r="H229" s="86"/>
      <c r="I229" s="86"/>
      <c r="J229" s="86"/>
      <c r="K229" s="86"/>
    </row>
    <row r="230" spans="1:11">
      <c r="A230" s="86"/>
      <c r="B230" s="86"/>
      <c r="C230" s="86"/>
      <c r="D230" s="86"/>
      <c r="E230" s="86"/>
      <c r="F230" s="86"/>
      <c r="G230" s="86"/>
      <c r="H230" s="86"/>
      <c r="I230" s="86"/>
      <c r="J230" s="86"/>
      <c r="K230" s="86"/>
    </row>
    <row r="231" spans="1:11">
      <c r="A231" s="86"/>
      <c r="B231" s="86"/>
      <c r="C231" s="86"/>
      <c r="D231" s="86"/>
      <c r="E231" s="86"/>
      <c r="F231" s="86"/>
      <c r="G231" s="86"/>
      <c r="H231" s="86"/>
      <c r="I231" s="86"/>
      <c r="J231" s="86"/>
      <c r="K231" s="86"/>
    </row>
    <row r="232" spans="1:11">
      <c r="A232" s="86"/>
      <c r="B232" s="86"/>
      <c r="C232" s="86"/>
      <c r="D232" s="86"/>
      <c r="E232" s="86"/>
      <c r="F232" s="86"/>
      <c r="G232" s="86"/>
      <c r="H232" s="86"/>
      <c r="I232" s="86"/>
      <c r="J232" s="86"/>
      <c r="K232" s="86"/>
    </row>
    <row r="233" spans="1:11">
      <c r="A233" s="86"/>
      <c r="B233" s="86"/>
      <c r="C233" s="86"/>
      <c r="D233" s="86"/>
      <c r="E233" s="86"/>
      <c r="F233" s="86"/>
      <c r="G233" s="86"/>
      <c r="H233" s="86"/>
      <c r="I233" s="86"/>
      <c r="J233" s="86"/>
      <c r="K233" s="86"/>
    </row>
    <row r="234" spans="1:11">
      <c r="A234" s="86"/>
      <c r="B234" s="86"/>
      <c r="C234" s="86"/>
      <c r="D234" s="86"/>
      <c r="E234" s="86"/>
      <c r="F234" s="86"/>
      <c r="G234" s="86"/>
      <c r="H234" s="86"/>
      <c r="I234" s="86"/>
      <c r="J234" s="86"/>
      <c r="K234" s="86"/>
    </row>
    <row r="235" spans="1:11">
      <c r="A235" s="86"/>
      <c r="B235" s="86"/>
      <c r="C235" s="86"/>
      <c r="D235" s="86"/>
      <c r="E235" s="86"/>
      <c r="F235" s="86"/>
      <c r="G235" s="86"/>
      <c r="H235" s="86"/>
      <c r="I235" s="86"/>
      <c r="J235" s="86"/>
      <c r="K235" s="86"/>
    </row>
    <row r="236" spans="1:11">
      <c r="A236" s="86"/>
      <c r="B236" s="86"/>
      <c r="C236" s="86"/>
      <c r="D236" s="86"/>
      <c r="E236" s="86"/>
      <c r="F236" s="86"/>
      <c r="G236" s="86"/>
      <c r="H236" s="86"/>
      <c r="I236" s="86"/>
      <c r="J236" s="86"/>
      <c r="K236" s="86"/>
    </row>
    <row r="237" spans="1:11">
      <c r="A237" s="86"/>
      <c r="B237" s="86"/>
      <c r="C237" s="86"/>
      <c r="D237" s="86"/>
      <c r="E237" s="86"/>
      <c r="F237" s="86"/>
      <c r="G237" s="86"/>
      <c r="H237" s="86"/>
      <c r="I237" s="86"/>
      <c r="J237" s="86"/>
      <c r="K237" s="86"/>
    </row>
    <row r="238" spans="1:11">
      <c r="A238" s="86"/>
      <c r="B238" s="86"/>
      <c r="C238" s="86"/>
      <c r="D238" s="86"/>
      <c r="E238" s="86"/>
      <c r="F238" s="86"/>
      <c r="G238" s="86"/>
      <c r="H238" s="86"/>
      <c r="I238" s="86"/>
      <c r="J238" s="86"/>
      <c r="K238" s="86"/>
    </row>
    <row r="239" spans="1:11">
      <c r="A239" s="86"/>
      <c r="B239" s="86"/>
      <c r="C239" s="86"/>
      <c r="D239" s="86"/>
      <c r="E239" s="86"/>
      <c r="F239" s="86"/>
      <c r="G239" s="86"/>
      <c r="H239" s="86"/>
      <c r="I239" s="86"/>
      <c r="J239" s="86"/>
      <c r="K239" s="86"/>
    </row>
    <row r="240" spans="1:11">
      <c r="A240" s="86"/>
      <c r="B240" s="86"/>
      <c r="C240" s="86"/>
      <c r="D240" s="86"/>
      <c r="E240" s="86"/>
      <c r="F240" s="86"/>
      <c r="G240" s="86"/>
      <c r="H240" s="86"/>
      <c r="I240" s="86"/>
      <c r="J240" s="86"/>
      <c r="K240" s="86"/>
    </row>
    <row r="241" spans="1:11">
      <c r="A241" s="86"/>
      <c r="B241" s="86"/>
      <c r="C241" s="86"/>
      <c r="D241" s="86"/>
      <c r="E241" s="86"/>
      <c r="F241" s="86"/>
      <c r="G241" s="86"/>
      <c r="H241" s="86"/>
      <c r="I241" s="86"/>
      <c r="J241" s="86"/>
      <c r="K241" s="86"/>
    </row>
    <row r="242" spans="1:11">
      <c r="A242" s="86"/>
      <c r="B242" s="86"/>
      <c r="C242" s="86"/>
      <c r="D242" s="86"/>
      <c r="E242" s="86"/>
      <c r="F242" s="86"/>
      <c r="G242" s="86"/>
      <c r="H242" s="86"/>
      <c r="I242" s="86"/>
      <c r="J242" s="86"/>
      <c r="K242" s="86"/>
    </row>
    <row r="243" spans="1:11">
      <c r="A243" s="86"/>
      <c r="B243" s="86"/>
      <c r="C243" s="86"/>
      <c r="D243" s="86"/>
      <c r="E243" s="86"/>
      <c r="F243" s="86"/>
      <c r="G243" s="86"/>
      <c r="H243" s="86"/>
      <c r="I243" s="86"/>
      <c r="J243" s="86"/>
      <c r="K243" s="86"/>
    </row>
    <row r="244" spans="1:11">
      <c r="A244" s="86"/>
      <c r="B244" s="86"/>
      <c r="C244" s="86"/>
      <c r="D244" s="86"/>
      <c r="E244" s="86"/>
      <c r="F244" s="86"/>
      <c r="G244" s="86"/>
      <c r="H244" s="86"/>
      <c r="I244" s="86"/>
      <c r="J244" s="86"/>
      <c r="K244" s="86"/>
    </row>
    <row r="245" spans="1:11">
      <c r="A245" s="86"/>
      <c r="B245" s="86"/>
      <c r="C245" s="86"/>
      <c r="D245" s="86"/>
      <c r="E245" s="86"/>
      <c r="F245" s="86"/>
      <c r="G245" s="86"/>
      <c r="H245" s="86"/>
      <c r="I245" s="86"/>
      <c r="J245" s="86"/>
      <c r="K245" s="86"/>
    </row>
    <row r="246" spans="1:11">
      <c r="A246" s="86"/>
      <c r="B246" s="86"/>
      <c r="C246" s="86"/>
      <c r="D246" s="86"/>
      <c r="E246" s="86"/>
      <c r="F246" s="86"/>
      <c r="G246" s="86"/>
      <c r="H246" s="86"/>
      <c r="I246" s="86"/>
      <c r="J246" s="86"/>
      <c r="K246" s="86"/>
    </row>
    <row r="247" spans="1:11">
      <c r="A247" s="86"/>
      <c r="B247" s="86"/>
      <c r="C247" s="86"/>
      <c r="D247" s="86"/>
      <c r="E247" s="86"/>
      <c r="F247" s="86"/>
      <c r="G247" s="86"/>
      <c r="H247" s="86"/>
      <c r="I247" s="86"/>
      <c r="J247" s="86"/>
      <c r="K247" s="86"/>
    </row>
    <row r="248" spans="1:11">
      <c r="A248" s="86"/>
      <c r="B248" s="86"/>
      <c r="C248" s="86"/>
      <c r="D248" s="86"/>
      <c r="E248" s="86"/>
      <c r="F248" s="86"/>
      <c r="G248" s="86"/>
      <c r="H248" s="86"/>
      <c r="I248" s="86"/>
      <c r="J248" s="86"/>
      <c r="K248" s="86"/>
    </row>
    <row r="249" spans="1:11">
      <c r="A249" s="86"/>
      <c r="B249" s="86"/>
      <c r="C249" s="86"/>
      <c r="D249" s="86"/>
      <c r="E249" s="86"/>
      <c r="F249" s="86"/>
      <c r="G249" s="86"/>
      <c r="H249" s="86"/>
      <c r="I249" s="86"/>
      <c r="J249" s="86"/>
      <c r="K249" s="86"/>
    </row>
    <row r="250" spans="1:11">
      <c r="A250" s="86"/>
      <c r="B250" s="86"/>
      <c r="C250" s="86"/>
      <c r="D250" s="86"/>
      <c r="E250" s="86"/>
      <c r="F250" s="86"/>
      <c r="G250" s="86"/>
      <c r="H250" s="86"/>
      <c r="I250" s="86"/>
      <c r="J250" s="86"/>
      <c r="K250" s="86"/>
    </row>
    <row r="251" spans="1:11">
      <c r="A251" s="86"/>
      <c r="B251" s="86"/>
      <c r="C251" s="86"/>
      <c r="D251" s="86"/>
      <c r="E251" s="86"/>
      <c r="F251" s="86"/>
      <c r="G251" s="86"/>
      <c r="H251" s="86"/>
      <c r="I251" s="86"/>
      <c r="J251" s="86"/>
      <c r="K251" s="86"/>
    </row>
    <row r="252" spans="1:11">
      <c r="A252" s="86"/>
      <c r="B252" s="86"/>
      <c r="C252" s="86"/>
      <c r="D252" s="86"/>
      <c r="E252" s="86"/>
      <c r="F252" s="86"/>
      <c r="G252" s="86"/>
      <c r="H252" s="86"/>
      <c r="I252" s="86"/>
      <c r="J252" s="86"/>
      <c r="K252" s="86"/>
    </row>
    <row r="253" spans="1:11">
      <c r="A253" s="86"/>
      <c r="B253" s="86"/>
      <c r="C253" s="86"/>
      <c r="D253" s="86"/>
      <c r="E253" s="86"/>
      <c r="F253" s="86"/>
      <c r="G253" s="86"/>
      <c r="H253" s="86"/>
      <c r="I253" s="86"/>
      <c r="J253" s="86"/>
      <c r="K253" s="86"/>
    </row>
    <row r="254" spans="1:11">
      <c r="A254" s="86"/>
      <c r="B254" s="86"/>
      <c r="C254" s="86"/>
      <c r="D254" s="86"/>
      <c r="E254" s="86"/>
      <c r="F254" s="86"/>
      <c r="G254" s="86"/>
      <c r="H254" s="86"/>
      <c r="I254" s="86"/>
      <c r="J254" s="86"/>
      <c r="K254" s="86"/>
    </row>
    <row r="255" spans="1:11">
      <c r="A255" s="86"/>
      <c r="B255" s="86"/>
      <c r="C255" s="86"/>
      <c r="D255" s="86"/>
      <c r="E255" s="86"/>
      <c r="F255" s="86"/>
      <c r="G255" s="86"/>
      <c r="H255" s="86"/>
      <c r="I255" s="86"/>
      <c r="J255" s="86"/>
      <c r="K255" s="86"/>
    </row>
    <row r="256" spans="1:11">
      <c r="A256" s="86"/>
      <c r="B256" s="86"/>
      <c r="C256" s="86"/>
      <c r="D256" s="86"/>
      <c r="E256" s="86"/>
      <c r="F256" s="86"/>
      <c r="G256" s="86"/>
      <c r="H256" s="86"/>
      <c r="I256" s="86"/>
      <c r="J256" s="86"/>
      <c r="K256" s="86"/>
    </row>
    <row r="257" spans="1:11">
      <c r="A257" s="86"/>
      <c r="B257" s="86"/>
      <c r="C257" s="86"/>
      <c r="D257" s="86"/>
      <c r="E257" s="86"/>
      <c r="F257" s="86"/>
      <c r="G257" s="86"/>
      <c r="H257" s="86"/>
      <c r="I257" s="86"/>
      <c r="J257" s="86"/>
      <c r="K257" s="86"/>
    </row>
    <row r="258" spans="1:11">
      <c r="A258" s="86"/>
      <c r="B258" s="86"/>
      <c r="C258" s="86"/>
      <c r="D258" s="86"/>
      <c r="E258" s="86"/>
      <c r="F258" s="86"/>
      <c r="G258" s="86"/>
      <c r="H258" s="86"/>
      <c r="I258" s="86"/>
      <c r="J258" s="86"/>
      <c r="K258" s="86"/>
    </row>
    <row r="259" spans="1:11">
      <c r="A259" s="86"/>
      <c r="B259" s="86"/>
      <c r="C259" s="86"/>
      <c r="D259" s="86"/>
      <c r="E259" s="86"/>
      <c r="F259" s="86"/>
      <c r="G259" s="86"/>
      <c r="H259" s="86"/>
      <c r="I259" s="86"/>
      <c r="J259" s="86"/>
      <c r="K259" s="86"/>
    </row>
    <row r="260" spans="1:11">
      <c r="A260" s="86"/>
      <c r="B260" s="86"/>
      <c r="C260" s="86"/>
      <c r="D260" s="86"/>
      <c r="E260" s="86"/>
      <c r="F260" s="86"/>
      <c r="G260" s="86"/>
      <c r="H260" s="86"/>
      <c r="I260" s="86"/>
      <c r="J260" s="86"/>
      <c r="K260" s="86"/>
    </row>
  </sheetData>
  <phoneticPr fontId="0" type="noConversion"/>
  <pageMargins left="0.4" right="0.4" top="0.3" bottom="0.3" header="0.5" footer="0.5"/>
  <pageSetup scale="75" orientation="landscape"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18"/>
  <dimension ref="A1:I8138"/>
  <sheetViews>
    <sheetView zoomScaleNormal="100" workbookViewId="0">
      <pane xSplit="1" ySplit="8" topLeftCell="B9" activePane="bottomRight" state="frozen"/>
      <selection activeCell="M41" sqref="M41"/>
      <selection pane="topRight" activeCell="M41" sqref="M41"/>
      <selection pane="bottomLeft" activeCell="M41" sqref="M41"/>
      <selection pane="bottomRight" activeCell="I41" sqref="I41"/>
    </sheetView>
  </sheetViews>
  <sheetFormatPr defaultColWidth="9.77734375" defaultRowHeight="15"/>
  <cols>
    <col min="1" max="1" width="25.77734375" customWidth="1"/>
    <col min="2" max="2" width="10.77734375" style="1393" customWidth="1"/>
    <col min="3" max="6" width="9.77734375" style="1393"/>
    <col min="7" max="8" width="10.77734375" style="1393" customWidth="1"/>
    <col min="9" max="9" width="13.88671875" style="1393" customWidth="1"/>
  </cols>
  <sheetData>
    <row r="1" spans="1:9" ht="15.75" thickBot="1">
      <c r="A1" t="str">
        <f>'Data sheet'!A63</f>
        <v>Annual Report of Veolia Water New York, Inc.                                                                             Year Ended  December 31, 2023</v>
      </c>
      <c r="B1"/>
      <c r="C1"/>
      <c r="D1"/>
      <c r="E1"/>
      <c r="F1"/>
      <c r="G1"/>
      <c r="H1"/>
      <c r="I1"/>
    </row>
    <row r="2" spans="1:9">
      <c r="A2" s="80"/>
      <c r="B2" s="1483"/>
      <c r="C2" s="1483"/>
      <c r="D2" s="1483"/>
      <c r="E2" s="1483"/>
      <c r="F2" s="1483"/>
      <c r="G2" s="1483"/>
      <c r="H2" s="1483"/>
      <c r="I2" s="1484"/>
    </row>
    <row r="3" spans="1:9" ht="15.75">
      <c r="A3" s="793" t="s">
        <v>1099</v>
      </c>
      <c r="B3" s="1485"/>
      <c r="C3" s="1485"/>
      <c r="D3" s="1485"/>
      <c r="E3" s="1485"/>
      <c r="F3" s="1485"/>
      <c r="G3" s="1485"/>
      <c r="H3" s="1485"/>
      <c r="I3" s="1486"/>
    </row>
    <row r="4" spans="1:9">
      <c r="A4" s="123"/>
      <c r="B4" s="1487"/>
      <c r="C4" s="1487"/>
      <c r="D4" s="1487"/>
      <c r="E4" s="1487"/>
      <c r="F4" s="1487"/>
      <c r="G4" s="1487"/>
      <c r="H4" s="1487"/>
      <c r="I4" s="1488"/>
    </row>
    <row r="5" spans="1:9">
      <c r="A5" s="234"/>
      <c r="B5" s="1393" t="s">
        <v>4147</v>
      </c>
      <c r="C5" s="1489" t="s">
        <v>4148</v>
      </c>
      <c r="D5" s="1490"/>
      <c r="E5" s="1489" t="s">
        <v>4149</v>
      </c>
      <c r="F5" s="1491"/>
      <c r="G5" s="1346" t="s">
        <v>3062</v>
      </c>
      <c r="H5" s="1490" t="s">
        <v>512</v>
      </c>
      <c r="I5" s="1492"/>
    </row>
    <row r="6" spans="1:9">
      <c r="A6" s="479" t="s">
        <v>3055</v>
      </c>
      <c r="B6" s="1393" t="s">
        <v>1089</v>
      </c>
      <c r="C6" s="1387" t="s">
        <v>202</v>
      </c>
      <c r="D6" s="1387"/>
      <c r="E6" s="1387" t="s">
        <v>202</v>
      </c>
      <c r="F6" s="1387"/>
      <c r="G6" s="1346" t="s">
        <v>250</v>
      </c>
      <c r="H6" s="1490"/>
      <c r="I6" s="1492"/>
    </row>
    <row r="7" spans="1:9">
      <c r="A7" s="479" t="s">
        <v>2185</v>
      </c>
      <c r="B7" s="1393" t="s">
        <v>1092</v>
      </c>
      <c r="C7" s="1387" t="s">
        <v>1093</v>
      </c>
      <c r="D7" s="1387" t="s">
        <v>2817</v>
      </c>
      <c r="E7" s="1387" t="s">
        <v>1093</v>
      </c>
      <c r="F7" s="1387" t="s">
        <v>2817</v>
      </c>
      <c r="G7" s="1346" t="s">
        <v>1094</v>
      </c>
      <c r="I7" s="1418" t="s">
        <v>79</v>
      </c>
    </row>
    <row r="8" spans="1:9">
      <c r="A8" s="234"/>
      <c r="B8" s="1393" t="s">
        <v>3071</v>
      </c>
      <c r="C8" s="1387" t="s">
        <v>1097</v>
      </c>
      <c r="D8" s="1387" t="s">
        <v>3071</v>
      </c>
      <c r="E8" s="1387" t="s">
        <v>1097</v>
      </c>
      <c r="F8" s="1387" t="s">
        <v>3071</v>
      </c>
      <c r="G8" s="1346" t="s">
        <v>3071</v>
      </c>
      <c r="H8" s="1393" t="s">
        <v>513</v>
      </c>
      <c r="I8" s="2164" t="s">
        <v>5433</v>
      </c>
    </row>
    <row r="9" spans="1:9">
      <c r="A9" s="234"/>
      <c r="C9" s="1387"/>
      <c r="D9" s="1346"/>
      <c r="E9" s="1346"/>
      <c r="F9" s="1346"/>
      <c r="G9" s="1346"/>
      <c r="H9" s="1837"/>
      <c r="I9" s="1838"/>
    </row>
    <row r="10" spans="1:9">
      <c r="A10" s="234" t="s">
        <v>2861</v>
      </c>
      <c r="B10" s="1393">
        <v>4</v>
      </c>
      <c r="C10" s="1387">
        <v>2</v>
      </c>
      <c r="D10" s="1346" t="s">
        <v>510</v>
      </c>
      <c r="E10" s="1346">
        <v>1</v>
      </c>
      <c r="F10" s="1346">
        <v>4.5</v>
      </c>
      <c r="G10" s="1346">
        <v>4</v>
      </c>
      <c r="H10" s="1837">
        <v>73</v>
      </c>
      <c r="I10" s="1838">
        <v>83</v>
      </c>
    </row>
    <row r="11" spans="1:9">
      <c r="A11" s="234"/>
      <c r="B11" s="1393">
        <v>6</v>
      </c>
      <c r="C11" s="1387">
        <v>2</v>
      </c>
      <c r="D11" s="1346" t="s">
        <v>510</v>
      </c>
      <c r="E11" s="1346">
        <v>1</v>
      </c>
      <c r="F11" s="1346">
        <v>4.5</v>
      </c>
      <c r="G11" s="1346">
        <v>6</v>
      </c>
      <c r="H11" s="1837">
        <v>2005</v>
      </c>
      <c r="I11" s="1838">
        <v>2026</v>
      </c>
    </row>
    <row r="12" spans="1:9" ht="15.75" thickBot="1">
      <c r="A12" s="234"/>
      <c r="B12" s="1393">
        <v>8</v>
      </c>
      <c r="C12" s="1387">
        <v>2</v>
      </c>
      <c r="D12" s="1346" t="s">
        <v>510</v>
      </c>
      <c r="E12" s="1346">
        <v>1</v>
      </c>
      <c r="F12" s="1346">
        <v>4.5</v>
      </c>
      <c r="G12" s="1346">
        <v>8</v>
      </c>
      <c r="H12" s="1837">
        <v>1</v>
      </c>
      <c r="I12" s="1838">
        <v>1</v>
      </c>
    </row>
    <row r="13" spans="1:9" ht="15.75" thickBot="1">
      <c r="A13" s="1498" t="s">
        <v>1738</v>
      </c>
      <c r="B13" s="1483"/>
      <c r="C13" s="1429"/>
      <c r="D13" s="1429"/>
      <c r="E13" s="1429"/>
      <c r="F13" s="1429"/>
      <c r="G13" s="1401"/>
      <c r="H13" s="1841">
        <f>SUM(H10:H12)</f>
        <v>2079</v>
      </c>
      <c r="I13" s="1842">
        <f t="shared" ref="I13" si="0">SUM(I10:I12)</f>
        <v>2110</v>
      </c>
    </row>
    <row r="14" spans="1:9">
      <c r="A14" s="1507"/>
      <c r="C14" s="1387"/>
      <c r="D14" s="1387"/>
      <c r="E14" s="1387"/>
      <c r="F14" s="1387"/>
      <c r="G14" s="1346"/>
      <c r="H14" s="1845"/>
      <c r="I14" s="1846"/>
    </row>
    <row r="15" spans="1:9">
      <c r="A15" s="234" t="s">
        <v>1346</v>
      </c>
      <c r="B15" s="1393">
        <v>4</v>
      </c>
      <c r="C15" s="1387">
        <v>2</v>
      </c>
      <c r="D15" s="1387" t="s">
        <v>510</v>
      </c>
      <c r="E15" s="1387">
        <v>1</v>
      </c>
      <c r="F15" s="1346" t="s">
        <v>511</v>
      </c>
      <c r="G15" s="1346">
        <v>4</v>
      </c>
      <c r="H15" s="1844">
        <v>25</v>
      </c>
      <c r="I15" s="1838">
        <v>28</v>
      </c>
    </row>
    <row r="16" spans="1:9" ht="15.75" thickBot="1">
      <c r="A16" s="235"/>
      <c r="B16" s="1493">
        <v>6</v>
      </c>
      <c r="C16" s="1500">
        <v>2</v>
      </c>
      <c r="D16" s="1500" t="s">
        <v>510</v>
      </c>
      <c r="E16" s="1500">
        <v>1</v>
      </c>
      <c r="F16" s="1497" t="s">
        <v>511</v>
      </c>
      <c r="G16" s="1497">
        <v>6</v>
      </c>
      <c r="H16" s="1839">
        <v>190</v>
      </c>
      <c r="I16" s="1840">
        <v>191</v>
      </c>
    </row>
    <row r="17" spans="1:9" ht="15.75" thickBot="1">
      <c r="A17" s="1507" t="s">
        <v>1738</v>
      </c>
      <c r="C17" s="1387"/>
      <c r="D17" s="1387"/>
      <c r="E17" s="1387"/>
      <c r="F17" s="1387"/>
      <c r="G17" s="1346"/>
      <c r="H17" s="1847">
        <f>SUM(H15:H16)</f>
        <v>215</v>
      </c>
      <c r="I17" s="1840">
        <f t="shared" ref="I17" si="1">SUM(I15:I16)</f>
        <v>219</v>
      </c>
    </row>
    <row r="18" spans="1:9">
      <c r="A18" s="1507"/>
      <c r="C18" s="1387"/>
      <c r="D18" s="1387"/>
      <c r="E18" s="1387"/>
      <c r="F18" s="1387"/>
      <c r="G18" s="1346"/>
      <c r="H18" s="1845"/>
      <c r="I18" s="1846"/>
    </row>
    <row r="19" spans="1:9">
      <c r="A19" s="234" t="s">
        <v>1649</v>
      </c>
      <c r="B19" s="1393">
        <v>4</v>
      </c>
      <c r="C19" s="1387">
        <v>1</v>
      </c>
      <c r="D19" s="1346" t="s">
        <v>510</v>
      </c>
      <c r="E19" s="1346">
        <v>1</v>
      </c>
      <c r="F19" s="1346" t="s">
        <v>511</v>
      </c>
      <c r="G19" s="1346">
        <v>4</v>
      </c>
      <c r="H19" s="1837">
        <v>78</v>
      </c>
      <c r="I19" s="1838">
        <v>78</v>
      </c>
    </row>
    <row r="20" spans="1:9">
      <c r="A20" s="234"/>
      <c r="B20" s="1393">
        <v>4</v>
      </c>
      <c r="C20" s="1387">
        <v>2</v>
      </c>
      <c r="D20" s="1346" t="s">
        <v>510</v>
      </c>
      <c r="E20" s="1346">
        <v>1</v>
      </c>
      <c r="F20" s="1346" t="s">
        <v>511</v>
      </c>
      <c r="G20" s="1346">
        <v>4</v>
      </c>
      <c r="H20" s="1837">
        <v>5</v>
      </c>
      <c r="I20" s="1838">
        <v>5</v>
      </c>
    </row>
    <row r="21" spans="1:9">
      <c r="A21" s="234"/>
      <c r="B21" s="1393">
        <v>4</v>
      </c>
      <c r="C21" s="1387">
        <v>2</v>
      </c>
      <c r="D21" s="1346" t="s">
        <v>510</v>
      </c>
      <c r="E21" s="1346">
        <v>1</v>
      </c>
      <c r="F21" s="1346" t="s">
        <v>511</v>
      </c>
      <c r="G21" s="1346">
        <v>6</v>
      </c>
      <c r="H21" s="1837">
        <v>758</v>
      </c>
      <c r="I21" s="1838">
        <v>760</v>
      </c>
    </row>
    <row r="22" spans="1:9">
      <c r="A22" s="900"/>
      <c r="B22" s="1393" t="s">
        <v>511</v>
      </c>
      <c r="C22" s="1387">
        <v>2</v>
      </c>
      <c r="D22" s="1346" t="s">
        <v>510</v>
      </c>
      <c r="E22" s="1346">
        <v>1</v>
      </c>
      <c r="F22" s="1346" t="s">
        <v>511</v>
      </c>
      <c r="G22" s="1346">
        <v>6</v>
      </c>
      <c r="H22" s="1837">
        <v>102</v>
      </c>
      <c r="I22" s="1838">
        <v>115</v>
      </c>
    </row>
    <row r="23" spans="1:9">
      <c r="A23" s="234"/>
      <c r="B23" s="1393">
        <v>5</v>
      </c>
      <c r="C23" s="1387">
        <v>2</v>
      </c>
      <c r="D23" s="1346" t="s">
        <v>510</v>
      </c>
      <c r="E23" s="1346">
        <v>1</v>
      </c>
      <c r="F23" s="1346" t="s">
        <v>511</v>
      </c>
      <c r="G23" s="1346">
        <v>6</v>
      </c>
      <c r="H23" s="1837">
        <v>78</v>
      </c>
      <c r="I23" s="1838">
        <v>81</v>
      </c>
    </row>
    <row r="24" spans="1:9" ht="15.75" thickBot="1">
      <c r="A24" s="235"/>
      <c r="B24" s="1549">
        <v>5.5</v>
      </c>
      <c r="C24" s="1500">
        <v>2</v>
      </c>
      <c r="D24" s="1548">
        <v>2.5</v>
      </c>
      <c r="E24" s="1500">
        <v>1</v>
      </c>
      <c r="F24" s="1548">
        <v>4.5</v>
      </c>
      <c r="G24" s="1497">
        <v>6</v>
      </c>
      <c r="H24" s="1839">
        <v>12</v>
      </c>
      <c r="I24" s="1840">
        <v>12</v>
      </c>
    </row>
    <row r="25" spans="1:9" ht="15.75" thickBot="1">
      <c r="A25" s="1498" t="s">
        <v>1738</v>
      </c>
      <c r="B25" s="1483"/>
      <c r="C25" s="1429"/>
      <c r="D25" s="1429"/>
      <c r="E25" s="1429"/>
      <c r="F25" s="1429"/>
      <c r="G25" s="1401"/>
      <c r="H25" s="1841">
        <f>SUM(H19:H24)</f>
        <v>1033</v>
      </c>
      <c r="I25" s="1842">
        <f t="shared" ref="I25" si="2">SUM(I19:I24)</f>
        <v>1051</v>
      </c>
    </row>
    <row r="26" spans="1:9">
      <c r="A26" s="1507"/>
      <c r="C26" s="1387"/>
      <c r="D26" s="1387"/>
      <c r="E26" s="1387"/>
      <c r="F26" s="1387"/>
      <c r="G26" s="1346"/>
      <c r="H26" s="1845"/>
      <c r="I26" s="1846"/>
    </row>
    <row r="27" spans="1:9">
      <c r="A27" s="234" t="s">
        <v>2872</v>
      </c>
      <c r="B27" s="1393">
        <v>4</v>
      </c>
      <c r="C27" s="1437">
        <v>2</v>
      </c>
      <c r="D27" s="1417" t="s">
        <v>510</v>
      </c>
      <c r="E27" s="1481">
        <v>1</v>
      </c>
      <c r="F27" s="1346" t="s">
        <v>511</v>
      </c>
      <c r="G27" s="1346">
        <v>4</v>
      </c>
      <c r="H27" s="1346">
        <v>52</v>
      </c>
      <c r="I27" s="1737">
        <v>62</v>
      </c>
    </row>
    <row r="28" spans="1:9" ht="15.75" thickBot="1">
      <c r="A28" s="234"/>
      <c r="B28" s="1393">
        <v>6</v>
      </c>
      <c r="C28" s="1437">
        <v>2</v>
      </c>
      <c r="D28" s="1417" t="s">
        <v>510</v>
      </c>
      <c r="E28" s="1481">
        <v>1</v>
      </c>
      <c r="F28" s="1346" t="s">
        <v>511</v>
      </c>
      <c r="G28" s="1346">
        <v>6</v>
      </c>
      <c r="H28" s="1346">
        <v>577</v>
      </c>
      <c r="I28" s="1737">
        <v>582</v>
      </c>
    </row>
    <row r="29" spans="1:9" ht="15.75" thickBot="1">
      <c r="A29" s="1498" t="s">
        <v>1738</v>
      </c>
      <c r="B29" s="1483"/>
      <c r="C29" s="1499"/>
      <c r="D29" s="1429"/>
      <c r="E29" s="1499"/>
      <c r="F29" s="1429"/>
      <c r="G29" s="1401"/>
      <c r="H29" s="1516">
        <f>SUM(H27:H28)</f>
        <v>629</v>
      </c>
      <c r="I29" s="1738">
        <f t="shared" ref="I29" si="3">SUM(I27:I28)</f>
        <v>644</v>
      </c>
    </row>
    <row r="30" spans="1:9">
      <c r="A30" s="1507"/>
      <c r="C30" s="1387"/>
      <c r="D30" s="1387"/>
      <c r="E30" s="1387"/>
      <c r="F30" s="1387"/>
      <c r="G30" s="1346"/>
      <c r="H30" s="1845"/>
      <c r="I30" s="1846"/>
    </row>
    <row r="31" spans="1:9">
      <c r="A31" s="234" t="s">
        <v>1778</v>
      </c>
      <c r="B31" s="1393">
        <v>4</v>
      </c>
      <c r="C31" s="1387">
        <v>2</v>
      </c>
      <c r="D31" s="1417" t="s">
        <v>510</v>
      </c>
      <c r="E31" s="1346">
        <v>1</v>
      </c>
      <c r="F31" s="1346" t="s">
        <v>511</v>
      </c>
      <c r="G31" s="1346">
        <v>4</v>
      </c>
      <c r="H31" s="1850">
        <v>24</v>
      </c>
      <c r="I31" s="1838">
        <v>28</v>
      </c>
    </row>
    <row r="32" spans="1:9" ht="15.75" thickBot="1">
      <c r="A32" s="234"/>
      <c r="B32" s="1393">
        <v>6</v>
      </c>
      <c r="C32" s="1387">
        <v>2</v>
      </c>
      <c r="D32" s="1417" t="s">
        <v>510</v>
      </c>
      <c r="E32" s="1346">
        <v>1</v>
      </c>
      <c r="F32" s="1346" t="s">
        <v>511</v>
      </c>
      <c r="G32" s="1346">
        <v>6</v>
      </c>
      <c r="H32" s="1850">
        <v>279</v>
      </c>
      <c r="I32" s="1838">
        <v>281</v>
      </c>
    </row>
    <row r="33" spans="1:9" ht="15.75" thickBot="1">
      <c r="A33" s="1498" t="s">
        <v>1738</v>
      </c>
      <c r="B33" s="1483"/>
      <c r="C33" s="1429"/>
      <c r="D33" s="1429"/>
      <c r="E33" s="1429"/>
      <c r="F33" s="1429"/>
      <c r="G33" s="1401"/>
      <c r="H33" s="1852">
        <f>SUM(H31:H32)</f>
        <v>303</v>
      </c>
      <c r="I33" s="1842">
        <f t="shared" ref="I33" si="4">SUM(I31:I32)</f>
        <v>309</v>
      </c>
    </row>
    <row r="34" spans="1:9">
      <c r="A34" s="1507"/>
      <c r="C34" s="1387"/>
      <c r="D34" s="1387"/>
      <c r="E34" s="1387"/>
      <c r="F34" s="1387"/>
      <c r="G34" s="1346"/>
      <c r="H34" s="1845"/>
      <c r="I34" s="1846"/>
    </row>
    <row r="35" spans="1:9">
      <c r="A35" s="1515"/>
      <c r="B35" s="1511"/>
      <c r="C35" s="1387"/>
      <c r="D35" s="1387"/>
      <c r="E35" s="1387"/>
      <c r="F35" s="1387"/>
      <c r="G35" s="1346"/>
      <c r="H35" s="1850"/>
      <c r="I35" s="1838"/>
    </row>
    <row r="36" spans="1:9" ht="15" customHeight="1">
      <c r="A36" s="83" t="s">
        <v>4388</v>
      </c>
      <c r="B36" s="1511">
        <v>4</v>
      </c>
      <c r="C36" s="1387">
        <v>2</v>
      </c>
      <c r="D36" s="1387" t="s">
        <v>510</v>
      </c>
      <c r="E36" s="1387">
        <v>1</v>
      </c>
      <c r="F36" s="1387" t="s">
        <v>511</v>
      </c>
      <c r="G36" s="1346">
        <v>4</v>
      </c>
      <c r="H36" s="1850">
        <v>22</v>
      </c>
      <c r="I36" s="1838">
        <v>23</v>
      </c>
    </row>
    <row r="37" spans="1:9" ht="15.75" thickBot="1">
      <c r="A37" s="124"/>
      <c r="B37" s="1511">
        <v>6</v>
      </c>
      <c r="C37" s="1500">
        <v>2</v>
      </c>
      <c r="D37" s="1548" t="s">
        <v>510</v>
      </c>
      <c r="E37" s="1500">
        <v>1</v>
      </c>
      <c r="F37" s="1548" t="s">
        <v>511</v>
      </c>
      <c r="G37" s="1497">
        <v>6</v>
      </c>
      <c r="H37" s="1851">
        <v>68</v>
      </c>
      <c r="I37" s="1840">
        <v>68</v>
      </c>
    </row>
    <row r="38" spans="1:9" ht="15.75" thickBot="1">
      <c r="A38" s="1507" t="s">
        <v>1738</v>
      </c>
      <c r="B38" s="1513"/>
      <c r="C38" s="1387"/>
      <c r="D38" s="1387"/>
      <c r="E38" s="1387"/>
      <c r="F38" s="1387"/>
      <c r="G38" s="1346"/>
      <c r="H38" s="1856">
        <f>SUM(H36:H37)</f>
        <v>90</v>
      </c>
      <c r="I38" s="1840">
        <f t="shared" ref="I38" si="5">SUM(I36:I37)</f>
        <v>91</v>
      </c>
    </row>
    <row r="39" spans="1:9">
      <c r="A39" s="1507"/>
      <c r="C39" s="1387"/>
      <c r="D39" s="1387"/>
      <c r="E39" s="1387"/>
      <c r="F39" s="1387"/>
      <c r="G39" s="1346"/>
      <c r="H39" s="1845"/>
      <c r="I39" s="1846"/>
    </row>
    <row r="40" spans="1:9">
      <c r="A40" s="83" t="s">
        <v>4387</v>
      </c>
      <c r="B40" s="1511">
        <v>4</v>
      </c>
      <c r="C40" s="1387">
        <v>2</v>
      </c>
      <c r="D40" s="1387" t="s">
        <v>510</v>
      </c>
      <c r="E40" s="1387">
        <v>1</v>
      </c>
      <c r="F40" s="1387" t="s">
        <v>511</v>
      </c>
      <c r="G40" s="1346">
        <v>4</v>
      </c>
      <c r="H40" s="1850">
        <v>17</v>
      </c>
      <c r="I40" s="1838">
        <v>17</v>
      </c>
    </row>
    <row r="41" spans="1:9" ht="15.75" thickBot="1">
      <c r="A41" s="124"/>
      <c r="B41" s="1511">
        <v>6</v>
      </c>
      <c r="C41" s="1500">
        <v>2</v>
      </c>
      <c r="D41" s="1548" t="s">
        <v>510</v>
      </c>
      <c r="E41" s="1500">
        <v>1</v>
      </c>
      <c r="F41" s="1548" t="s">
        <v>511</v>
      </c>
      <c r="G41" s="1497">
        <v>6</v>
      </c>
      <c r="H41" s="1851">
        <v>1</v>
      </c>
      <c r="I41" s="1840">
        <v>1</v>
      </c>
    </row>
    <row r="42" spans="1:9" ht="15.75" thickBot="1">
      <c r="A42" s="1507" t="s">
        <v>1738</v>
      </c>
      <c r="B42" s="1513"/>
      <c r="C42" s="1387"/>
      <c r="D42" s="1387"/>
      <c r="E42" s="1387"/>
      <c r="F42" s="1387"/>
      <c r="G42" s="1346"/>
      <c r="H42" s="1856">
        <f>SUM(H40:H41)</f>
        <v>18</v>
      </c>
      <c r="I42" s="1840">
        <f t="shared" ref="I42" si="6">SUM(I40:I41)</f>
        <v>18</v>
      </c>
    </row>
    <row r="43" spans="1:9" ht="15.75" thickBot="1">
      <c r="A43" s="235"/>
      <c r="B43" s="1502"/>
      <c r="C43" s="1503"/>
      <c r="D43" s="1504"/>
      <c r="E43" s="1503"/>
      <c r="F43" s="1504"/>
      <c r="G43" s="1505"/>
      <c r="H43" s="1742"/>
      <c r="I43" s="1743"/>
    </row>
    <row r="44" spans="1:9" ht="15.75" thickBot="1">
      <c r="A44" s="235"/>
      <c r="B44" s="1493"/>
      <c r="C44" s="1494"/>
      <c r="D44" s="1500"/>
      <c r="E44" s="1494"/>
      <c r="F44" s="1500"/>
      <c r="G44" s="1744" t="s">
        <v>3537</v>
      </c>
      <c r="H44" s="1856">
        <f>SUM(H13+H17+H25+H29+H33+H38+H42)</f>
        <v>4367</v>
      </c>
      <c r="I44" s="1840">
        <f>SUM(I13+I17+I25+I29+I33+I38+I42)</f>
        <v>4442</v>
      </c>
    </row>
    <row r="45" spans="1:9">
      <c r="A45" s="1333" t="s">
        <v>2024</v>
      </c>
      <c r="B45"/>
      <c r="C45"/>
      <c r="D45"/>
      <c r="E45"/>
      <c r="F45"/>
    </row>
    <row r="46" spans="1:9">
      <c r="A46" s="954" t="s">
        <v>2752</v>
      </c>
      <c r="B46" s="954"/>
      <c r="C46" s="954"/>
      <c r="D46" s="954"/>
      <c r="E46" s="954"/>
      <c r="F46" s="954"/>
      <c r="G46" s="954"/>
      <c r="H46" s="954"/>
      <c r="I46" s="1543"/>
    </row>
    <row r="49" spans="1:9" ht="15.75">
      <c r="A49" s="794"/>
      <c r="B49" s="1485"/>
      <c r="C49" s="1485"/>
      <c r="D49" s="1485"/>
      <c r="E49" s="1485"/>
      <c r="F49" s="1485"/>
      <c r="G49" s="1485"/>
      <c r="H49" s="1485"/>
      <c r="I49" s="1485"/>
    </row>
    <row r="51" spans="1:9">
      <c r="B51"/>
      <c r="C51"/>
      <c r="D51"/>
      <c r="E51"/>
      <c r="F51"/>
      <c r="G51"/>
      <c r="H51"/>
      <c r="I51"/>
    </row>
    <row r="8138" customFormat="1"/>
  </sheetData>
  <phoneticPr fontId="0" type="noConversion"/>
  <pageMargins left="0.37" right="0.36" top="0.6" bottom="0.1" header="0.25" footer="0.11"/>
  <pageSetup scale="79" orientation="landscape"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19"/>
  <dimension ref="A1:I44"/>
  <sheetViews>
    <sheetView zoomScaleNormal="100" workbookViewId="0">
      <pane xSplit="2" ySplit="8" topLeftCell="C9" activePane="bottomRight" state="frozen"/>
      <selection activeCell="M41" sqref="M41"/>
      <selection pane="topRight" activeCell="M41" sqref="M41"/>
      <selection pane="bottomLeft" activeCell="M41" sqref="M41"/>
      <selection pane="bottomRight" activeCell="H45" sqref="H45"/>
    </sheetView>
  </sheetViews>
  <sheetFormatPr defaultRowHeight="15"/>
  <cols>
    <col min="1" max="1" width="24.88671875" customWidth="1"/>
    <col min="2" max="2" width="11.77734375" customWidth="1"/>
    <col min="8" max="8" width="13" customWidth="1"/>
    <col min="9" max="9" width="11.88671875" customWidth="1"/>
  </cols>
  <sheetData>
    <row r="1" spans="1:9" ht="15.75" thickBot="1">
      <c r="A1" t="str">
        <f>'Data sheet'!A61</f>
        <v>Annual Report of Veolia Water New York, Inc.                                                                       Year Ended  December 31, 2023</v>
      </c>
    </row>
    <row r="2" spans="1:9">
      <c r="A2" s="80"/>
      <c r="B2" s="1483"/>
      <c r="C2" s="1483"/>
      <c r="D2" s="1483"/>
      <c r="E2" s="1483"/>
      <c r="F2" s="1483"/>
      <c r="G2" s="1483"/>
      <c r="H2" s="1483"/>
      <c r="I2" s="1484"/>
    </row>
    <row r="3" spans="1:9" ht="15.75">
      <c r="A3" s="793" t="s">
        <v>1099</v>
      </c>
      <c r="B3" s="1485"/>
      <c r="C3" s="1485"/>
      <c r="D3" s="1485"/>
      <c r="E3" s="1485"/>
      <c r="F3" s="1485"/>
      <c r="G3" s="1485"/>
      <c r="H3" s="1776"/>
      <c r="I3" s="1777"/>
    </row>
    <row r="4" spans="1:9">
      <c r="A4" s="123"/>
      <c r="B4" s="1487"/>
      <c r="C4" s="1487"/>
      <c r="D4" s="1487"/>
      <c r="E4" s="1487"/>
      <c r="F4" s="1487"/>
      <c r="G4" s="1487"/>
      <c r="H4" s="1487"/>
      <c r="I4" s="1488"/>
    </row>
    <row r="5" spans="1:9">
      <c r="A5" s="234"/>
      <c r="B5" s="1393" t="s">
        <v>4147</v>
      </c>
      <c r="C5" s="1489" t="s">
        <v>4148</v>
      </c>
      <c r="D5" s="1490"/>
      <c r="E5" s="1489" t="s">
        <v>4149</v>
      </c>
      <c r="F5" s="1490"/>
      <c r="G5" s="1346" t="s">
        <v>3062</v>
      </c>
      <c r="H5" s="1506" t="s">
        <v>4150</v>
      </c>
      <c r="I5" s="1492"/>
    </row>
    <row r="6" spans="1:9">
      <c r="A6" s="479" t="s">
        <v>3055</v>
      </c>
      <c r="B6" s="1393" t="s">
        <v>1089</v>
      </c>
      <c r="C6" s="1387" t="s">
        <v>202</v>
      </c>
      <c r="D6" s="1387"/>
      <c r="E6" s="1387" t="s">
        <v>202</v>
      </c>
      <c r="F6" s="1387"/>
      <c r="G6" s="1346" t="s">
        <v>250</v>
      </c>
      <c r="H6" s="1490"/>
      <c r="I6" s="1492"/>
    </row>
    <row r="7" spans="1:9">
      <c r="A7" s="479" t="s">
        <v>2185</v>
      </c>
      <c r="B7" s="1393" t="s">
        <v>1092</v>
      </c>
      <c r="C7" s="1387" t="s">
        <v>1093</v>
      </c>
      <c r="D7" s="1387" t="s">
        <v>2817</v>
      </c>
      <c r="E7" s="1387" t="s">
        <v>1093</v>
      </c>
      <c r="F7" s="1387" t="s">
        <v>2817</v>
      </c>
      <c r="G7" s="1346" t="s">
        <v>1094</v>
      </c>
      <c r="H7" s="1393"/>
      <c r="I7" s="1418" t="s">
        <v>79</v>
      </c>
    </row>
    <row r="8" spans="1:9">
      <c r="A8" s="234"/>
      <c r="B8" s="1393" t="s">
        <v>3071</v>
      </c>
      <c r="C8" s="1387" t="s">
        <v>1097</v>
      </c>
      <c r="D8" s="1387" t="s">
        <v>3071</v>
      </c>
      <c r="E8" s="1387" t="s">
        <v>1097</v>
      </c>
      <c r="F8" s="1387" t="s">
        <v>3071</v>
      </c>
      <c r="G8" s="1346" t="s">
        <v>3071</v>
      </c>
      <c r="H8" s="1745" t="s">
        <v>513</v>
      </c>
      <c r="I8" s="2164" t="str">
        <f>+'412a'!I8</f>
        <v>12/31/2023</v>
      </c>
    </row>
    <row r="9" spans="1:9">
      <c r="A9" s="234"/>
      <c r="B9" s="1393"/>
      <c r="C9" s="1387"/>
      <c r="D9" s="1346"/>
      <c r="E9" s="1346"/>
      <c r="F9" s="1346"/>
      <c r="G9" s="1346"/>
      <c r="H9" s="1837"/>
      <c r="I9" s="1838"/>
    </row>
    <row r="10" spans="1:9">
      <c r="A10" s="85" t="s">
        <v>38</v>
      </c>
      <c r="B10" s="1511">
        <v>4</v>
      </c>
      <c r="C10" s="1387">
        <v>2</v>
      </c>
      <c r="D10" s="1387" t="s">
        <v>510</v>
      </c>
      <c r="E10" s="1387">
        <v>1</v>
      </c>
      <c r="F10" s="1387" t="s">
        <v>511</v>
      </c>
      <c r="G10" s="1346">
        <v>4</v>
      </c>
      <c r="H10" s="1850">
        <v>5</v>
      </c>
      <c r="I10" s="1838">
        <v>7</v>
      </c>
    </row>
    <row r="11" spans="1:9" ht="15.75" thickBot="1">
      <c r="A11" s="154" t="s">
        <v>3491</v>
      </c>
      <c r="B11" s="1511">
        <v>6</v>
      </c>
      <c r="C11" s="1500">
        <v>2</v>
      </c>
      <c r="D11" s="1548">
        <v>2.5</v>
      </c>
      <c r="E11" s="1500">
        <v>1</v>
      </c>
      <c r="F11" s="1548">
        <v>4.5</v>
      </c>
      <c r="G11" s="1497">
        <v>6</v>
      </c>
      <c r="H11" s="1851">
        <v>263</v>
      </c>
      <c r="I11" s="1840">
        <v>264</v>
      </c>
    </row>
    <row r="12" spans="1:9" ht="15.75" thickBot="1">
      <c r="A12" s="1507" t="s">
        <v>1738</v>
      </c>
      <c r="B12" s="1513"/>
      <c r="C12" s="1387"/>
      <c r="D12" s="1387"/>
      <c r="E12" s="1387"/>
      <c r="F12" s="1387"/>
      <c r="G12" s="1346"/>
      <c r="H12" s="1856">
        <f>SUM(H10:H11)</f>
        <v>268</v>
      </c>
      <c r="I12" s="1840">
        <f t="shared" ref="I12" si="0">SUM(I10:I11)</f>
        <v>271</v>
      </c>
    </row>
    <row r="13" spans="1:9">
      <c r="A13" s="1515"/>
      <c r="B13" s="1511"/>
      <c r="C13" s="1387"/>
      <c r="D13" s="1387"/>
      <c r="E13" s="1387"/>
      <c r="F13" s="1387"/>
      <c r="G13" s="1346"/>
      <c r="H13" s="1854"/>
      <c r="I13" s="1846"/>
    </row>
    <row r="14" spans="1:9">
      <c r="A14" s="85" t="s">
        <v>1331</v>
      </c>
      <c r="B14" s="1511">
        <v>6</v>
      </c>
      <c r="C14" s="1387">
        <v>2</v>
      </c>
      <c r="D14" s="1346" t="s">
        <v>510</v>
      </c>
      <c r="E14" s="1346">
        <v>1</v>
      </c>
      <c r="F14" s="1346" t="s">
        <v>511</v>
      </c>
      <c r="G14" s="1346">
        <v>6</v>
      </c>
      <c r="H14" s="1850">
        <v>246</v>
      </c>
      <c r="I14" s="1838">
        <v>254</v>
      </c>
    </row>
    <row r="15" spans="1:9" ht="15.75" thickBot="1">
      <c r="A15" s="154" t="s">
        <v>3491</v>
      </c>
      <c r="B15" s="1511"/>
      <c r="C15" s="1387"/>
      <c r="D15" s="1500"/>
      <c r="E15" s="1346"/>
      <c r="F15" s="1346"/>
      <c r="G15" s="1346"/>
      <c r="H15" s="1851"/>
      <c r="I15" s="1838"/>
    </row>
    <row r="16" spans="1:9" ht="15.75" thickBot="1">
      <c r="A16" s="1512" t="s">
        <v>1738</v>
      </c>
      <c r="B16" s="1513"/>
      <c r="C16" s="1429"/>
      <c r="D16" s="1429"/>
      <c r="E16" s="1429"/>
      <c r="F16" s="1429"/>
      <c r="G16" s="1401"/>
      <c r="H16" s="1852">
        <f>SUM(H14:H15)</f>
        <v>246</v>
      </c>
      <c r="I16" s="1842">
        <f t="shared" ref="I16" si="1">SUM(I14:I15)</f>
        <v>254</v>
      </c>
    </row>
    <row r="17" spans="1:9">
      <c r="A17" s="1515"/>
      <c r="B17" s="1511"/>
      <c r="C17" s="1387"/>
      <c r="D17" s="1387"/>
      <c r="E17" s="1387"/>
      <c r="F17" s="1387"/>
      <c r="G17" s="1346"/>
      <c r="H17" s="1854"/>
      <c r="I17" s="1846"/>
    </row>
    <row r="18" spans="1:9">
      <c r="A18" s="234" t="s">
        <v>1421</v>
      </c>
      <c r="B18" s="1346">
        <v>4</v>
      </c>
      <c r="C18" s="1387">
        <v>2</v>
      </c>
      <c r="D18" s="1346" t="s">
        <v>510</v>
      </c>
      <c r="E18" s="1346">
        <v>1</v>
      </c>
      <c r="F18" s="1346" t="s">
        <v>511</v>
      </c>
      <c r="G18" s="1346">
        <v>4</v>
      </c>
      <c r="H18" s="1844">
        <v>47</v>
      </c>
      <c r="I18" s="1838">
        <v>47</v>
      </c>
    </row>
    <row r="19" spans="1:9" ht="15.75" thickBot="1">
      <c r="A19" s="234" t="s">
        <v>3489</v>
      </c>
      <c r="B19" s="1493">
        <v>6</v>
      </c>
      <c r="C19" s="1500">
        <v>2</v>
      </c>
      <c r="D19" s="1500" t="s">
        <v>510</v>
      </c>
      <c r="E19" s="1500">
        <v>1</v>
      </c>
      <c r="F19" s="1500" t="s">
        <v>511</v>
      </c>
      <c r="G19" s="1497">
        <v>6</v>
      </c>
      <c r="H19" s="1839">
        <v>3</v>
      </c>
      <c r="I19" s="1840">
        <v>3</v>
      </c>
    </row>
    <row r="20" spans="1:9" ht="15.75" thickBot="1">
      <c r="A20" s="1498" t="s">
        <v>1738</v>
      </c>
      <c r="B20" s="1483"/>
      <c r="C20" s="1429"/>
      <c r="D20" s="1429"/>
      <c r="E20" s="1429"/>
      <c r="F20" s="1429"/>
      <c r="G20" s="1401"/>
      <c r="H20" s="1841">
        <f>SUM(H18:H19)</f>
        <v>50</v>
      </c>
      <c r="I20" s="1842">
        <f t="shared" ref="I20" si="2">SUM(I18:I19)</f>
        <v>50</v>
      </c>
    </row>
    <row r="21" spans="1:9">
      <c r="A21" s="1507"/>
      <c r="B21" s="1393"/>
      <c r="C21" s="1387"/>
      <c r="D21" s="1387"/>
      <c r="E21" s="1387"/>
      <c r="F21" s="1387"/>
      <c r="G21" s="1346"/>
      <c r="H21" s="1844"/>
      <c r="I21" s="1838"/>
    </row>
    <row r="22" spans="1:9">
      <c r="A22" s="234" t="s">
        <v>1362</v>
      </c>
      <c r="B22" s="1393">
        <v>4</v>
      </c>
      <c r="C22" s="1387">
        <v>2</v>
      </c>
      <c r="D22" s="1346" t="s">
        <v>510</v>
      </c>
      <c r="E22" s="1346">
        <v>1</v>
      </c>
      <c r="F22" s="1346" t="s">
        <v>511</v>
      </c>
      <c r="G22" s="1346">
        <v>4</v>
      </c>
      <c r="H22" s="1850">
        <v>16</v>
      </c>
      <c r="I22" s="1838">
        <v>18</v>
      </c>
    </row>
    <row r="23" spans="1:9" ht="15.75" thickBot="1">
      <c r="A23" s="226" t="s">
        <v>1301</v>
      </c>
      <c r="B23" s="1393">
        <v>6</v>
      </c>
      <c r="C23" s="1387">
        <v>2</v>
      </c>
      <c r="D23" s="1500" t="s">
        <v>510</v>
      </c>
      <c r="E23" s="1346">
        <v>1</v>
      </c>
      <c r="F23" s="1346" t="s">
        <v>511</v>
      </c>
      <c r="G23" s="1346">
        <v>6</v>
      </c>
      <c r="H23" s="1850">
        <v>119</v>
      </c>
      <c r="I23" s="1838">
        <v>123</v>
      </c>
    </row>
    <row r="24" spans="1:9" ht="15.75" thickBot="1">
      <c r="A24" s="1498" t="s">
        <v>1738</v>
      </c>
      <c r="B24" s="1483"/>
      <c r="C24" s="1429"/>
      <c r="D24" s="1429"/>
      <c r="E24" s="1429"/>
      <c r="F24" s="1429"/>
      <c r="G24" s="1401"/>
      <c r="H24" s="1852">
        <f>SUM(H22:H23)</f>
        <v>135</v>
      </c>
      <c r="I24" s="1842">
        <f t="shared" ref="I24" si="3">SUM(I22:I23)</f>
        <v>141</v>
      </c>
    </row>
    <row r="25" spans="1:9">
      <c r="A25" s="1507"/>
      <c r="B25" s="1393"/>
      <c r="C25" s="1387"/>
      <c r="D25" s="1387"/>
      <c r="E25" s="1387"/>
      <c r="F25" s="1387"/>
      <c r="G25" s="1346"/>
      <c r="H25" s="1844"/>
      <c r="I25" s="1838"/>
    </row>
    <row r="26" spans="1:9">
      <c r="A26" s="83" t="s">
        <v>3728</v>
      </c>
      <c r="B26" s="1511">
        <v>4</v>
      </c>
      <c r="C26" s="1387">
        <v>2</v>
      </c>
      <c r="D26" s="1346" t="s">
        <v>510</v>
      </c>
      <c r="E26" s="1346">
        <v>1</v>
      </c>
      <c r="F26" s="1346" t="s">
        <v>511</v>
      </c>
      <c r="G26" s="1346">
        <v>4</v>
      </c>
      <c r="H26" s="1850">
        <v>1</v>
      </c>
      <c r="I26" s="1838">
        <v>1</v>
      </c>
    </row>
    <row r="27" spans="1:9" ht="15.75" thickBot="1">
      <c r="A27" s="85" t="s">
        <v>3491</v>
      </c>
      <c r="B27" s="1511">
        <v>6</v>
      </c>
      <c r="C27" s="1387">
        <v>2</v>
      </c>
      <c r="D27" s="1500" t="s">
        <v>510</v>
      </c>
      <c r="E27" s="1346">
        <v>1</v>
      </c>
      <c r="F27" s="1346" t="s">
        <v>511</v>
      </c>
      <c r="G27" s="1346">
        <v>6</v>
      </c>
      <c r="H27" s="1850">
        <v>14</v>
      </c>
      <c r="I27" s="1838">
        <v>14</v>
      </c>
    </row>
    <row r="28" spans="1:9" ht="15.75" thickBot="1">
      <c r="A28" s="1512" t="s">
        <v>1738</v>
      </c>
      <c r="B28" s="1513"/>
      <c r="C28" s="1429"/>
      <c r="D28" s="1429"/>
      <c r="E28" s="1401"/>
      <c r="F28" s="1401"/>
      <c r="G28" s="1401"/>
      <c r="H28" s="1852">
        <f>SUM(H26:H27)</f>
        <v>15</v>
      </c>
      <c r="I28" s="1842">
        <f t="shared" ref="I28" si="4">SUM(I26:I27)</f>
        <v>15</v>
      </c>
    </row>
    <row r="29" spans="1:9">
      <c r="A29" s="83"/>
      <c r="B29" s="1511"/>
      <c r="C29" s="1387"/>
      <c r="D29" s="1387"/>
      <c r="E29" s="1346"/>
      <c r="F29" s="1346"/>
      <c r="G29" s="1346"/>
      <c r="H29" s="1850"/>
      <c r="I29" s="1838"/>
    </row>
    <row r="30" spans="1:9">
      <c r="A30" s="83" t="s">
        <v>1334</v>
      </c>
      <c r="B30" s="1511">
        <v>4</v>
      </c>
      <c r="C30" s="1387">
        <v>2</v>
      </c>
      <c r="D30" s="1346" t="s">
        <v>510</v>
      </c>
      <c r="E30" s="1346">
        <v>1</v>
      </c>
      <c r="F30" s="1346" t="s">
        <v>511</v>
      </c>
      <c r="G30" s="1346">
        <v>4</v>
      </c>
      <c r="H30" s="1850">
        <v>5</v>
      </c>
      <c r="I30" s="1838">
        <v>17</v>
      </c>
    </row>
    <row r="31" spans="1:9" ht="15.75" thickBot="1">
      <c r="A31" s="154" t="s">
        <v>3491</v>
      </c>
      <c r="B31" s="1511">
        <v>6</v>
      </c>
      <c r="C31" s="1387">
        <v>2</v>
      </c>
      <c r="D31" s="1500" t="s">
        <v>510</v>
      </c>
      <c r="E31" s="1346">
        <v>1</v>
      </c>
      <c r="F31" s="1346" t="s">
        <v>511</v>
      </c>
      <c r="G31" s="1346">
        <v>6</v>
      </c>
      <c r="H31" s="1850">
        <v>162</v>
      </c>
      <c r="I31" s="1838">
        <v>165</v>
      </c>
    </row>
    <row r="32" spans="1:9" ht="15.75" thickBot="1">
      <c r="A32" s="1512" t="s">
        <v>1738</v>
      </c>
      <c r="B32" s="1513"/>
      <c r="C32" s="1429"/>
      <c r="D32" s="1429"/>
      <c r="E32" s="1401"/>
      <c r="F32" s="1401"/>
      <c r="G32" s="1401"/>
      <c r="H32" s="1852">
        <f>SUM(H30:H31)</f>
        <v>167</v>
      </c>
      <c r="I32" s="1842">
        <f t="shared" ref="I32" si="5">SUM(I30:I31)</f>
        <v>182</v>
      </c>
    </row>
    <row r="33" spans="1:9">
      <c r="A33" s="83"/>
      <c r="B33" s="1387"/>
      <c r="C33" s="1387"/>
      <c r="D33" s="1387"/>
      <c r="E33" s="1346"/>
      <c r="F33" s="1346"/>
      <c r="G33" s="1346"/>
      <c r="H33" s="1346"/>
      <c r="I33" s="1838"/>
    </row>
    <row r="34" spans="1:9">
      <c r="A34" s="83"/>
      <c r="B34" s="1387"/>
      <c r="C34" s="1387"/>
      <c r="D34" s="1387"/>
      <c r="E34" s="1346"/>
      <c r="F34" s="1346"/>
      <c r="G34" s="1346"/>
      <c r="H34" s="1346"/>
      <c r="I34" s="1838"/>
    </row>
    <row r="35" spans="1:9">
      <c r="A35" s="83"/>
      <c r="B35" s="1387"/>
      <c r="C35" s="1387"/>
      <c r="D35" s="1387"/>
      <c r="E35" s="1346"/>
      <c r="F35" s="1346"/>
      <c r="G35" s="1346"/>
      <c r="H35" s="1346"/>
      <c r="I35" s="1838"/>
    </row>
    <row r="36" spans="1:9">
      <c r="A36" s="83"/>
      <c r="B36" s="1387"/>
      <c r="C36" s="1387"/>
      <c r="D36" s="1387"/>
      <c r="E36" s="1346"/>
      <c r="F36" s="1346"/>
      <c r="G36" s="1346"/>
      <c r="H36" s="1346"/>
      <c r="I36" s="1838"/>
    </row>
    <row r="37" spans="1:9">
      <c r="A37" s="83"/>
      <c r="B37" s="1387"/>
      <c r="C37" s="1387"/>
      <c r="D37" s="1387"/>
      <c r="E37" s="1346"/>
      <c r="F37" s="1346"/>
      <c r="G37" s="1346"/>
      <c r="H37" s="1346"/>
      <c r="I37" s="1838"/>
    </row>
    <row r="38" spans="1:9">
      <c r="A38" s="83"/>
      <c r="B38" s="1387"/>
      <c r="C38" s="1387"/>
      <c r="D38" s="1387"/>
      <c r="E38" s="1346"/>
      <c r="F38" s="1346"/>
      <c r="G38" s="1346"/>
      <c r="H38" s="1346"/>
      <c r="I38" s="1838"/>
    </row>
    <row r="39" spans="1:9">
      <c r="A39" s="83"/>
      <c r="B39" s="1387"/>
      <c r="C39" s="1387"/>
      <c r="D39" s="1387"/>
      <c r="E39" s="1346"/>
      <c r="F39" s="1346"/>
      <c r="G39" s="1346"/>
      <c r="H39" s="1346"/>
      <c r="I39" s="1838"/>
    </row>
    <row r="40" spans="1:9">
      <c r="A40" s="83"/>
      <c r="B40" s="1387"/>
      <c r="C40" s="1387"/>
      <c r="D40" s="1387"/>
      <c r="E40" s="1387"/>
      <c r="F40" s="1387"/>
      <c r="G40" s="1346"/>
      <c r="H40" s="1837"/>
      <c r="I40" s="1838"/>
    </row>
    <row r="41" spans="1:9" ht="15.75" thickBot="1">
      <c r="A41" s="235"/>
      <c r="B41" s="1504"/>
      <c r="C41" s="1504"/>
      <c r="D41" s="1504"/>
      <c r="E41" s="1504"/>
      <c r="F41" s="1504"/>
      <c r="G41" s="1505"/>
      <c r="H41" s="1848"/>
      <c r="I41" s="1849"/>
    </row>
    <row r="42" spans="1:9" ht="15.75" thickBot="1">
      <c r="A42" s="235"/>
      <c r="B42" s="1493"/>
      <c r="C42" s="1494"/>
      <c r="D42" s="1500"/>
      <c r="E42" s="1494"/>
      <c r="F42" s="1500"/>
      <c r="G42" s="1744" t="s">
        <v>3537</v>
      </c>
      <c r="H42" s="1847">
        <f>SUM(+H12+H16+H20+H24+H28+H39+H32)</f>
        <v>881</v>
      </c>
      <c r="I42" s="1840">
        <f>SUM(+I12+I16+I20+I24+I28+I39+I32)</f>
        <v>913</v>
      </c>
    </row>
    <row r="43" spans="1:9">
      <c r="A43" s="1333" t="s">
        <v>2024</v>
      </c>
      <c r="G43" s="1393"/>
    </row>
    <row r="44" spans="1:9">
      <c r="A44" s="954" t="s">
        <v>3366</v>
      </c>
      <c r="B44" s="954"/>
      <c r="C44" s="954"/>
      <c r="D44" s="954"/>
      <c r="E44" s="954"/>
      <c r="F44" s="954"/>
      <c r="G44" s="954"/>
      <c r="H44" s="954"/>
      <c r="I44" s="954"/>
    </row>
  </sheetData>
  <phoneticPr fontId="0" type="noConversion"/>
  <pageMargins left="0.5" right="0.25" top="0.57999999999999996" bottom="0.35" header="0" footer="0"/>
  <pageSetup scale="82" orientation="landscape"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20">
    <pageSetUpPr fitToPage="1"/>
  </sheetPr>
  <dimension ref="A1:I40"/>
  <sheetViews>
    <sheetView zoomScaleNormal="100" workbookViewId="0">
      <selection activeCell="G44" sqref="G44"/>
    </sheetView>
  </sheetViews>
  <sheetFormatPr defaultRowHeight="15"/>
  <cols>
    <col min="1" max="1" width="26.109375" customWidth="1"/>
    <col min="2" max="2" width="10.77734375" customWidth="1"/>
    <col min="8" max="8" width="13.6640625" customWidth="1"/>
    <col min="9" max="9" width="13" customWidth="1"/>
  </cols>
  <sheetData>
    <row r="1" spans="1:9" ht="15.75" thickBot="1">
      <c r="A1" t="str">
        <f>'Data sheet'!A63</f>
        <v>Annual Report of Veolia Water New York, Inc.                                                                             Year Ended  December 31, 2023</v>
      </c>
    </row>
    <row r="2" spans="1:9">
      <c r="A2" s="80"/>
      <c r="B2" s="1483"/>
      <c r="C2" s="1483"/>
      <c r="D2" s="1483"/>
      <c r="E2" s="1483"/>
      <c r="F2" s="1483"/>
      <c r="G2" s="1483"/>
      <c r="H2" s="1483"/>
      <c r="I2" s="1484"/>
    </row>
    <row r="3" spans="1:9" ht="15.75">
      <c r="A3" s="793" t="s">
        <v>1099</v>
      </c>
      <c r="B3" s="1485"/>
      <c r="C3" s="1485"/>
      <c r="D3" s="1485"/>
      <c r="E3" s="1485"/>
      <c r="F3" s="1485"/>
      <c r="G3" s="1485"/>
      <c r="H3" s="1485"/>
      <c r="I3" s="1777"/>
    </row>
    <row r="4" spans="1:9">
      <c r="A4" s="123"/>
      <c r="B4" s="1487"/>
      <c r="C4" s="1487"/>
      <c r="D4" s="1487"/>
      <c r="E4" s="1487"/>
      <c r="F4" s="1487"/>
      <c r="G4" s="1487"/>
      <c r="H4" s="1487"/>
      <c r="I4" s="1488"/>
    </row>
    <row r="5" spans="1:9">
      <c r="A5" s="234"/>
      <c r="B5" s="1393" t="s">
        <v>4147</v>
      </c>
      <c r="C5" s="1489" t="s">
        <v>4148</v>
      </c>
      <c r="D5" s="1490"/>
      <c r="E5" s="1489" t="s">
        <v>4149</v>
      </c>
      <c r="F5" s="1490"/>
      <c r="G5" s="1346" t="s">
        <v>3062</v>
      </c>
      <c r="H5" s="1506" t="s">
        <v>4150</v>
      </c>
      <c r="I5" s="1492"/>
    </row>
    <row r="6" spans="1:9">
      <c r="A6" s="479" t="s">
        <v>3055</v>
      </c>
      <c r="B6" s="1393" t="s">
        <v>1089</v>
      </c>
      <c r="C6" s="1387" t="s">
        <v>202</v>
      </c>
      <c r="D6" s="1387"/>
      <c r="E6" s="1387" t="s">
        <v>202</v>
      </c>
      <c r="F6" s="1387"/>
      <c r="G6" s="1346" t="s">
        <v>250</v>
      </c>
      <c r="H6" s="1490"/>
      <c r="I6" s="1492"/>
    </row>
    <row r="7" spans="1:9">
      <c r="A7" s="479" t="s">
        <v>2185</v>
      </c>
      <c r="B7" s="1393" t="s">
        <v>1092</v>
      </c>
      <c r="C7" s="1387" t="s">
        <v>1093</v>
      </c>
      <c r="D7" s="1387" t="s">
        <v>2817</v>
      </c>
      <c r="E7" s="1387" t="s">
        <v>1093</v>
      </c>
      <c r="F7" s="1387" t="s">
        <v>2817</v>
      </c>
      <c r="G7" s="1346" t="s">
        <v>1094</v>
      </c>
      <c r="H7" s="1393"/>
      <c r="I7" s="1418" t="s">
        <v>79</v>
      </c>
    </row>
    <row r="8" spans="1:9">
      <c r="A8" s="234"/>
      <c r="B8" s="1393" t="s">
        <v>3071</v>
      </c>
      <c r="C8" s="1387" t="s">
        <v>1097</v>
      </c>
      <c r="D8" s="1387" t="s">
        <v>3071</v>
      </c>
      <c r="E8" s="1387" t="s">
        <v>1097</v>
      </c>
      <c r="F8" s="1387" t="s">
        <v>3071</v>
      </c>
      <c r="G8" s="1346" t="s">
        <v>3071</v>
      </c>
      <c r="H8" s="1393" t="s">
        <v>513</v>
      </c>
      <c r="I8" s="2164" t="str">
        <f>+'412a'!I8</f>
        <v>12/31/2023</v>
      </c>
    </row>
    <row r="9" spans="1:9">
      <c r="A9" s="234"/>
      <c r="B9" s="1393"/>
      <c r="C9" s="1387"/>
      <c r="D9" s="1346"/>
      <c r="E9" s="1346"/>
      <c r="F9" s="1346"/>
      <c r="G9" s="1346"/>
      <c r="H9" s="1837"/>
      <c r="I9" s="1838"/>
    </row>
    <row r="10" spans="1:9">
      <c r="A10" s="234" t="s">
        <v>2571</v>
      </c>
      <c r="B10" s="1346">
        <v>4</v>
      </c>
      <c r="C10" s="1437">
        <v>2</v>
      </c>
      <c r="D10" s="1387" t="s">
        <v>510</v>
      </c>
      <c r="E10" s="1437">
        <v>1</v>
      </c>
      <c r="F10" s="1387" t="s">
        <v>511</v>
      </c>
      <c r="G10" s="1346">
        <v>4</v>
      </c>
      <c r="H10" s="1481">
        <v>4</v>
      </c>
      <c r="I10" s="1739">
        <v>6</v>
      </c>
    </row>
    <row r="11" spans="1:9" ht="15.75" thickBot="1">
      <c r="A11" s="235" t="s">
        <v>3491</v>
      </c>
      <c r="B11" s="1493">
        <v>6</v>
      </c>
      <c r="C11" s="1494">
        <v>2</v>
      </c>
      <c r="D11" s="1500" t="s">
        <v>510</v>
      </c>
      <c r="E11" s="1494">
        <v>1</v>
      </c>
      <c r="F11" s="1500" t="s">
        <v>511</v>
      </c>
      <c r="G11" s="1497">
        <v>6</v>
      </c>
      <c r="H11" s="1502">
        <v>145</v>
      </c>
      <c r="I11" s="1740">
        <v>147</v>
      </c>
    </row>
    <row r="12" spans="1:9" ht="15.75" thickBot="1">
      <c r="A12" s="1498" t="s">
        <v>1738</v>
      </c>
      <c r="B12" s="1483"/>
      <c r="C12" s="1387"/>
      <c r="D12" s="1387"/>
      <c r="E12" s="1387"/>
      <c r="F12" s="1387"/>
      <c r="G12" s="1346"/>
      <c r="H12" s="1852">
        <f>SUM(H10:H11)</f>
        <v>149</v>
      </c>
      <c r="I12" s="1842">
        <f t="shared" ref="I12" si="0">SUM(I10:I11)</f>
        <v>153</v>
      </c>
    </row>
    <row r="13" spans="1:9">
      <c r="A13" s="1515"/>
      <c r="B13" s="1511"/>
      <c r="C13" s="1387"/>
      <c r="D13" s="1387"/>
      <c r="E13" s="1387"/>
      <c r="F13" s="1387"/>
      <c r="G13" s="1346"/>
      <c r="H13" s="1854"/>
      <c r="I13" s="1846"/>
    </row>
    <row r="14" spans="1:9">
      <c r="A14" s="234" t="s">
        <v>41</v>
      </c>
      <c r="B14" s="1346">
        <v>4</v>
      </c>
      <c r="C14" s="1437">
        <v>2</v>
      </c>
      <c r="D14" s="1387" t="s">
        <v>510</v>
      </c>
      <c r="E14" s="1437">
        <v>1</v>
      </c>
      <c r="F14" s="1387" t="s">
        <v>511</v>
      </c>
      <c r="G14" s="1346">
        <v>4</v>
      </c>
      <c r="H14" s="1481">
        <v>10</v>
      </c>
      <c r="I14" s="1739">
        <v>11</v>
      </c>
    </row>
    <row r="15" spans="1:9" ht="15.75" thickBot="1">
      <c r="A15" s="235" t="s">
        <v>3491</v>
      </c>
      <c r="B15" s="1493">
        <v>6</v>
      </c>
      <c r="C15" s="1494">
        <v>2</v>
      </c>
      <c r="D15" s="1500" t="s">
        <v>510</v>
      </c>
      <c r="E15" s="1494">
        <v>1</v>
      </c>
      <c r="F15" s="1500" t="s">
        <v>511</v>
      </c>
      <c r="G15" s="1497">
        <v>6</v>
      </c>
      <c r="H15" s="1502">
        <v>34</v>
      </c>
      <c r="I15" s="1740">
        <v>34</v>
      </c>
    </row>
    <row r="16" spans="1:9" ht="15.75" thickBot="1">
      <c r="A16" s="1498" t="s">
        <v>1738</v>
      </c>
      <c r="B16" s="1483"/>
      <c r="C16" s="1499"/>
      <c r="D16" s="1429"/>
      <c r="E16" s="1499"/>
      <c r="F16" s="1429"/>
      <c r="G16" s="1401"/>
      <c r="H16" s="2567">
        <f>SUM(H14:H15)</f>
        <v>44</v>
      </c>
      <c r="I16" s="2568">
        <f t="shared" ref="I16" si="1">SUM(I14:I15)</f>
        <v>45</v>
      </c>
    </row>
    <row r="17" spans="1:9">
      <c r="A17" s="1515"/>
      <c r="B17" s="1511"/>
      <c r="C17" s="1387"/>
      <c r="D17" s="1387"/>
      <c r="E17" s="1387"/>
      <c r="F17" s="1387"/>
      <c r="G17" s="1346"/>
      <c r="H17" s="1854"/>
      <c r="I17" s="1846"/>
    </row>
    <row r="18" spans="1:9">
      <c r="A18" s="234" t="s">
        <v>1343</v>
      </c>
      <c r="B18" s="1393">
        <v>4</v>
      </c>
      <c r="C18" s="1346">
        <v>2</v>
      </c>
      <c r="D18" s="1346" t="s">
        <v>510</v>
      </c>
      <c r="E18" s="1346">
        <v>1</v>
      </c>
      <c r="F18" s="1346" t="s">
        <v>511</v>
      </c>
      <c r="G18" s="1346">
        <v>4</v>
      </c>
      <c r="H18" s="1844">
        <v>52</v>
      </c>
      <c r="I18" s="1838">
        <v>55</v>
      </c>
    </row>
    <row r="19" spans="1:9" ht="15.75" thickBot="1">
      <c r="A19" s="234" t="s">
        <v>3489</v>
      </c>
      <c r="B19" s="1393">
        <v>6</v>
      </c>
      <c r="C19" s="1346">
        <v>2</v>
      </c>
      <c r="D19" s="1346" t="s">
        <v>510</v>
      </c>
      <c r="E19" s="1346">
        <v>1</v>
      </c>
      <c r="F19" s="1346" t="s">
        <v>511</v>
      </c>
      <c r="G19" s="1346">
        <v>6</v>
      </c>
      <c r="H19" s="1844">
        <v>53</v>
      </c>
      <c r="I19" s="1838">
        <v>55</v>
      </c>
    </row>
    <row r="20" spans="1:9" ht="15.75" thickBot="1">
      <c r="A20" s="1498" t="s">
        <v>1738</v>
      </c>
      <c r="B20" s="1483"/>
      <c r="C20" s="1429"/>
      <c r="D20" s="1429"/>
      <c r="E20" s="1429"/>
      <c r="F20" s="1429"/>
      <c r="G20" s="1401"/>
      <c r="H20" s="1841">
        <f>SUM(H18:H19)</f>
        <v>105</v>
      </c>
      <c r="I20" s="1842">
        <f t="shared" ref="I20" si="2">SUM(I18:I19)</f>
        <v>110</v>
      </c>
    </row>
    <row r="21" spans="1:9">
      <c r="A21" s="1515"/>
      <c r="B21" s="1511"/>
      <c r="C21" s="1387"/>
      <c r="D21" s="1387"/>
      <c r="E21" s="1387"/>
      <c r="F21" s="1387"/>
      <c r="G21" s="1346"/>
      <c r="H21" s="1854"/>
      <c r="I21" s="1846"/>
    </row>
    <row r="22" spans="1:9">
      <c r="A22" s="234" t="s">
        <v>1460</v>
      </c>
      <c r="B22" s="1393">
        <v>4</v>
      </c>
      <c r="C22" s="1437">
        <v>2</v>
      </c>
      <c r="D22" s="1501" t="s">
        <v>510</v>
      </c>
      <c r="E22" s="1437">
        <v>1</v>
      </c>
      <c r="F22" s="1346" t="s">
        <v>511</v>
      </c>
      <c r="G22" s="1346">
        <v>4</v>
      </c>
      <c r="H22" s="1346">
        <v>5</v>
      </c>
      <c r="I22" s="1737">
        <v>5</v>
      </c>
    </row>
    <row r="23" spans="1:9" ht="15.75" thickBot="1">
      <c r="A23" s="234" t="s">
        <v>1301</v>
      </c>
      <c r="B23" s="1504">
        <v>6</v>
      </c>
      <c r="C23" s="1503">
        <v>2</v>
      </c>
      <c r="D23" s="2695" t="s">
        <v>510</v>
      </c>
      <c r="E23" s="1503">
        <v>1</v>
      </c>
      <c r="F23" s="1505" t="s">
        <v>511</v>
      </c>
      <c r="G23" s="1505">
        <v>6</v>
      </c>
      <c r="H23" s="1346">
        <v>77</v>
      </c>
      <c r="I23" s="1737">
        <v>77</v>
      </c>
    </row>
    <row r="24" spans="1:9" ht="15.75" thickBot="1">
      <c r="A24" s="1498" t="s">
        <v>1738</v>
      </c>
      <c r="B24" s="1393"/>
      <c r="C24" s="1437"/>
      <c r="D24" s="1387"/>
      <c r="E24" s="1437"/>
      <c r="F24" s="1387"/>
      <c r="G24" s="1346"/>
      <c r="H24" s="1741">
        <f>SUM(H22:H23)</f>
        <v>82</v>
      </c>
      <c r="I24" s="2678">
        <f t="shared" ref="I24" si="3">SUM(I22:I23)</f>
        <v>82</v>
      </c>
    </row>
    <row r="25" spans="1:9">
      <c r="A25" s="1515"/>
      <c r="B25" s="1511"/>
      <c r="C25" s="1387"/>
      <c r="D25" s="1387"/>
      <c r="E25" s="1387"/>
      <c r="F25" s="1387"/>
      <c r="G25" s="1346"/>
      <c r="H25" s="1854"/>
      <c r="I25" s="1846"/>
    </row>
    <row r="26" spans="1:9">
      <c r="A26" s="234" t="s">
        <v>1460</v>
      </c>
      <c r="B26" s="1346">
        <v>4</v>
      </c>
      <c r="C26" s="1481">
        <v>2</v>
      </c>
      <c r="D26" s="1417" t="s">
        <v>510</v>
      </c>
      <c r="E26" s="1481">
        <v>1</v>
      </c>
      <c r="F26" s="1346" t="s">
        <v>511</v>
      </c>
      <c r="G26" s="1346">
        <v>4</v>
      </c>
      <c r="H26" s="1346">
        <v>27</v>
      </c>
      <c r="I26" s="1737">
        <v>27</v>
      </c>
    </row>
    <row r="27" spans="1:9" ht="15.75" thickBot="1">
      <c r="A27" s="235" t="s">
        <v>3491</v>
      </c>
      <c r="B27" s="1497">
        <v>6</v>
      </c>
      <c r="C27" s="1496">
        <v>2</v>
      </c>
      <c r="D27" s="1495" t="s">
        <v>510</v>
      </c>
      <c r="E27" s="1496">
        <v>1</v>
      </c>
      <c r="F27" s="1497" t="s">
        <v>511</v>
      </c>
      <c r="G27" s="1497">
        <v>6</v>
      </c>
      <c r="H27" s="1502">
        <v>15</v>
      </c>
      <c r="I27" s="1740">
        <v>15</v>
      </c>
    </row>
    <row r="28" spans="1:9" ht="15.75" thickBot="1">
      <c r="A28" s="1498" t="s">
        <v>1738</v>
      </c>
      <c r="B28" s="1483"/>
      <c r="C28" s="1499"/>
      <c r="D28" s="1429"/>
      <c r="E28" s="1499"/>
      <c r="F28" s="1429"/>
      <c r="G28" s="1401"/>
      <c r="H28" s="1516">
        <f>SUM(H26:H27)</f>
        <v>42</v>
      </c>
      <c r="I28" s="1738">
        <f t="shared" ref="I28" si="4">SUM(I26:I27)</f>
        <v>42</v>
      </c>
    </row>
    <row r="29" spans="1:9">
      <c r="A29" s="1507"/>
      <c r="B29" s="1393"/>
      <c r="C29" s="1437"/>
      <c r="D29" s="1387"/>
      <c r="E29" s="1437"/>
      <c r="F29" s="1387"/>
      <c r="G29" s="1346"/>
      <c r="H29" s="2565"/>
      <c r="I29" s="1484"/>
    </row>
    <row r="30" spans="1:9">
      <c r="A30" s="83" t="s">
        <v>3168</v>
      </c>
      <c r="B30" s="1511">
        <v>4</v>
      </c>
      <c r="C30" s="1387">
        <v>2</v>
      </c>
      <c r="D30" s="1417" t="s">
        <v>510</v>
      </c>
      <c r="E30" s="1346">
        <v>1</v>
      </c>
      <c r="F30" s="1346" t="s">
        <v>511</v>
      </c>
      <c r="G30" s="1346">
        <v>4</v>
      </c>
      <c r="H30" s="1850">
        <v>19</v>
      </c>
      <c r="I30" s="1838">
        <v>18</v>
      </c>
    </row>
    <row r="31" spans="1:9" ht="15.75" thickBot="1">
      <c r="A31" s="2696" t="s">
        <v>3491</v>
      </c>
      <c r="B31" s="1511">
        <v>6</v>
      </c>
      <c r="C31" s="1387">
        <v>2</v>
      </c>
      <c r="D31" s="1550">
        <v>2.5</v>
      </c>
      <c r="E31" s="1346">
        <v>1</v>
      </c>
      <c r="F31" s="1551" t="s">
        <v>511</v>
      </c>
      <c r="G31" s="1346">
        <v>6</v>
      </c>
      <c r="H31" s="1851">
        <v>119</v>
      </c>
      <c r="I31" s="1840">
        <v>119</v>
      </c>
    </row>
    <row r="32" spans="1:9" ht="15.75" thickBot="1">
      <c r="A32" s="1512" t="s">
        <v>1738</v>
      </c>
      <c r="B32" s="1513"/>
      <c r="C32" s="1429"/>
      <c r="D32" s="1429"/>
      <c r="E32" s="1429"/>
      <c r="F32" s="1429"/>
      <c r="G32" s="1401"/>
      <c r="H32" s="1852">
        <f>SUM(H30:H31)</f>
        <v>138</v>
      </c>
      <c r="I32" s="1842">
        <f t="shared" ref="I32" si="5">SUM(I30:I31)</f>
        <v>137</v>
      </c>
    </row>
    <row r="33" spans="1:9">
      <c r="A33" s="1507"/>
      <c r="B33" s="1393"/>
      <c r="C33" s="1437"/>
      <c r="D33" s="1387"/>
      <c r="E33" s="1437"/>
      <c r="F33" s="1387"/>
      <c r="G33" s="1346"/>
      <c r="H33" s="2565"/>
      <c r="I33" s="1484"/>
    </row>
    <row r="34" spans="1:9">
      <c r="A34" s="1507"/>
      <c r="B34" s="1393"/>
      <c r="C34" s="1437"/>
      <c r="D34" s="1387"/>
      <c r="E34" s="1437"/>
      <c r="F34" s="1387"/>
      <c r="G34" s="1346"/>
      <c r="H34" s="1837"/>
      <c r="I34" s="1838"/>
    </row>
    <row r="35" spans="1:9">
      <c r="A35" s="1507"/>
      <c r="B35" s="1393"/>
      <c r="C35" s="1437"/>
      <c r="D35" s="1387"/>
      <c r="E35" s="1437"/>
      <c r="F35" s="1387"/>
      <c r="G35" s="1346"/>
      <c r="H35" s="1837"/>
      <c r="I35" s="1838"/>
    </row>
    <row r="36" spans="1:9">
      <c r="A36" s="1507"/>
      <c r="B36" s="1393"/>
      <c r="C36" s="1437"/>
      <c r="D36" s="1387"/>
      <c r="E36" s="1437"/>
      <c r="F36" s="1387"/>
      <c r="G36" s="1346"/>
      <c r="H36" s="1837"/>
      <c r="I36" s="1838"/>
    </row>
    <row r="37" spans="1:9" ht="15.75" thickBot="1">
      <c r="A37" s="1508"/>
      <c r="B37" s="1509"/>
      <c r="C37" s="1504"/>
      <c r="D37" s="1504"/>
      <c r="E37" s="1504"/>
      <c r="F37" s="1504"/>
      <c r="G37" s="1505"/>
      <c r="H37" s="1855"/>
      <c r="I37" s="1849"/>
    </row>
    <row r="38" spans="1:9" ht="15.75" thickBot="1">
      <c r="A38" s="235"/>
      <c r="B38" s="1493"/>
      <c r="C38" s="1494"/>
      <c r="D38" s="1500"/>
      <c r="E38" s="1494"/>
      <c r="F38" s="1500"/>
      <c r="G38" s="1744" t="s">
        <v>3537</v>
      </c>
      <c r="H38" s="1856">
        <f>SUM(H12+H16+H20+H24+H28+H32)</f>
        <v>560</v>
      </c>
      <c r="I38" s="1840">
        <f>SUM(I12+I16+I20+I24+I28+I32)</f>
        <v>569</v>
      </c>
    </row>
    <row r="39" spans="1:9">
      <c r="A39" s="1333" t="s">
        <v>2024</v>
      </c>
      <c r="G39" s="1393"/>
      <c r="I39" s="1393"/>
    </row>
    <row r="40" spans="1:9">
      <c r="A40" s="954" t="s">
        <v>685</v>
      </c>
      <c r="B40" s="954"/>
      <c r="C40" s="954"/>
      <c r="D40" s="954"/>
      <c r="E40" s="954"/>
      <c r="F40" s="954"/>
      <c r="G40" s="954"/>
      <c r="H40" s="954"/>
      <c r="I40" s="954"/>
    </row>
  </sheetData>
  <phoneticPr fontId="0" type="noConversion"/>
  <pageMargins left="0.5" right="0.5" top="0.64" bottom="0.5" header="0" footer="0"/>
  <pageSetup scale="87" orientation="landscape"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21"/>
  <dimension ref="A1:L47"/>
  <sheetViews>
    <sheetView zoomScaleNormal="100" workbookViewId="0">
      <pane xSplit="1" ySplit="8" topLeftCell="B23" activePane="bottomRight" state="frozen"/>
      <selection activeCell="M41" sqref="M41"/>
      <selection pane="topRight" activeCell="M41" sqref="M41"/>
      <selection pane="bottomLeft" activeCell="M41" sqref="M41"/>
      <selection pane="bottomRight" activeCell="K42" sqref="K42"/>
    </sheetView>
  </sheetViews>
  <sheetFormatPr defaultRowHeight="15"/>
  <cols>
    <col min="1" max="1" width="28.33203125" customWidth="1"/>
    <col min="2" max="2" width="10.33203125" customWidth="1"/>
    <col min="7" max="7" width="10.21875" customWidth="1"/>
    <col min="8" max="8" width="13" customWidth="1"/>
    <col min="9" max="9" width="13.21875" customWidth="1"/>
  </cols>
  <sheetData>
    <row r="1" spans="1:9" ht="15.75" thickBot="1">
      <c r="A1" t="str">
        <f>'Data sheet'!A63</f>
        <v>Annual Report of Veolia Water New York, Inc.                                                                             Year Ended  December 31, 2023</v>
      </c>
    </row>
    <row r="2" spans="1:9">
      <c r="A2" s="80"/>
      <c r="B2" s="1483"/>
      <c r="C2" s="1483"/>
      <c r="D2" s="1483"/>
      <c r="E2" s="1483"/>
      <c r="F2" s="1483"/>
      <c r="G2" s="1483"/>
      <c r="H2" s="1483"/>
      <c r="I2" s="1484"/>
    </row>
    <row r="3" spans="1:9" ht="15.75">
      <c r="A3" s="793" t="s">
        <v>1099</v>
      </c>
      <c r="B3" s="1485"/>
      <c r="C3" s="1485"/>
      <c r="D3" s="1485"/>
      <c r="E3" s="1485"/>
      <c r="F3" s="1485"/>
      <c r="G3" s="1485"/>
      <c r="H3" s="1485"/>
      <c r="I3" s="1486"/>
    </row>
    <row r="4" spans="1:9">
      <c r="A4" s="123"/>
      <c r="B4" s="1487"/>
      <c r="C4" s="1487"/>
      <c r="D4" s="1487"/>
      <c r="E4" s="1487"/>
      <c r="F4" s="1487"/>
      <c r="G4" s="1487"/>
      <c r="H4" s="1487"/>
      <c r="I4" s="1488"/>
    </row>
    <row r="5" spans="1:9">
      <c r="A5" s="83"/>
      <c r="B5" s="1510" t="s">
        <v>4147</v>
      </c>
      <c r="C5" s="1489" t="s">
        <v>4148</v>
      </c>
      <c r="D5" s="1490"/>
      <c r="E5" s="1489" t="s">
        <v>4149</v>
      </c>
      <c r="F5" s="1490"/>
      <c r="G5" s="1346" t="s">
        <v>3062</v>
      </c>
      <c r="H5" s="1506" t="s">
        <v>4150</v>
      </c>
      <c r="I5" s="1492"/>
    </row>
    <row r="6" spans="1:9">
      <c r="A6" s="595" t="s">
        <v>3055</v>
      </c>
      <c r="B6" s="1511" t="s">
        <v>1089</v>
      </c>
      <c r="C6" s="1387" t="s">
        <v>202</v>
      </c>
      <c r="D6" s="1387"/>
      <c r="E6" s="1387" t="s">
        <v>202</v>
      </c>
      <c r="F6" s="1387"/>
      <c r="G6" s="1346" t="s">
        <v>250</v>
      </c>
      <c r="H6" s="1490"/>
      <c r="I6" s="1492"/>
    </row>
    <row r="7" spans="1:9">
      <c r="A7" s="595" t="s">
        <v>2185</v>
      </c>
      <c r="B7" s="1511" t="s">
        <v>1092</v>
      </c>
      <c r="C7" s="1387" t="s">
        <v>1093</v>
      </c>
      <c r="D7" s="1387" t="s">
        <v>2817</v>
      </c>
      <c r="E7" s="1387" t="s">
        <v>1093</v>
      </c>
      <c r="F7" s="1387" t="s">
        <v>2817</v>
      </c>
      <c r="G7" s="1346" t="s">
        <v>1094</v>
      </c>
      <c r="H7" s="1393"/>
      <c r="I7" s="1418" t="s">
        <v>79</v>
      </c>
    </row>
    <row r="8" spans="1:9">
      <c r="A8" s="83"/>
      <c r="B8" s="1511" t="s">
        <v>3071</v>
      </c>
      <c r="C8" s="1387" t="s">
        <v>1097</v>
      </c>
      <c r="D8" s="1387" t="s">
        <v>3071</v>
      </c>
      <c r="E8" s="1387" t="s">
        <v>1097</v>
      </c>
      <c r="F8" s="1387" t="s">
        <v>3071</v>
      </c>
      <c r="G8" s="1346" t="s">
        <v>3071</v>
      </c>
      <c r="H8" s="1393" t="s">
        <v>513</v>
      </c>
      <c r="I8" s="2164" t="str">
        <f>+'412a'!I8</f>
        <v>12/31/2023</v>
      </c>
    </row>
    <row r="9" spans="1:9">
      <c r="A9" s="234"/>
      <c r="B9" s="1393"/>
      <c r="C9" s="1387"/>
      <c r="D9" s="1346"/>
      <c r="E9" s="1346"/>
      <c r="F9" s="1346"/>
      <c r="G9" s="1346"/>
      <c r="H9" s="1837"/>
      <c r="I9" s="1838"/>
    </row>
    <row r="10" spans="1:9">
      <c r="A10" s="234" t="s">
        <v>2888</v>
      </c>
      <c r="B10" s="1393">
        <v>4</v>
      </c>
      <c r="C10" s="1437">
        <v>2</v>
      </c>
      <c r="D10" s="1387" t="s">
        <v>510</v>
      </c>
      <c r="E10" s="1437">
        <v>1</v>
      </c>
      <c r="F10" s="1387" t="s">
        <v>511</v>
      </c>
      <c r="G10" s="1346">
        <v>4</v>
      </c>
      <c r="H10" s="1481">
        <v>2</v>
      </c>
      <c r="I10" s="1739">
        <v>2</v>
      </c>
    </row>
    <row r="11" spans="1:9" ht="15.75" thickBot="1">
      <c r="A11" s="234" t="s">
        <v>1748</v>
      </c>
      <c r="B11" s="1393">
        <v>6</v>
      </c>
      <c r="C11" s="1437">
        <v>2</v>
      </c>
      <c r="D11" s="1387" t="s">
        <v>510</v>
      </c>
      <c r="E11" s="1437">
        <v>1</v>
      </c>
      <c r="F11" s="1387" t="s">
        <v>511</v>
      </c>
      <c r="G11" s="1346">
        <v>6</v>
      </c>
      <c r="H11" s="1481">
        <v>37</v>
      </c>
      <c r="I11" s="1739">
        <v>36</v>
      </c>
    </row>
    <row r="12" spans="1:9" ht="15.75" thickBot="1">
      <c r="A12" s="1498" t="s">
        <v>1738</v>
      </c>
      <c r="B12" s="1483"/>
      <c r="C12" s="1499"/>
      <c r="D12" s="1499"/>
      <c r="E12" s="1499"/>
      <c r="F12" s="1429"/>
      <c r="G12" s="1401"/>
      <c r="H12" s="2567">
        <f>SUM(H10:H11)</f>
        <v>39</v>
      </c>
      <c r="I12" s="2568">
        <f t="shared" ref="I12" si="0">SUM(I10:I11)</f>
        <v>38</v>
      </c>
    </row>
    <row r="13" spans="1:9">
      <c r="A13" s="1507"/>
      <c r="B13" s="1393"/>
      <c r="C13" s="1437"/>
      <c r="D13" s="1387"/>
      <c r="E13" s="1437"/>
      <c r="F13" s="1387"/>
      <c r="G13" s="1346"/>
      <c r="H13" s="2566"/>
      <c r="I13" s="1737"/>
    </row>
    <row r="14" spans="1:9">
      <c r="A14" s="234" t="s">
        <v>2888</v>
      </c>
      <c r="B14" s="1346">
        <v>4</v>
      </c>
      <c r="C14" s="1346">
        <v>1</v>
      </c>
      <c r="D14" s="1346">
        <v>4</v>
      </c>
      <c r="E14" s="1346">
        <v>1</v>
      </c>
      <c r="F14" s="1346" t="s">
        <v>511</v>
      </c>
      <c r="G14" s="1346">
        <v>4</v>
      </c>
      <c r="H14" s="1346">
        <v>20</v>
      </c>
      <c r="I14" s="1737">
        <v>25</v>
      </c>
    </row>
    <row r="15" spans="1:9" ht="15.75" thickBot="1">
      <c r="A15" s="234" t="s">
        <v>3491</v>
      </c>
      <c r="B15" s="1346">
        <v>6</v>
      </c>
      <c r="C15" s="1346">
        <v>1</v>
      </c>
      <c r="D15" s="1346">
        <v>4</v>
      </c>
      <c r="E15" s="1346">
        <v>1</v>
      </c>
      <c r="F15" s="1346" t="s">
        <v>511</v>
      </c>
      <c r="G15" s="1346">
        <v>6</v>
      </c>
      <c r="H15" s="1346">
        <v>209</v>
      </c>
      <c r="I15" s="1737">
        <v>211</v>
      </c>
    </row>
    <row r="16" spans="1:9" ht="15.75" thickBot="1">
      <c r="A16" s="1498" t="s">
        <v>1738</v>
      </c>
      <c r="B16" s="1483"/>
      <c r="C16" s="1499"/>
      <c r="D16" s="1429"/>
      <c r="E16" s="1499"/>
      <c r="F16" s="1429"/>
      <c r="G16" s="1401"/>
      <c r="H16" s="1516">
        <f>SUM(H14:H15)</f>
        <v>229</v>
      </c>
      <c r="I16" s="1738">
        <f t="shared" ref="I16" si="1">SUM(I14:I15)</f>
        <v>236</v>
      </c>
    </row>
    <row r="17" spans="1:9">
      <c r="A17" s="1507"/>
      <c r="B17" s="1393"/>
      <c r="C17" s="1437"/>
      <c r="D17" s="1387"/>
      <c r="E17" s="1437"/>
      <c r="F17" s="1387"/>
      <c r="G17" s="1346"/>
      <c r="H17" s="2566"/>
      <c r="I17" s="1737"/>
    </row>
    <row r="18" spans="1:9">
      <c r="A18" s="234" t="s">
        <v>2279</v>
      </c>
      <c r="B18" s="1393">
        <v>4</v>
      </c>
      <c r="C18" s="1387">
        <v>2</v>
      </c>
      <c r="D18" s="1346" t="s">
        <v>510</v>
      </c>
      <c r="E18" s="1346">
        <v>1</v>
      </c>
      <c r="F18" s="1346" t="s">
        <v>511</v>
      </c>
      <c r="G18" s="1346">
        <v>4</v>
      </c>
      <c r="H18" s="1837">
        <v>5</v>
      </c>
      <c r="I18" s="1838">
        <v>5</v>
      </c>
    </row>
    <row r="19" spans="1:9" ht="15.75" thickBot="1">
      <c r="A19" s="235" t="s">
        <v>1748</v>
      </c>
      <c r="B19" s="1493">
        <v>6</v>
      </c>
      <c r="C19" s="1500">
        <v>2</v>
      </c>
      <c r="D19" s="1500" t="s">
        <v>510</v>
      </c>
      <c r="E19" s="1500">
        <v>1</v>
      </c>
      <c r="F19" s="1497" t="s">
        <v>511</v>
      </c>
      <c r="G19" s="1497">
        <v>6</v>
      </c>
      <c r="H19" s="1843">
        <v>68</v>
      </c>
      <c r="I19" s="1840">
        <v>68</v>
      </c>
    </row>
    <row r="20" spans="1:9" ht="15.75" thickBot="1">
      <c r="A20" s="1498" t="s">
        <v>1738</v>
      </c>
      <c r="B20" s="1483"/>
      <c r="C20" s="1429"/>
      <c r="D20" s="1429"/>
      <c r="E20" s="1429"/>
      <c r="F20" s="1429"/>
      <c r="G20" s="1401"/>
      <c r="H20" s="1841">
        <f>SUM(H18:H19)</f>
        <v>73</v>
      </c>
      <c r="I20" s="1842">
        <f t="shared" ref="I20" si="2">SUM(I18:I19)</f>
        <v>73</v>
      </c>
    </row>
    <row r="21" spans="1:9">
      <c r="A21" s="1507"/>
      <c r="B21" s="1393"/>
      <c r="C21" s="1387"/>
      <c r="D21" s="1387"/>
      <c r="E21" s="1387"/>
      <c r="F21" s="1387"/>
      <c r="G21" s="1346"/>
      <c r="H21" s="1844"/>
      <c r="I21" s="1838"/>
    </row>
    <row r="22" spans="1:9">
      <c r="A22" s="234" t="s">
        <v>2166</v>
      </c>
      <c r="B22" s="1387">
        <v>6</v>
      </c>
      <c r="C22" s="1387">
        <v>2</v>
      </c>
      <c r="D22" s="1346" t="s">
        <v>510</v>
      </c>
      <c r="E22" s="1346">
        <v>1</v>
      </c>
      <c r="F22" s="1346" t="s">
        <v>511</v>
      </c>
      <c r="G22" s="1346">
        <v>6</v>
      </c>
      <c r="H22" s="1850">
        <v>182</v>
      </c>
      <c r="I22" s="1838">
        <v>196</v>
      </c>
    </row>
    <row r="23" spans="1:9" ht="15.75" thickBot="1">
      <c r="A23" s="234" t="s">
        <v>3491</v>
      </c>
      <c r="B23" s="1493"/>
      <c r="C23" s="1500"/>
      <c r="D23" s="1500"/>
      <c r="E23" s="1500"/>
      <c r="F23" s="1500"/>
      <c r="G23" s="1497"/>
      <c r="H23" s="1851"/>
      <c r="I23" s="1838"/>
    </row>
    <row r="24" spans="1:9" ht="15.75" thickBot="1">
      <c r="A24" s="1498" t="s">
        <v>1738</v>
      </c>
      <c r="B24" s="1483"/>
      <c r="C24" s="1429"/>
      <c r="D24" s="1429"/>
      <c r="E24" s="1429"/>
      <c r="F24" s="1429"/>
      <c r="G24" s="1401"/>
      <c r="H24" s="1852">
        <f>SUM(H22:H23)</f>
        <v>182</v>
      </c>
      <c r="I24" s="1842">
        <f t="shared" ref="I24" si="3">SUM(I22:I23)</f>
        <v>196</v>
      </c>
    </row>
    <row r="25" spans="1:9">
      <c r="A25" s="234"/>
      <c r="B25" s="1393"/>
      <c r="C25" s="1387"/>
      <c r="D25" s="1387"/>
      <c r="E25" s="1387"/>
      <c r="F25" s="1387"/>
      <c r="G25" s="1346"/>
      <c r="H25" s="1853"/>
      <c r="I25" s="1838"/>
    </row>
    <row r="26" spans="1:9">
      <c r="A26" s="234" t="s">
        <v>31</v>
      </c>
      <c r="B26" s="1393">
        <v>4</v>
      </c>
      <c r="C26" s="1387">
        <v>2</v>
      </c>
      <c r="D26" s="1346" t="s">
        <v>510</v>
      </c>
      <c r="E26" s="1346">
        <v>1</v>
      </c>
      <c r="F26" s="1346" t="s">
        <v>511</v>
      </c>
      <c r="G26" s="1346">
        <v>4</v>
      </c>
      <c r="H26" s="1853">
        <v>6</v>
      </c>
      <c r="I26" s="1838">
        <v>10</v>
      </c>
    </row>
    <row r="27" spans="1:9" ht="15.75" thickBot="1">
      <c r="A27" s="226" t="s">
        <v>1301</v>
      </c>
      <c r="B27" s="1393">
        <v>6</v>
      </c>
      <c r="C27" s="1387">
        <v>2</v>
      </c>
      <c r="D27" s="1500" t="s">
        <v>510</v>
      </c>
      <c r="E27" s="1346">
        <v>1</v>
      </c>
      <c r="F27" s="1346" t="s">
        <v>511</v>
      </c>
      <c r="G27" s="1346">
        <v>6</v>
      </c>
      <c r="H27" s="1853">
        <v>144</v>
      </c>
      <c r="I27" s="1838">
        <v>145</v>
      </c>
    </row>
    <row r="28" spans="1:9" ht="15.75" thickBot="1">
      <c r="A28" s="1498" t="s">
        <v>1738</v>
      </c>
      <c r="B28" s="1483"/>
      <c r="C28" s="1429"/>
      <c r="D28" s="1429"/>
      <c r="E28" s="1429"/>
      <c r="F28" s="1429"/>
      <c r="G28" s="1401"/>
      <c r="H28" s="1852">
        <f>SUM(H26:H27)</f>
        <v>150</v>
      </c>
      <c r="I28" s="1842">
        <f t="shared" ref="I28" si="4">SUM(I26:I27)</f>
        <v>155</v>
      </c>
    </row>
    <row r="29" spans="1:9">
      <c r="A29" s="234"/>
      <c r="B29" s="1393"/>
      <c r="C29" s="1387"/>
      <c r="D29" s="1387"/>
      <c r="E29" s="1387"/>
      <c r="F29" s="1387"/>
      <c r="G29" s="1346"/>
      <c r="H29" s="1853"/>
      <c r="I29" s="1838"/>
    </row>
    <row r="30" spans="1:9">
      <c r="A30" s="1507"/>
      <c r="B30" s="1393"/>
      <c r="C30" s="1387"/>
      <c r="D30" s="1387"/>
      <c r="E30" s="1387"/>
      <c r="F30" s="1387"/>
      <c r="G30" s="1346"/>
      <c r="H30" s="1853"/>
      <c r="I30" s="1838"/>
    </row>
    <row r="31" spans="1:9" ht="15.75" thickBot="1">
      <c r="A31" s="124" t="s">
        <v>4758</v>
      </c>
      <c r="B31" s="1511">
        <v>6</v>
      </c>
      <c r="C31" s="1500">
        <v>2</v>
      </c>
      <c r="D31" s="1548" t="s">
        <v>510</v>
      </c>
      <c r="E31" s="1500">
        <v>1</v>
      </c>
      <c r="F31" s="1548" t="s">
        <v>511</v>
      </c>
      <c r="G31" s="1497">
        <v>6</v>
      </c>
      <c r="H31" s="1851">
        <v>62</v>
      </c>
      <c r="I31" s="1840">
        <v>62</v>
      </c>
    </row>
    <row r="32" spans="1:9" ht="15.75" thickBot="1">
      <c r="A32" s="1507" t="s">
        <v>1738</v>
      </c>
      <c r="B32" s="1513"/>
      <c r="C32" s="1387"/>
      <c r="D32" s="1387"/>
      <c r="E32" s="1387"/>
      <c r="F32" s="1387"/>
      <c r="G32" s="1346"/>
      <c r="H32" s="1856">
        <f>SUM(H30:H31)</f>
        <v>62</v>
      </c>
      <c r="I32" s="1840">
        <f t="shared" ref="I32" si="5">SUM(I30:I31)</f>
        <v>62</v>
      </c>
    </row>
    <row r="33" spans="1:12">
      <c r="A33" s="1507"/>
      <c r="B33" s="1393"/>
      <c r="C33" s="1387"/>
      <c r="D33" s="1387"/>
      <c r="E33" s="1387"/>
      <c r="F33" s="1387"/>
      <c r="G33" s="1346"/>
      <c r="H33" s="1853"/>
      <c r="I33" s="1838"/>
    </row>
    <row r="34" spans="1:12" ht="15.75" thickBot="1">
      <c r="A34" s="124" t="s">
        <v>4869</v>
      </c>
      <c r="B34" s="1548">
        <v>4.5</v>
      </c>
      <c r="C34" s="1500">
        <v>2</v>
      </c>
      <c r="D34" s="1548" t="s">
        <v>510</v>
      </c>
      <c r="E34" s="1500">
        <v>1</v>
      </c>
      <c r="F34" s="1548" t="s">
        <v>511</v>
      </c>
      <c r="G34" s="1497">
        <v>6</v>
      </c>
      <c r="H34" s="1851">
        <v>193</v>
      </c>
      <c r="I34" s="1840">
        <v>193</v>
      </c>
    </row>
    <row r="35" spans="1:12" ht="15.75" thickBot="1">
      <c r="A35" s="1507" t="s">
        <v>1738</v>
      </c>
      <c r="B35" s="1513"/>
      <c r="C35" s="1387"/>
      <c r="D35" s="1387"/>
      <c r="E35" s="1387"/>
      <c r="F35" s="1387"/>
      <c r="G35" s="1346"/>
      <c r="H35" s="1856">
        <f>SUM(H33:H34)</f>
        <v>193</v>
      </c>
      <c r="I35" s="1840">
        <f t="shared" ref="I35" si="6">SUM(I33:I34)</f>
        <v>193</v>
      </c>
    </row>
    <row r="36" spans="1:12">
      <c r="A36" s="1507"/>
      <c r="B36" s="1393"/>
      <c r="C36" s="1387"/>
      <c r="D36" s="1387"/>
      <c r="E36" s="1387"/>
      <c r="F36" s="1387"/>
      <c r="G36" s="1346"/>
      <c r="H36" s="1853"/>
      <c r="I36" s="1838"/>
    </row>
    <row r="37" spans="1:12">
      <c r="A37" s="234"/>
      <c r="B37" s="1393"/>
      <c r="C37" s="1387"/>
      <c r="D37" s="1346"/>
      <c r="E37" s="1346"/>
      <c r="F37" s="1346"/>
      <c r="G37" s="1346"/>
      <c r="H37" s="1837"/>
      <c r="I37" s="1838"/>
    </row>
    <row r="38" spans="1:12">
      <c r="A38" s="234"/>
      <c r="B38" s="1393"/>
      <c r="C38" s="1387"/>
      <c r="D38" s="1346"/>
      <c r="E38" s="1346"/>
      <c r="F38" s="1346"/>
      <c r="G38" s="1346"/>
      <c r="H38" s="1837"/>
      <c r="I38" s="1838"/>
    </row>
    <row r="39" spans="1:12" ht="15.75" thickBot="1">
      <c r="A39" s="1508"/>
      <c r="B39" s="1509"/>
      <c r="C39" s="1504"/>
      <c r="D39" s="1504"/>
      <c r="E39" s="1504"/>
      <c r="F39" s="1504"/>
      <c r="G39" s="1505"/>
      <c r="H39" s="1855"/>
      <c r="I39" s="1849"/>
    </row>
    <row r="40" spans="1:12" ht="15.75" thickBot="1">
      <c r="A40" s="235"/>
      <c r="B40" s="1493"/>
      <c r="C40" s="1494"/>
      <c r="D40" s="1500"/>
      <c r="E40" s="1494"/>
      <c r="F40" s="1500"/>
      <c r="G40" s="1744" t="s">
        <v>3537</v>
      </c>
      <c r="H40" s="1856">
        <f>SUM(+H12+H16+H20+H24+H28+H32+H35+H38)</f>
        <v>928</v>
      </c>
      <c r="I40" s="1840">
        <f>SUM(+I12+I16+I20+I24+I28+I32+I35+I38)</f>
        <v>953</v>
      </c>
    </row>
    <row r="41" spans="1:12">
      <c r="A41" s="1333" t="s">
        <v>2024</v>
      </c>
      <c r="G41" s="1393"/>
      <c r="H41" s="1576"/>
      <c r="I41" s="2559"/>
    </row>
    <row r="42" spans="1:12">
      <c r="A42" s="954" t="s">
        <v>686</v>
      </c>
      <c r="B42" s="954"/>
      <c r="C42" s="954"/>
      <c r="D42" s="954"/>
      <c r="E42" s="954"/>
      <c r="F42" s="954"/>
      <c r="G42" s="954"/>
      <c r="H42" s="954"/>
      <c r="I42" s="1543"/>
    </row>
    <row r="43" spans="1:12">
      <c r="A43" s="4"/>
      <c r="B43" s="954"/>
      <c r="C43" s="954"/>
      <c r="D43" s="954"/>
      <c r="E43" s="954"/>
      <c r="F43" s="954"/>
      <c r="G43" s="954"/>
      <c r="H43" s="954"/>
      <c r="I43" s="954"/>
    </row>
    <row r="44" spans="1:12">
      <c r="A44" s="2569"/>
      <c r="B44" s="2570"/>
      <c r="C44" s="2570"/>
      <c r="D44" s="2570"/>
      <c r="E44" s="2570"/>
      <c r="F44" s="2570"/>
      <c r="G44" s="2570"/>
      <c r="H44" s="2571">
        <f>+'412a'!H44+'412b'!H42+'412c'!H38+'412d'!H40</f>
        <v>6736</v>
      </c>
      <c r="I44" s="2571">
        <f>+'412a'!I44+'412b'!I42+'412c'!I38+I40</f>
        <v>6877</v>
      </c>
      <c r="J44" s="2572" t="s">
        <v>5174</v>
      </c>
      <c r="K44" s="2569"/>
      <c r="L44" s="2569"/>
    </row>
    <row r="45" spans="1:12">
      <c r="H45" s="1576"/>
      <c r="I45" s="1576"/>
    </row>
    <row r="46" spans="1:12">
      <c r="H46" s="1576"/>
      <c r="I46" s="1576"/>
    </row>
    <row r="47" spans="1:12">
      <c r="H47" s="1576"/>
    </row>
  </sheetData>
  <phoneticPr fontId="0" type="noConversion"/>
  <pageMargins left="0.5" right="0.5" top="0.64" bottom="0.25" header="0" footer="0"/>
  <pageSetup scale="75" orientation="landscape"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J53"/>
  <sheetViews>
    <sheetView zoomScaleNormal="100" workbookViewId="0">
      <pane xSplit="1" ySplit="8" topLeftCell="B38" activePane="bottomRight" state="frozen"/>
      <selection activeCell="R32" sqref="R32:R36"/>
      <selection pane="topRight" activeCell="R32" sqref="R32:R36"/>
      <selection pane="bottomLeft" activeCell="R32" sqref="R32:R36"/>
      <selection pane="bottomRight" activeCell="L21" sqref="L21"/>
    </sheetView>
  </sheetViews>
  <sheetFormatPr defaultRowHeight="15"/>
  <cols>
    <col min="1" max="1" width="28.33203125" customWidth="1"/>
    <col min="2" max="2" width="10.33203125" customWidth="1"/>
    <col min="7" max="7" width="10.21875" customWidth="1"/>
    <col min="8" max="8" width="13" customWidth="1"/>
    <col min="9" max="9" width="13.21875" customWidth="1"/>
  </cols>
  <sheetData>
    <row r="1" spans="1:10" ht="15.75" thickBot="1">
      <c r="A1" t="str">
        <f>'Data sheet'!A63</f>
        <v>Annual Report of Veolia Water New York, Inc.                                                                             Year Ended  December 31, 2023</v>
      </c>
    </row>
    <row r="2" spans="1:10">
      <c r="A2" s="80"/>
      <c r="B2" s="1483"/>
      <c r="C2" s="1483"/>
      <c r="D2" s="1483"/>
      <c r="E2" s="1483"/>
      <c r="F2" s="1483"/>
      <c r="G2" s="1483"/>
      <c r="H2" s="1483"/>
      <c r="I2" s="1484"/>
    </row>
    <row r="3" spans="1:10" ht="15.75">
      <c r="A3" s="793" t="s">
        <v>1099</v>
      </c>
      <c r="B3" s="1485"/>
      <c r="C3" s="1485"/>
      <c r="D3" s="1485"/>
      <c r="E3" s="1485"/>
      <c r="F3" s="1485"/>
      <c r="G3" s="1485"/>
      <c r="H3" s="1485"/>
      <c r="I3" s="1486"/>
    </row>
    <row r="4" spans="1:10">
      <c r="A4" s="123"/>
      <c r="B4" s="1487"/>
      <c r="C4" s="1487"/>
      <c r="D4" s="1487"/>
      <c r="E4" s="1487"/>
      <c r="F4" s="1487"/>
      <c r="G4" s="1487"/>
      <c r="H4" s="1487"/>
      <c r="I4" s="1488"/>
    </row>
    <row r="5" spans="1:10">
      <c r="A5" s="83"/>
      <c r="B5" s="1510" t="s">
        <v>4147</v>
      </c>
      <c r="C5" s="1489" t="s">
        <v>4148</v>
      </c>
      <c r="D5" s="1490"/>
      <c r="E5" s="1489" t="s">
        <v>4149</v>
      </c>
      <c r="F5" s="1490"/>
      <c r="G5" s="1346" t="s">
        <v>3062</v>
      </c>
      <c r="H5" s="1506" t="s">
        <v>4150</v>
      </c>
      <c r="I5" s="1492"/>
    </row>
    <row r="6" spans="1:10">
      <c r="A6" s="595" t="s">
        <v>3055</v>
      </c>
      <c r="B6" s="1511" t="s">
        <v>1089</v>
      </c>
      <c r="C6" s="1387" t="s">
        <v>202</v>
      </c>
      <c r="D6" s="1387"/>
      <c r="E6" s="1387" t="s">
        <v>202</v>
      </c>
      <c r="F6" s="1387"/>
      <c r="G6" s="1346" t="s">
        <v>250</v>
      </c>
      <c r="H6" s="1490"/>
      <c r="I6" s="1492"/>
    </row>
    <row r="7" spans="1:10">
      <c r="A7" s="595" t="s">
        <v>2185</v>
      </c>
      <c r="B7" s="1511" t="s">
        <v>1092</v>
      </c>
      <c r="C7" s="1387" t="s">
        <v>1093</v>
      </c>
      <c r="D7" s="1387" t="s">
        <v>2817</v>
      </c>
      <c r="E7" s="1387" t="s">
        <v>1093</v>
      </c>
      <c r="F7" s="1387" t="s">
        <v>2817</v>
      </c>
      <c r="G7" s="1346" t="s">
        <v>1094</v>
      </c>
      <c r="H7" s="1393"/>
      <c r="I7" s="1418" t="s">
        <v>79</v>
      </c>
    </row>
    <row r="8" spans="1:10">
      <c r="A8" s="83"/>
      <c r="B8" s="1511" t="s">
        <v>3071</v>
      </c>
      <c r="C8" s="1387" t="s">
        <v>1097</v>
      </c>
      <c r="D8" s="1387" t="s">
        <v>3071</v>
      </c>
      <c r="E8" s="1387" t="s">
        <v>1097</v>
      </c>
      <c r="F8" s="1387" t="s">
        <v>3071</v>
      </c>
      <c r="G8" s="1346" t="s">
        <v>3071</v>
      </c>
      <c r="H8" s="1393" t="s">
        <v>513</v>
      </c>
      <c r="I8" s="2164" t="str">
        <f>+'412a'!I8</f>
        <v>12/31/2023</v>
      </c>
    </row>
    <row r="9" spans="1:10">
      <c r="A9" s="520"/>
      <c r="B9" s="2803">
        <v>4</v>
      </c>
      <c r="C9" s="2804" t="s">
        <v>341</v>
      </c>
      <c r="D9" s="2805">
        <v>2.5</v>
      </c>
      <c r="E9" s="2805">
        <v>1</v>
      </c>
      <c r="F9" s="2805">
        <v>4.5</v>
      </c>
      <c r="G9" s="2805" t="s">
        <v>4934</v>
      </c>
      <c r="H9" s="2806">
        <v>15</v>
      </c>
      <c r="I9" s="2807">
        <v>16</v>
      </c>
      <c r="J9" s="86"/>
    </row>
    <row r="10" spans="1:10">
      <c r="A10" s="226" t="s">
        <v>4899</v>
      </c>
      <c r="B10" s="1393">
        <v>4</v>
      </c>
      <c r="C10" s="1387" t="s">
        <v>341</v>
      </c>
      <c r="D10" s="1346">
        <v>2.5</v>
      </c>
      <c r="E10" s="1346">
        <v>0</v>
      </c>
      <c r="F10" s="1346">
        <v>0</v>
      </c>
      <c r="G10" s="1346" t="s">
        <v>4934</v>
      </c>
      <c r="H10" s="1850">
        <v>10</v>
      </c>
      <c r="I10" s="1838">
        <v>10</v>
      </c>
    </row>
    <row r="11" spans="1:10">
      <c r="A11" s="234"/>
      <c r="B11" s="1346" t="s">
        <v>511</v>
      </c>
      <c r="C11" s="1387" t="s">
        <v>341</v>
      </c>
      <c r="D11" s="1346">
        <v>2.5</v>
      </c>
      <c r="E11" s="1346">
        <v>1</v>
      </c>
      <c r="F11" s="1346">
        <v>4.5</v>
      </c>
      <c r="G11" s="1346" t="s">
        <v>4934</v>
      </c>
      <c r="H11" s="1850">
        <v>42</v>
      </c>
      <c r="I11" s="1838">
        <v>42</v>
      </c>
    </row>
    <row r="12" spans="1:10">
      <c r="A12" s="234"/>
      <c r="B12" s="1547">
        <v>5.333333333333333</v>
      </c>
      <c r="C12" s="1387" t="s">
        <v>341</v>
      </c>
      <c r="D12" s="1346">
        <v>2.5</v>
      </c>
      <c r="E12" s="1346">
        <v>1</v>
      </c>
      <c r="F12" s="1346">
        <v>4.5</v>
      </c>
      <c r="G12" s="1346" t="s">
        <v>4934</v>
      </c>
      <c r="H12" s="1850">
        <v>35</v>
      </c>
      <c r="I12" s="1838">
        <v>38</v>
      </c>
    </row>
    <row r="13" spans="1:10" ht="15.75" thickBot="1">
      <c r="A13" s="235"/>
      <c r="B13" s="1549">
        <v>5.333333333333333</v>
      </c>
      <c r="C13" s="1500" t="s">
        <v>341</v>
      </c>
      <c r="D13" s="1497">
        <v>2.5</v>
      </c>
      <c r="E13" s="1497">
        <v>0</v>
      </c>
      <c r="F13" s="1497">
        <v>0</v>
      </c>
      <c r="G13" s="1497" t="s">
        <v>4934</v>
      </c>
      <c r="H13" s="1851">
        <v>3</v>
      </c>
      <c r="I13" s="1840">
        <v>3</v>
      </c>
    </row>
    <row r="14" spans="1:10" ht="15.75" thickBot="1">
      <c r="A14" s="1498" t="s">
        <v>1738</v>
      </c>
      <c r="B14" s="1483"/>
      <c r="C14" s="1429"/>
      <c r="D14" s="1429"/>
      <c r="E14" s="1429"/>
      <c r="F14" s="1429"/>
      <c r="G14" s="1401"/>
      <c r="H14" s="1852">
        <f>SUM(H9:H13)</f>
        <v>105</v>
      </c>
      <c r="I14" s="1842">
        <f>SUM(I9:I13)</f>
        <v>109</v>
      </c>
    </row>
    <row r="15" spans="1:10">
      <c r="A15" s="1507"/>
      <c r="B15" s="1393"/>
      <c r="C15" s="1387"/>
      <c r="D15" s="1387"/>
      <c r="E15" s="1387"/>
      <c r="F15" s="1387"/>
      <c r="G15" s="1346"/>
      <c r="H15" s="1853"/>
      <c r="I15" s="1838"/>
    </row>
    <row r="16" spans="1:10">
      <c r="A16" s="1507"/>
      <c r="B16" s="1393"/>
      <c r="C16" s="1387"/>
      <c r="D16" s="1387"/>
      <c r="E16" s="1387"/>
      <c r="F16" s="1387"/>
      <c r="G16" s="1346"/>
      <c r="H16" s="1853"/>
      <c r="I16" s="1838"/>
    </row>
    <row r="17" spans="1:9">
      <c r="A17" s="234"/>
      <c r="B17" s="1393"/>
      <c r="C17" s="1387"/>
      <c r="D17" s="1346"/>
      <c r="E17" s="1346"/>
      <c r="F17" s="1346"/>
      <c r="G17" s="1346"/>
      <c r="H17" s="1850"/>
      <c r="I17" s="1838"/>
    </row>
    <row r="18" spans="1:9">
      <c r="A18" s="226" t="s">
        <v>5088</v>
      </c>
      <c r="B18" s="1346">
        <v>5</v>
      </c>
      <c r="C18" s="1387" t="s">
        <v>341</v>
      </c>
      <c r="D18" s="1346">
        <v>2.5</v>
      </c>
      <c r="E18" s="1346">
        <v>1</v>
      </c>
      <c r="F18" s="1346">
        <v>4.5</v>
      </c>
      <c r="G18" s="1346" t="s">
        <v>4934</v>
      </c>
      <c r="H18" s="1850"/>
      <c r="I18" s="1838">
        <v>2</v>
      </c>
    </row>
    <row r="19" spans="1:9" ht="15.75" thickBot="1">
      <c r="A19" s="234"/>
      <c r="B19" s="1547"/>
      <c r="C19" s="1387"/>
      <c r="D19" s="1346"/>
      <c r="E19" s="1346"/>
      <c r="F19" s="1346"/>
      <c r="G19" s="1346"/>
      <c r="H19" s="1850"/>
      <c r="I19" s="1838"/>
    </row>
    <row r="20" spans="1:9" ht="15.75" thickBot="1">
      <c r="A20" s="1512" t="s">
        <v>1738</v>
      </c>
      <c r="B20" s="1401"/>
      <c r="C20" s="1429"/>
      <c r="D20" s="1429"/>
      <c r="E20" s="1429"/>
      <c r="F20" s="1429"/>
      <c r="G20" s="1401"/>
      <c r="H20" s="1852">
        <f>SUM(H17:H19)</f>
        <v>0</v>
      </c>
      <c r="I20" s="1842">
        <f>SUM(I17:I19)</f>
        <v>2</v>
      </c>
    </row>
    <row r="21" spans="1:9">
      <c r="A21" s="83"/>
      <c r="B21" s="1551"/>
      <c r="C21" s="1387"/>
      <c r="D21" s="2558"/>
      <c r="E21" s="1387"/>
      <c r="F21" s="2558"/>
      <c r="G21" s="1346"/>
      <c r="H21" s="1850"/>
      <c r="I21" s="1838"/>
    </row>
    <row r="22" spans="1:9">
      <c r="A22" s="83"/>
      <c r="B22" s="1551"/>
      <c r="C22" s="1387"/>
      <c r="D22" s="2558"/>
      <c r="E22" s="1387"/>
      <c r="F22" s="2558"/>
      <c r="G22" s="1346"/>
      <c r="H22" s="1850"/>
      <c r="I22" s="1838"/>
    </row>
    <row r="23" spans="1:9">
      <c r="A23" s="234"/>
      <c r="B23" s="1393">
        <v>4</v>
      </c>
      <c r="C23" s="1387" t="s">
        <v>341</v>
      </c>
      <c r="D23" s="1346">
        <v>2.5</v>
      </c>
      <c r="E23" s="1346">
        <v>0</v>
      </c>
      <c r="F23" s="1346">
        <v>0</v>
      </c>
      <c r="G23" s="1346" t="s">
        <v>4934</v>
      </c>
      <c r="H23" s="1850">
        <v>1</v>
      </c>
      <c r="I23" s="1838">
        <v>1</v>
      </c>
    </row>
    <row r="24" spans="1:9">
      <c r="A24" s="226" t="s">
        <v>4903</v>
      </c>
      <c r="B24" s="1346" t="s">
        <v>511</v>
      </c>
      <c r="C24" s="1387" t="s">
        <v>341</v>
      </c>
      <c r="D24" s="1346">
        <v>2.5</v>
      </c>
      <c r="E24" s="1346">
        <v>1</v>
      </c>
      <c r="F24" s="1346">
        <v>4.5</v>
      </c>
      <c r="G24" s="1346" t="s">
        <v>4934</v>
      </c>
      <c r="H24" s="1850">
        <v>16</v>
      </c>
      <c r="I24" s="1838">
        <v>16</v>
      </c>
    </row>
    <row r="25" spans="1:9" ht="15.75" thickBot="1">
      <c r="A25" s="234"/>
      <c r="B25" s="1547">
        <v>5.333333333333333</v>
      </c>
      <c r="C25" s="1387" t="s">
        <v>341</v>
      </c>
      <c r="D25" s="1346">
        <v>2.5</v>
      </c>
      <c r="E25" s="1346">
        <v>1</v>
      </c>
      <c r="F25" s="1346">
        <v>4.5</v>
      </c>
      <c r="G25" s="1346" t="s">
        <v>4934</v>
      </c>
      <c r="H25" s="1850">
        <v>13</v>
      </c>
      <c r="I25" s="1838">
        <v>13</v>
      </c>
    </row>
    <row r="26" spans="1:9" ht="15.75" thickBot="1">
      <c r="A26" s="1512" t="s">
        <v>1738</v>
      </c>
      <c r="B26" s="1401"/>
      <c r="C26" s="1429"/>
      <c r="D26" s="1429"/>
      <c r="E26" s="1429"/>
      <c r="F26" s="1429"/>
      <c r="G26" s="1401"/>
      <c r="H26" s="1852">
        <f>SUM(H23:H25)</f>
        <v>30</v>
      </c>
      <c r="I26" s="1842">
        <f>SUM(I23:I25)</f>
        <v>30</v>
      </c>
    </row>
    <row r="27" spans="1:9">
      <c r="A27" s="83"/>
      <c r="B27" s="1551"/>
      <c r="C27" s="1387"/>
      <c r="D27" s="2558"/>
      <c r="E27" s="1387"/>
      <c r="F27" s="2558"/>
      <c r="G27" s="1346"/>
      <c r="H27" s="1850"/>
      <c r="I27" s="1838"/>
    </row>
    <row r="28" spans="1:9">
      <c r="A28" s="83"/>
      <c r="B28" s="1551"/>
      <c r="C28" s="1387"/>
      <c r="D28" s="2558"/>
      <c r="E28" s="1387"/>
      <c r="F28" s="2558"/>
      <c r="G28" s="1346"/>
      <c r="H28" s="1850"/>
      <c r="I28" s="1838"/>
    </row>
    <row r="29" spans="1:9">
      <c r="A29" s="83"/>
      <c r="B29" s="1551"/>
      <c r="C29" s="1387"/>
      <c r="D29" s="2558"/>
      <c r="E29" s="1387"/>
      <c r="F29" s="2558"/>
      <c r="G29" s="1346"/>
      <c r="H29" s="1850"/>
      <c r="I29" s="1838"/>
    </row>
    <row r="30" spans="1:9">
      <c r="A30" s="83"/>
      <c r="B30" s="1551"/>
      <c r="C30" s="1387"/>
      <c r="D30" s="2558"/>
      <c r="E30" s="1387"/>
      <c r="F30" s="2558"/>
      <c r="G30" s="1346"/>
      <c r="H30" s="1850"/>
      <c r="I30" s="1838"/>
    </row>
    <row r="31" spans="1:9">
      <c r="A31" s="83"/>
      <c r="B31" s="1551"/>
      <c r="C31" s="1387"/>
      <c r="D31" s="2558"/>
      <c r="E31" s="1387"/>
      <c r="F31" s="2558"/>
      <c r="G31" s="1346"/>
      <c r="H31" s="1850"/>
      <c r="I31" s="1838"/>
    </row>
    <row r="32" spans="1:9">
      <c r="A32" s="83"/>
      <c r="B32" s="1551"/>
      <c r="C32" s="1387"/>
      <c r="D32" s="2558"/>
      <c r="E32" s="1387"/>
      <c r="F32" s="2558"/>
      <c r="G32" s="1346"/>
      <c r="H32" s="1850"/>
      <c r="I32" s="1838"/>
    </row>
    <row r="33" spans="1:9">
      <c r="A33" s="83"/>
      <c r="B33" s="1551"/>
      <c r="C33" s="1387"/>
      <c r="D33" s="2558"/>
      <c r="E33" s="1387"/>
      <c r="F33" s="2558"/>
      <c r="G33" s="1346"/>
      <c r="H33" s="1850"/>
      <c r="I33" s="1838"/>
    </row>
    <row r="34" spans="1:9">
      <c r="A34" s="83"/>
      <c r="B34" s="1551"/>
      <c r="C34" s="1387"/>
      <c r="D34" s="2558"/>
      <c r="E34" s="1387"/>
      <c r="F34" s="2558"/>
      <c r="G34" s="1346"/>
      <c r="H34" s="1850"/>
      <c r="I34" s="1838"/>
    </row>
    <row r="35" spans="1:9">
      <c r="A35" s="83"/>
      <c r="B35" s="1551"/>
      <c r="C35" s="1387"/>
      <c r="D35" s="2558"/>
      <c r="E35" s="1387"/>
      <c r="F35" s="2558"/>
      <c r="G35" s="1346"/>
      <c r="H35" s="1850"/>
      <c r="I35" s="1838"/>
    </row>
    <row r="36" spans="1:9">
      <c r="A36" s="83"/>
      <c r="B36" s="1551"/>
      <c r="C36" s="1387"/>
      <c r="D36" s="2558"/>
      <c r="E36" s="1387"/>
      <c r="F36" s="2558"/>
      <c r="G36" s="1346"/>
      <c r="H36" s="1850"/>
      <c r="I36" s="1838"/>
    </row>
    <row r="37" spans="1:9">
      <c r="A37" s="83"/>
      <c r="B37" s="1551"/>
      <c r="C37" s="1387"/>
      <c r="D37" s="2558"/>
      <c r="E37" s="1387"/>
      <c r="F37" s="2558"/>
      <c r="G37" s="1346"/>
      <c r="H37" s="1850"/>
      <c r="I37" s="1838"/>
    </row>
    <row r="38" spans="1:9">
      <c r="A38" s="83"/>
      <c r="B38" s="1551"/>
      <c r="C38" s="1387"/>
      <c r="D38" s="2558"/>
      <c r="E38" s="1387"/>
      <c r="F38" s="2558"/>
      <c r="G38" s="1346"/>
      <c r="H38" s="1850"/>
      <c r="I38" s="1838"/>
    </row>
    <row r="39" spans="1:9">
      <c r="A39" s="83"/>
      <c r="B39" s="1551"/>
      <c r="C39" s="1387"/>
      <c r="D39" s="2558"/>
      <c r="E39" s="1387"/>
      <c r="F39" s="2558"/>
      <c r="G39" s="1346"/>
      <c r="H39" s="1850"/>
      <c r="I39" s="1838"/>
    </row>
    <row r="40" spans="1:9">
      <c r="A40" s="83"/>
      <c r="B40" s="1551"/>
      <c r="C40" s="1387"/>
      <c r="D40" s="2558"/>
      <c r="E40" s="1387"/>
      <c r="F40" s="2558"/>
      <c r="G40" s="1346"/>
      <c r="H40" s="1850"/>
      <c r="I40" s="1838"/>
    </row>
    <row r="41" spans="1:9">
      <c r="A41" s="83"/>
      <c r="B41" s="1551"/>
      <c r="C41" s="1387"/>
      <c r="D41" s="2558"/>
      <c r="E41" s="1387"/>
      <c r="F41" s="2558"/>
      <c r="G41" s="1346"/>
      <c r="H41" s="1850"/>
      <c r="I41" s="1838"/>
    </row>
    <row r="42" spans="1:9">
      <c r="A42" s="83"/>
      <c r="B42" s="1551"/>
      <c r="C42" s="1387"/>
      <c r="D42" s="2558"/>
      <c r="E42" s="1387"/>
      <c r="F42" s="2558"/>
      <c r="G42" s="1346"/>
      <c r="H42" s="1850"/>
      <c r="I42" s="1838"/>
    </row>
    <row r="43" spans="1:9">
      <c r="A43" s="83"/>
      <c r="B43" s="1346"/>
      <c r="C43" s="1387"/>
      <c r="D43" s="1501"/>
      <c r="E43" s="1387"/>
      <c r="F43" s="1387"/>
      <c r="G43" s="1346"/>
      <c r="H43" s="1850"/>
      <c r="I43" s="1838"/>
    </row>
    <row r="44" spans="1:9">
      <c r="A44" s="83"/>
      <c r="B44" s="1346"/>
      <c r="C44" s="1387"/>
      <c r="D44" s="1501"/>
      <c r="E44" s="1387"/>
      <c r="F44" s="1387"/>
      <c r="G44" s="1346"/>
      <c r="H44" s="1850"/>
      <c r="I44" s="1838"/>
    </row>
    <row r="45" spans="1:9" ht="15.75" thickBot="1">
      <c r="A45" s="83"/>
      <c r="B45" s="1346"/>
      <c r="C45" s="1387"/>
      <c r="D45" s="1387"/>
      <c r="E45" s="1387"/>
      <c r="F45" s="1387"/>
      <c r="G45" s="1346"/>
      <c r="H45" s="1851"/>
      <c r="I45" s="1838"/>
    </row>
    <row r="46" spans="1:9" ht="15.75" thickBot="1">
      <c r="A46" s="124"/>
      <c r="B46" s="1514"/>
      <c r="C46" s="1500"/>
      <c r="D46" s="1500"/>
      <c r="E46" s="1500"/>
      <c r="F46" s="1500"/>
      <c r="G46" s="1516" t="s">
        <v>3919</v>
      </c>
      <c r="H46" s="1852">
        <f>SUM(H14++H20+H26+H40+'412a'!H44+'412b'!H42+'412c'!H38+'412d'!H40)</f>
        <v>6871</v>
      </c>
      <c r="I46" s="1842">
        <f>SUM(I14++I20+I26+I40+'412a'!I44+'412b'!I42+'412c'!I38+'412d'!I40)</f>
        <v>7018</v>
      </c>
    </row>
    <row r="47" spans="1:9">
      <c r="A47" s="1333" t="s">
        <v>2024</v>
      </c>
      <c r="G47" s="1393"/>
      <c r="I47" s="1393"/>
    </row>
    <row r="48" spans="1:9">
      <c r="A48" s="900" t="s">
        <v>5115</v>
      </c>
      <c r="B48" s="954"/>
      <c r="C48" s="954"/>
      <c r="D48" s="954"/>
      <c r="E48" s="954"/>
      <c r="F48" s="954"/>
      <c r="G48" s="954"/>
      <c r="H48" s="954"/>
      <c r="I48" s="1543"/>
    </row>
    <row r="49" spans="1:10">
      <c r="A49" s="4"/>
      <c r="B49" s="954"/>
      <c r="C49" s="954"/>
      <c r="D49" s="954"/>
      <c r="E49" s="954"/>
      <c r="F49" s="954"/>
      <c r="G49" s="954"/>
      <c r="H49" s="954"/>
      <c r="I49" s="954"/>
    </row>
    <row r="50" spans="1:10">
      <c r="B50" s="1393"/>
      <c r="C50" s="1393"/>
      <c r="D50" s="1393"/>
      <c r="E50" s="1393"/>
      <c r="F50" s="1393"/>
      <c r="G50" s="1393"/>
      <c r="H50" s="2560">
        <f>+H14++H20+H26</f>
        <v>135</v>
      </c>
      <c r="I50" s="2560">
        <f>+I14++I20+I26</f>
        <v>141</v>
      </c>
      <c r="J50" s="86" t="s">
        <v>4935</v>
      </c>
    </row>
    <row r="51" spans="1:10">
      <c r="H51" s="2560">
        <f>+'412a'!H44+'412b'!H42+'412c'!H38+'412d'!H40</f>
        <v>6736</v>
      </c>
      <c r="I51" s="2560">
        <f>+'412a'!I44+'412b'!I42+'412c'!I38+'412d'!I40</f>
        <v>6877</v>
      </c>
      <c r="J51" s="86" t="s">
        <v>5174</v>
      </c>
    </row>
    <row r="52" spans="1:10">
      <c r="H52" s="2560"/>
      <c r="I52" s="2560"/>
      <c r="J52" s="86"/>
    </row>
    <row r="53" spans="1:10" ht="15.75">
      <c r="H53" s="2561">
        <f>SUM(H50:H52)</f>
        <v>6871</v>
      </c>
      <c r="I53" s="2561">
        <f>SUM(I50:I52)</f>
        <v>7018</v>
      </c>
    </row>
  </sheetData>
  <pageMargins left="0.5" right="0.5" top="0.64" bottom="0.25" header="0" footer="0"/>
  <pageSetup scale="75" orientation="landscape"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transitionEvaluation="1" codeName="Sheet122"/>
  <dimension ref="A1:C441"/>
  <sheetViews>
    <sheetView defaultGridColor="0" topLeftCell="A379" colorId="22" zoomScaleNormal="100" workbookViewId="0">
      <selection activeCell="R36" sqref="R36"/>
    </sheetView>
  </sheetViews>
  <sheetFormatPr defaultColWidth="9.77734375" defaultRowHeight="15"/>
  <cols>
    <col min="1" max="1" width="45.77734375" customWidth="1"/>
    <col min="2" max="2" width="30.77734375" customWidth="1"/>
    <col min="3" max="3" width="18" bestFit="1" customWidth="1"/>
  </cols>
  <sheetData>
    <row r="1" spans="1:3" ht="15.75">
      <c r="A1" s="3" t="s">
        <v>1897</v>
      </c>
      <c r="B1" s="3"/>
      <c r="C1" s="3"/>
    </row>
    <row r="2" spans="1:3" ht="15.75">
      <c r="A2" s="3"/>
      <c r="B2" s="3"/>
      <c r="C2" s="3"/>
    </row>
    <row r="3" spans="1:3" ht="15.75">
      <c r="A3" s="3" t="s">
        <v>2454</v>
      </c>
      <c r="B3" s="4"/>
      <c r="C3" s="3"/>
    </row>
    <row r="4" spans="1:3" ht="15.75">
      <c r="A4" s="3" t="s">
        <v>1898</v>
      </c>
      <c r="B4" s="4"/>
      <c r="C4" s="3"/>
    </row>
    <row r="5" spans="1:3" ht="15.75">
      <c r="A5" s="3" t="s">
        <v>1899</v>
      </c>
      <c r="B5" s="4"/>
      <c r="C5" s="3"/>
    </row>
    <row r="6" spans="1:3" ht="15.75">
      <c r="A6" s="233"/>
      <c r="C6" s="233"/>
    </row>
    <row r="7" spans="1:3" ht="20.25">
      <c r="A7" s="970" t="str">
        <f>'Data sheet'!D27</f>
        <v xml:space="preserve">Veolia Water New York, Inc. </v>
      </c>
      <c r="B7" s="4"/>
      <c r="C7" s="3"/>
    </row>
    <row r="8" spans="1:3">
      <c r="B8" s="971"/>
      <c r="C8" s="971"/>
    </row>
    <row r="9" spans="1:3" ht="18">
      <c r="A9" s="887" t="s">
        <v>4305</v>
      </c>
      <c r="B9" s="972"/>
      <c r="C9" s="972"/>
    </row>
    <row r="10" spans="1:3" ht="15.75">
      <c r="A10" s="724"/>
      <c r="B10" s="971"/>
      <c r="C10" s="971"/>
    </row>
    <row r="12" spans="1:3" ht="15.75">
      <c r="A12" s="876"/>
      <c r="B12" s="973" t="s">
        <v>4306</v>
      </c>
    </row>
    <row r="13" spans="1:3" ht="15.75">
      <c r="B13" s="973" t="s">
        <v>4307</v>
      </c>
      <c r="C13" s="876"/>
    </row>
    <row r="14" spans="1:3" ht="15.75">
      <c r="B14" s="973"/>
      <c r="C14" s="1517">
        <f>'Data sheet'!$D$35</f>
        <v>45291</v>
      </c>
    </row>
    <row r="15" spans="1:3" ht="15.75">
      <c r="A15" s="973" t="s">
        <v>1629</v>
      </c>
      <c r="B15" s="876"/>
    </row>
    <row r="16" spans="1:3">
      <c r="A16" t="s">
        <v>4308</v>
      </c>
      <c r="B16" t="s">
        <v>2402</v>
      </c>
      <c r="C16" s="136">
        <f>'114115'!F11</f>
        <v>727080434</v>
      </c>
    </row>
    <row r="17" spans="1:3">
      <c r="C17" s="140"/>
    </row>
    <row r="18" spans="1:3" ht="15.75">
      <c r="A18" s="973" t="s">
        <v>2510</v>
      </c>
      <c r="C18" s="140"/>
    </row>
    <row r="19" spans="1:3">
      <c r="A19" t="s">
        <v>327</v>
      </c>
      <c r="B19" t="s">
        <v>328</v>
      </c>
      <c r="C19" s="140">
        <f>'114115'!F13-'114115'!F14</f>
        <v>1093854</v>
      </c>
    </row>
    <row r="20" spans="1:3">
      <c r="A20" t="s">
        <v>329</v>
      </c>
      <c r="B20" t="s">
        <v>330</v>
      </c>
      <c r="C20" s="140">
        <f>SUM('114115'!F15:F17)</f>
        <v>0</v>
      </c>
    </row>
    <row r="21" spans="1:3">
      <c r="A21" t="s">
        <v>95</v>
      </c>
      <c r="B21" t="s">
        <v>96</v>
      </c>
      <c r="C21" s="140">
        <f>SUM('114115'!F18:F20)</f>
        <v>0</v>
      </c>
    </row>
    <row r="22" spans="1:3">
      <c r="A22" t="s">
        <v>3581</v>
      </c>
      <c r="B22" t="s">
        <v>3582</v>
      </c>
      <c r="C22" s="140">
        <f>SUM(C19:C21)</f>
        <v>1093854</v>
      </c>
    </row>
    <row r="23" spans="1:3">
      <c r="C23" s="140"/>
    </row>
    <row r="24" spans="1:3" ht="15.75">
      <c r="A24" s="973" t="s">
        <v>3030</v>
      </c>
      <c r="C24" s="140"/>
    </row>
    <row r="25" spans="1:3">
      <c r="A25" t="s">
        <v>3583</v>
      </c>
      <c r="B25" t="s">
        <v>3584</v>
      </c>
      <c r="C25" s="140">
        <f>SUM('114115'!F23:F28)</f>
        <v>10120</v>
      </c>
    </row>
    <row r="26" spans="1:3">
      <c r="A26" t="s">
        <v>3585</v>
      </c>
      <c r="B26" t="s">
        <v>3586</v>
      </c>
      <c r="C26" s="140">
        <f>SUM('114115'!F29:F31)-'114115'!F32</f>
        <v>11101485</v>
      </c>
    </row>
    <row r="27" spans="1:3">
      <c r="A27" t="s">
        <v>2792</v>
      </c>
      <c r="B27" t="s">
        <v>3587</v>
      </c>
      <c r="C27" s="140">
        <f>SUM('114115'!F33:F34)</f>
        <v>-1106426</v>
      </c>
    </row>
    <row r="28" spans="1:3">
      <c r="A28" t="s">
        <v>3588</v>
      </c>
      <c r="B28" t="s">
        <v>3589</v>
      </c>
      <c r="C28" s="140">
        <f>'114115'!F35</f>
        <v>2989021</v>
      </c>
    </row>
    <row r="29" spans="1:3">
      <c r="A29" t="s">
        <v>2797</v>
      </c>
      <c r="B29" t="s">
        <v>4109</v>
      </c>
      <c r="C29" s="140">
        <f>'114115'!F36</f>
        <v>9226882</v>
      </c>
    </row>
    <row r="30" spans="1:3">
      <c r="A30" t="s">
        <v>4110</v>
      </c>
      <c r="B30" t="s">
        <v>4111</v>
      </c>
      <c r="C30" s="140">
        <f>'114115'!F39</f>
        <v>8975430</v>
      </c>
    </row>
    <row r="31" spans="1:3">
      <c r="A31" t="s">
        <v>1889</v>
      </c>
      <c r="B31" t="s">
        <v>1890</v>
      </c>
      <c r="C31" s="140">
        <f>SUM('114115'!F37,'114115'!F38,'114115'!F40)</f>
        <v>0</v>
      </c>
    </row>
    <row r="32" spans="1:3">
      <c r="A32" t="s">
        <v>1891</v>
      </c>
      <c r="B32" t="s">
        <v>3582</v>
      </c>
      <c r="C32" s="140">
        <f>SUM(C25:C31)</f>
        <v>31196512</v>
      </c>
    </row>
    <row r="33" spans="1:3">
      <c r="C33" s="140"/>
    </row>
    <row r="34" spans="1:3" ht="15.75">
      <c r="A34" s="973" t="s">
        <v>48</v>
      </c>
      <c r="C34" s="140"/>
    </row>
    <row r="35" spans="1:3">
      <c r="A35" t="s">
        <v>1892</v>
      </c>
      <c r="B35" t="s">
        <v>1893</v>
      </c>
      <c r="C35" s="140">
        <f>'114115'!F43</f>
        <v>0</v>
      </c>
    </row>
    <row r="36" spans="1:3">
      <c r="A36" t="s">
        <v>1894</v>
      </c>
      <c r="B36" t="s">
        <v>310</v>
      </c>
      <c r="C36" s="140">
        <f>SUM('114115'!F44:F50)</f>
        <v>51247211</v>
      </c>
    </row>
    <row r="37" spans="1:3">
      <c r="A37" t="s">
        <v>1708</v>
      </c>
      <c r="B37" t="s">
        <v>311</v>
      </c>
      <c r="C37" s="140">
        <f>'114115'!F51</f>
        <v>-297526</v>
      </c>
    </row>
    <row r="38" spans="1:3">
      <c r="A38" t="s">
        <v>312</v>
      </c>
      <c r="B38" t="s">
        <v>3582</v>
      </c>
      <c r="C38" s="140">
        <f>SUM(C35:C37)</f>
        <v>50949685</v>
      </c>
    </row>
    <row r="39" spans="1:3">
      <c r="C39" s="140"/>
    </row>
    <row r="40" spans="1:3" ht="15.75">
      <c r="A40" s="876" t="s">
        <v>313</v>
      </c>
      <c r="B40" t="s">
        <v>3582</v>
      </c>
      <c r="C40">
        <f>C16+C22+C32+C38</f>
        <v>810320485</v>
      </c>
    </row>
    <row r="41" spans="1:3" ht="15.75">
      <c r="A41" s="876"/>
      <c r="B41" s="876"/>
    </row>
    <row r="42" spans="1:3">
      <c r="C42" s="140"/>
    </row>
    <row r="43" spans="1:3" ht="15.75">
      <c r="A43" s="973" t="s">
        <v>645</v>
      </c>
      <c r="C43" s="140"/>
    </row>
    <row r="44" spans="1:3">
      <c r="A44" t="s">
        <v>314</v>
      </c>
      <c r="B44" t="s">
        <v>315</v>
      </c>
      <c r="C44" s="140">
        <f>'114115'!F67</f>
        <v>13856490</v>
      </c>
    </row>
    <row r="45" spans="1:3">
      <c r="A45" t="s">
        <v>47</v>
      </c>
      <c r="B45" t="s">
        <v>3567</v>
      </c>
      <c r="C45" s="140">
        <f>'114115'!F68</f>
        <v>0</v>
      </c>
    </row>
    <row r="46" spans="1:3">
      <c r="A46" t="s">
        <v>3568</v>
      </c>
      <c r="B46" t="s">
        <v>3569</v>
      </c>
      <c r="C46" s="140">
        <f>SUM('114115'!F69:F73)-SUM('114115'!F74:F75)</f>
        <v>406341210</v>
      </c>
    </row>
    <row r="47" spans="1:3">
      <c r="A47" t="s">
        <v>296</v>
      </c>
      <c r="B47" t="s">
        <v>297</v>
      </c>
      <c r="C47" s="140">
        <f>'114115'!F76</f>
        <v>186118123</v>
      </c>
    </row>
    <row r="48" spans="1:3">
      <c r="A48" t="s">
        <v>298</v>
      </c>
      <c r="B48" t="s">
        <v>299</v>
      </c>
      <c r="C48" s="140">
        <f>-'114115'!F77</f>
        <v>0</v>
      </c>
    </row>
    <row r="49" spans="1:3">
      <c r="A49" s="14" t="s">
        <v>300</v>
      </c>
      <c r="B49" t="s">
        <v>3582</v>
      </c>
      <c r="C49" s="140">
        <f>SUM(C44:C48)</f>
        <v>606315823</v>
      </c>
    </row>
    <row r="50" spans="1:3">
      <c r="C50" s="140"/>
    </row>
    <row r="51" spans="1:3" ht="15.75">
      <c r="A51" s="973" t="s">
        <v>1467</v>
      </c>
      <c r="C51" s="140"/>
    </row>
    <row r="52" spans="1:3">
      <c r="A52" s="974" t="s">
        <v>3041</v>
      </c>
      <c r="B52" t="s">
        <v>301</v>
      </c>
      <c r="C52" s="140">
        <f>'114115'!F86</f>
        <v>0</v>
      </c>
    </row>
    <row r="53" spans="1:3">
      <c r="C53" s="140"/>
    </row>
    <row r="54" spans="1:3" ht="15.75">
      <c r="A54" s="973" t="s">
        <v>1205</v>
      </c>
      <c r="C54" s="140"/>
    </row>
    <row r="55" spans="1:3">
      <c r="A55" t="s">
        <v>3038</v>
      </c>
      <c r="B55" t="s">
        <v>302</v>
      </c>
      <c r="C55" s="140">
        <f>'114115'!F95</f>
        <v>0</v>
      </c>
    </row>
    <row r="56" spans="1:3">
      <c r="A56" t="s">
        <v>303</v>
      </c>
      <c r="B56" t="s">
        <v>304</v>
      </c>
      <c r="C56" s="140">
        <f>'114115'!F96</f>
        <v>22730710</v>
      </c>
    </row>
    <row r="57" spans="1:3">
      <c r="A57" t="s">
        <v>887</v>
      </c>
      <c r="B57" t="s">
        <v>888</v>
      </c>
      <c r="C57" s="140">
        <f>SUM('114115'!F97:F98)</f>
        <v>0</v>
      </c>
    </row>
    <row r="58" spans="1:3">
      <c r="A58" t="s">
        <v>889</v>
      </c>
      <c r="B58" t="s">
        <v>2213</v>
      </c>
      <c r="C58" s="140">
        <f>'114115'!F99</f>
        <v>19814</v>
      </c>
    </row>
    <row r="59" spans="1:3">
      <c r="A59" t="s">
        <v>1859</v>
      </c>
      <c r="B59" t="s">
        <v>2214</v>
      </c>
      <c r="C59" s="140">
        <f>'114115'!F100</f>
        <v>4719948</v>
      </c>
    </row>
    <row r="60" spans="1:3">
      <c r="A60" t="s">
        <v>2215</v>
      </c>
      <c r="B60" t="s">
        <v>2216</v>
      </c>
      <c r="C60" s="140">
        <f>'114115'!F101</f>
        <v>5859</v>
      </c>
    </row>
    <row r="61" spans="1:3">
      <c r="A61" t="s">
        <v>2217</v>
      </c>
      <c r="B61" t="s">
        <v>2218</v>
      </c>
      <c r="C61" s="140">
        <f>'114115'!F103</f>
        <v>0</v>
      </c>
    </row>
    <row r="62" spans="1:3">
      <c r="A62" t="s">
        <v>1886</v>
      </c>
      <c r="B62" t="s">
        <v>1250</v>
      </c>
      <c r="C62" s="140">
        <f>'114115'!F102+SUM('114115'!F104:F107)</f>
        <v>5645869</v>
      </c>
    </row>
    <row r="63" spans="1:3">
      <c r="A63" s="14" t="s">
        <v>1251</v>
      </c>
      <c r="B63" t="s">
        <v>3582</v>
      </c>
      <c r="C63">
        <f>SUM(C55:C62)</f>
        <v>33122200</v>
      </c>
    </row>
    <row r="64" spans="1:3" ht="15.75">
      <c r="B64" s="876"/>
    </row>
    <row r="65" spans="1:3" ht="15.75">
      <c r="A65" s="973" t="s">
        <v>4123</v>
      </c>
      <c r="C65" s="140"/>
    </row>
    <row r="66" spans="1:3">
      <c r="A66" t="s">
        <v>1252</v>
      </c>
      <c r="B66" t="s">
        <v>1253</v>
      </c>
      <c r="C66" s="140">
        <f>'114115'!F110</f>
        <v>5395406</v>
      </c>
    </row>
    <row r="67" spans="1:3">
      <c r="A67" t="s">
        <v>3045</v>
      </c>
      <c r="B67" t="s">
        <v>1254</v>
      </c>
      <c r="C67" s="140">
        <f>'114115'!F111</f>
        <v>91818410</v>
      </c>
    </row>
    <row r="68" spans="1:3">
      <c r="A68" t="s">
        <v>2690</v>
      </c>
      <c r="B68" t="s">
        <v>1255</v>
      </c>
      <c r="C68" s="140">
        <f>'114115'!F112</f>
        <v>321935</v>
      </c>
    </row>
    <row r="69" spans="1:3">
      <c r="A69" t="s">
        <v>1708</v>
      </c>
      <c r="B69" t="s">
        <v>1256</v>
      </c>
      <c r="C69" s="140">
        <f>'114115'!F115</f>
        <v>53964238</v>
      </c>
    </row>
    <row r="70" spans="1:3">
      <c r="A70" s="14" t="s">
        <v>1197</v>
      </c>
      <c r="B70" t="s">
        <v>3582</v>
      </c>
      <c r="C70" s="140">
        <f>SUM(C66:C69)</f>
        <v>151499989</v>
      </c>
    </row>
    <row r="71" spans="1:3">
      <c r="C71" s="140"/>
    </row>
    <row r="72" spans="1:3" ht="15.75">
      <c r="A72" s="973" t="s">
        <v>3135</v>
      </c>
      <c r="C72" s="140"/>
    </row>
    <row r="73" spans="1:3">
      <c r="A73" s="974" t="s">
        <v>1198</v>
      </c>
      <c r="B73" t="s">
        <v>1199</v>
      </c>
      <c r="C73" s="140">
        <f>'114115'!F93</f>
        <v>19382473</v>
      </c>
    </row>
    <row r="74" spans="1:3">
      <c r="C74" s="140"/>
    </row>
    <row r="75" spans="1:3" ht="15.75">
      <c r="A75" s="876" t="s">
        <v>1200</v>
      </c>
      <c r="B75" s="14" t="s">
        <v>1201</v>
      </c>
      <c r="C75" s="975">
        <f>C49+C52+C63+C70+C73</f>
        <v>810320485</v>
      </c>
    </row>
    <row r="76" spans="1:3" ht="15.75">
      <c r="B76" s="876"/>
      <c r="C76" s="876"/>
    </row>
    <row r="78" spans="1:3" ht="18">
      <c r="A78" s="887" t="s">
        <v>1202</v>
      </c>
      <c r="B78" s="887"/>
      <c r="C78" s="887"/>
    </row>
    <row r="79" spans="1:3" ht="18">
      <c r="A79" s="887" t="s">
        <v>1817</v>
      </c>
      <c r="B79" s="887"/>
      <c r="C79" s="887"/>
    </row>
    <row r="82" spans="1:3" ht="15.75">
      <c r="B82" s="973" t="s">
        <v>4306</v>
      </c>
    </row>
    <row r="83" spans="1:3" ht="15.75">
      <c r="B83" s="973" t="s">
        <v>4307</v>
      </c>
      <c r="C83" s="1517">
        <f>'Data sheet'!$D$35</f>
        <v>45291</v>
      </c>
    </row>
    <row r="84" spans="1:3" ht="15.75">
      <c r="A84" s="973" t="s">
        <v>2481</v>
      </c>
      <c r="B84" s="876"/>
      <c r="C84" s="876"/>
    </row>
    <row r="85" spans="1:3">
      <c r="A85" t="s">
        <v>1321</v>
      </c>
      <c r="B85" t="s">
        <v>1818</v>
      </c>
      <c r="C85" s="136">
        <f>'116119'!I23</f>
        <v>132529834</v>
      </c>
    </row>
    <row r="86" spans="1:3">
      <c r="A86" t="s">
        <v>1819</v>
      </c>
    </row>
    <row r="87" spans="1:3">
      <c r="A87" t="s">
        <v>1820</v>
      </c>
      <c r="B87" t="s">
        <v>1821</v>
      </c>
      <c r="C87" s="140">
        <f>'116119'!I25</f>
        <v>29679213</v>
      </c>
    </row>
    <row r="88" spans="1:3">
      <c r="A88" t="s">
        <v>1822</v>
      </c>
      <c r="B88" t="s">
        <v>1823</v>
      </c>
      <c r="C88" s="140">
        <f>'116119'!I26</f>
        <v>5977411</v>
      </c>
    </row>
    <row r="89" spans="1:3">
      <c r="A89" t="s">
        <v>809</v>
      </c>
      <c r="B89" t="s">
        <v>810</v>
      </c>
      <c r="C89" s="140">
        <f>SUM('116119'!I27:I33)-SUM('116119'!I34)</f>
        <v>19756314</v>
      </c>
    </row>
    <row r="90" spans="1:3">
      <c r="A90" t="s">
        <v>811</v>
      </c>
      <c r="B90" t="s">
        <v>812</v>
      </c>
      <c r="C90" s="140">
        <f>'116119'!I35</f>
        <v>35740410</v>
      </c>
    </row>
    <row r="91" spans="1:3">
      <c r="A91" t="s">
        <v>813</v>
      </c>
      <c r="B91" t="s">
        <v>814</v>
      </c>
      <c r="C91" s="140">
        <f>SUM('116119'!I36:I38)+SUM('116119'!I40,'116119'!I41)-'116119'!I39</f>
        <v>8868398</v>
      </c>
    </row>
    <row r="92" spans="1:3">
      <c r="A92" t="s">
        <v>818</v>
      </c>
      <c r="B92" t="s">
        <v>3582</v>
      </c>
      <c r="C92" s="140">
        <f>SUM(C87:C91)</f>
        <v>100021746</v>
      </c>
    </row>
    <row r="93" spans="1:3">
      <c r="A93" t="s">
        <v>819</v>
      </c>
      <c r="B93" t="s">
        <v>3582</v>
      </c>
      <c r="C93" s="140">
        <f>C85-C92</f>
        <v>32508088</v>
      </c>
    </row>
    <row r="94" spans="1:3">
      <c r="C94" s="140"/>
    </row>
    <row r="95" spans="1:3">
      <c r="A95" t="s">
        <v>820</v>
      </c>
      <c r="B95" t="s">
        <v>821</v>
      </c>
      <c r="C95" s="140">
        <f>SUM('116119'!K46,'116119'!M46)</f>
        <v>0</v>
      </c>
    </row>
    <row r="96" spans="1:3">
      <c r="C96" s="140"/>
    </row>
    <row r="97" spans="1:3" ht="15.75">
      <c r="A97" s="876" t="s">
        <v>822</v>
      </c>
      <c r="B97" t="s">
        <v>3582</v>
      </c>
      <c r="C97" s="140">
        <f>C93+C95</f>
        <v>32508088</v>
      </c>
    </row>
    <row r="98" spans="1:3">
      <c r="C98" s="140"/>
    </row>
    <row r="99" spans="1:3" ht="15.75">
      <c r="A99" s="973" t="s">
        <v>823</v>
      </c>
      <c r="C99" s="140"/>
    </row>
    <row r="100" spans="1:3">
      <c r="A100" t="s">
        <v>824</v>
      </c>
      <c r="B100" t="s">
        <v>825</v>
      </c>
      <c r="C100" s="140">
        <f>'116119'!G77</f>
        <v>0</v>
      </c>
    </row>
    <row r="101" spans="1:3">
      <c r="A101" t="s">
        <v>2171</v>
      </c>
      <c r="B101" t="s">
        <v>2172</v>
      </c>
      <c r="C101" s="140">
        <f>'116119'!G78</f>
        <v>4538475</v>
      </c>
    </row>
    <row r="102" spans="1:3">
      <c r="A102" t="s">
        <v>891</v>
      </c>
      <c r="B102" t="s">
        <v>892</v>
      </c>
      <c r="C102" s="140">
        <f>'116119'!G79</f>
        <v>114</v>
      </c>
    </row>
    <row r="103" spans="1:3">
      <c r="A103" t="s">
        <v>893</v>
      </c>
      <c r="B103" t="s">
        <v>2807</v>
      </c>
      <c r="C103" s="140">
        <f>SUM('116119'!G71,'116119'!G73,'116119'!G75,'116119'!G76,'116119'!G80)-SUM('116119'!G72,'116119'!G74)</f>
        <v>-29376</v>
      </c>
    </row>
    <row r="104" spans="1:3">
      <c r="A104" t="s">
        <v>2808</v>
      </c>
      <c r="B104" t="s">
        <v>3582</v>
      </c>
      <c r="C104" s="140">
        <f>SUM(C100:C103)</f>
        <v>4509213</v>
      </c>
    </row>
    <row r="106" spans="1:3">
      <c r="A106" t="s">
        <v>1831</v>
      </c>
      <c r="B106" t="s">
        <v>2809</v>
      </c>
      <c r="C106" s="140">
        <f>'116119'!G86</f>
        <v>718175</v>
      </c>
    </row>
    <row r="107" spans="1:3" ht="15.75">
      <c r="B107" s="876"/>
    </row>
    <row r="108" spans="1:3">
      <c r="A108" t="s">
        <v>614</v>
      </c>
      <c r="B108" t="s">
        <v>2951</v>
      </c>
      <c r="C108" s="140">
        <f>'116119'!G95</f>
        <v>0</v>
      </c>
    </row>
    <row r="110" spans="1:3" ht="15.75">
      <c r="A110" s="876" t="s">
        <v>2952</v>
      </c>
      <c r="B110" t="s">
        <v>3582</v>
      </c>
      <c r="C110" s="140">
        <f>C97+C104-C106-C108</f>
        <v>36299126</v>
      </c>
    </row>
    <row r="111" spans="1:3">
      <c r="C111" s="140"/>
    </row>
    <row r="112" spans="1:3" ht="15.75">
      <c r="A112" s="973" t="s">
        <v>2953</v>
      </c>
      <c r="C112" s="140"/>
    </row>
    <row r="113" spans="1:3">
      <c r="A113" t="s">
        <v>2954</v>
      </c>
      <c r="B113" t="s">
        <v>1691</v>
      </c>
      <c r="C113" s="140">
        <f>SUM('116119'!G98:G100)-SUM('116119'!G101:G102)</f>
        <v>0</v>
      </c>
    </row>
    <row r="114" spans="1:3">
      <c r="A114" t="s">
        <v>1692</v>
      </c>
      <c r="B114" t="s">
        <v>1693</v>
      </c>
      <c r="C114" s="140">
        <f>'116119'!G103</f>
        <v>0</v>
      </c>
    </row>
    <row r="115" spans="1:3">
      <c r="A115" t="s">
        <v>1694</v>
      </c>
      <c r="B115" t="s">
        <v>1695</v>
      </c>
      <c r="C115" s="140">
        <f>'116119'!G104-'116119'!G105</f>
        <v>14704564</v>
      </c>
    </row>
    <row r="116" spans="1:3">
      <c r="A116" s="14" t="s">
        <v>1696</v>
      </c>
      <c r="B116" t="s">
        <v>3582</v>
      </c>
      <c r="C116" s="140">
        <f>SUM(C113:C115)</f>
        <v>14704564</v>
      </c>
    </row>
    <row r="117" spans="1:3">
      <c r="C117" s="140"/>
    </row>
    <row r="118" spans="1:3">
      <c r="A118" s="14" t="s">
        <v>1697</v>
      </c>
      <c r="B118" t="s">
        <v>3582</v>
      </c>
      <c r="C118" s="140">
        <f>C110-C116</f>
        <v>21594562</v>
      </c>
    </row>
    <row r="119" spans="1:3">
      <c r="C119" s="140"/>
    </row>
    <row r="120" spans="1:3">
      <c r="A120" s="14" t="s">
        <v>4034</v>
      </c>
      <c r="B120" t="s">
        <v>1698</v>
      </c>
      <c r="C120" s="140">
        <f>'116119'!G113</f>
        <v>0</v>
      </c>
    </row>
    <row r="121" spans="1:3">
      <c r="C121" s="140"/>
    </row>
    <row r="122" spans="1:3" ht="15.75">
      <c r="A122" s="876" t="s">
        <v>1325</v>
      </c>
      <c r="B122" t="s">
        <v>3582</v>
      </c>
      <c r="C122" s="136">
        <f>C118-C120</f>
        <v>21594562</v>
      </c>
    </row>
    <row r="123" spans="1:3" ht="15.75" thickBot="1">
      <c r="A123" s="125"/>
      <c r="B123" s="125"/>
      <c r="C123" s="125"/>
    </row>
    <row r="125" spans="1:3" ht="15.75">
      <c r="A125" s="973" t="s">
        <v>1699</v>
      </c>
      <c r="C125" s="140"/>
    </row>
    <row r="126" spans="1:3" ht="15.75">
      <c r="A126" s="876"/>
      <c r="C126" s="140"/>
    </row>
    <row r="127" spans="1:3">
      <c r="A127" t="s">
        <v>2778</v>
      </c>
      <c r="B127" t="s">
        <v>2779</v>
      </c>
      <c r="C127" s="136">
        <f>'120121'!G23</f>
        <v>164523561</v>
      </c>
    </row>
    <row r="129" spans="1:3">
      <c r="A129" t="s">
        <v>2780</v>
      </c>
      <c r="B129" t="s">
        <v>2781</v>
      </c>
      <c r="C129">
        <f>'120121'!G38</f>
        <v>0</v>
      </c>
    </row>
    <row r="130" spans="1:3">
      <c r="A130" t="s">
        <v>2782</v>
      </c>
      <c r="B130" t="s">
        <v>2783</v>
      </c>
      <c r="C130" s="140">
        <f>-'120121'!G44</f>
        <v>0</v>
      </c>
    </row>
    <row r="131" spans="1:3">
      <c r="A131" t="s">
        <v>1567</v>
      </c>
      <c r="B131" t="s">
        <v>1568</v>
      </c>
      <c r="C131" s="140">
        <f>-'120121'!G51</f>
        <v>0</v>
      </c>
    </row>
    <row r="132" spans="1:3">
      <c r="A132" t="s">
        <v>1569</v>
      </c>
      <c r="B132" s="14" t="s">
        <v>1570</v>
      </c>
      <c r="C132" s="140">
        <f>-'120121'!G58</f>
        <v>0</v>
      </c>
    </row>
    <row r="133" spans="1:3">
      <c r="A133" t="s">
        <v>1673</v>
      </c>
      <c r="B133" s="14" t="s">
        <v>1054</v>
      </c>
      <c r="C133" s="140">
        <f>-'120121'!G31+'120121'!G37-'120121'!G59</f>
        <v>21594562</v>
      </c>
    </row>
    <row r="134" spans="1:3">
      <c r="A134" t="s">
        <v>1055</v>
      </c>
      <c r="B134" t="s">
        <v>3582</v>
      </c>
      <c r="C134" s="140">
        <f>C129-C130-C131-C132+C133</f>
        <v>21594562</v>
      </c>
    </row>
    <row r="135" spans="1:3" ht="18">
      <c r="B135" s="887"/>
      <c r="C135" s="887"/>
    </row>
    <row r="136" spans="1:3">
      <c r="A136" s="14" t="s">
        <v>1056</v>
      </c>
      <c r="B136" t="s">
        <v>3582</v>
      </c>
      <c r="C136" s="976">
        <f>C127+C134</f>
        <v>186118123</v>
      </c>
    </row>
    <row r="137" spans="1:3">
      <c r="A137" s="86"/>
      <c r="B137" s="86"/>
    </row>
    <row r="138" spans="1:3">
      <c r="A138" s="86" t="s">
        <v>1057</v>
      </c>
      <c r="B138" s="16" t="s">
        <v>1058</v>
      </c>
      <c r="C138" s="140">
        <f>'120121'!G80</f>
        <v>0</v>
      </c>
    </row>
    <row r="139" spans="1:3">
      <c r="A139" s="86"/>
      <c r="B139" s="86"/>
    </row>
    <row r="140" spans="1:3" ht="15.75">
      <c r="A140" s="876" t="s">
        <v>1059</v>
      </c>
      <c r="B140" t="s">
        <v>3582</v>
      </c>
      <c r="C140" s="136">
        <f>C136+C138</f>
        <v>186118123</v>
      </c>
    </row>
    <row r="141" spans="1:3" ht="15.75">
      <c r="B141" s="973"/>
      <c r="C141" s="973"/>
    </row>
    <row r="142" spans="1:3" ht="15.75">
      <c r="A142" s="876"/>
      <c r="B142" s="876"/>
      <c r="C142" s="876"/>
    </row>
    <row r="143" spans="1:3" ht="18">
      <c r="A143" s="887" t="s">
        <v>1060</v>
      </c>
      <c r="B143" s="887"/>
      <c r="C143" s="887"/>
    </row>
    <row r="144" spans="1:3" ht="18">
      <c r="A144" s="887"/>
      <c r="B144" s="887"/>
      <c r="C144" s="887"/>
    </row>
    <row r="145" spans="1:3" ht="18">
      <c r="A145" s="887"/>
      <c r="B145" s="887"/>
      <c r="C145" s="887"/>
    </row>
    <row r="146" spans="1:3" ht="18">
      <c r="A146" s="887"/>
      <c r="B146" s="887"/>
      <c r="C146" s="887"/>
    </row>
    <row r="147" spans="1:3" ht="15.75">
      <c r="B147" s="973" t="s">
        <v>4306</v>
      </c>
    </row>
    <row r="148" spans="1:3" ht="15.75">
      <c r="B148" s="973" t="s">
        <v>4307</v>
      </c>
      <c r="C148" s="1517">
        <f>'Data sheet'!$D$35</f>
        <v>45291</v>
      </c>
    </row>
    <row r="149" spans="1:3" ht="15.75">
      <c r="A149" s="876" t="s">
        <v>1061</v>
      </c>
      <c r="B149" s="876"/>
      <c r="C149" s="876"/>
    </row>
    <row r="150" spans="1:3">
      <c r="A150" s="977" t="s">
        <v>1325</v>
      </c>
      <c r="B150" t="s">
        <v>1062</v>
      </c>
      <c r="C150" s="136">
        <f>'122123'!E18</f>
        <v>21594562</v>
      </c>
    </row>
    <row r="151" spans="1:3">
      <c r="A151" s="977" t="s">
        <v>1063</v>
      </c>
      <c r="C151" s="140"/>
    </row>
    <row r="152" spans="1:3">
      <c r="A152" s="977" t="s">
        <v>2644</v>
      </c>
      <c r="C152" s="140"/>
    </row>
    <row r="153" spans="1:3">
      <c r="A153" s="977" t="s">
        <v>2846</v>
      </c>
      <c r="B153" t="s">
        <v>2847</v>
      </c>
      <c r="C153" s="140">
        <f>SUM('122123'!E20:E23)</f>
        <v>16048507.84</v>
      </c>
    </row>
    <row r="154" spans="1:3">
      <c r="A154" s="977" t="s">
        <v>2848</v>
      </c>
      <c r="B154" t="s">
        <v>2849</v>
      </c>
      <c r="C154" s="140">
        <f>SUM('122123'!E24:E25)</f>
        <v>4294355</v>
      </c>
    </row>
    <row r="155" spans="1:3">
      <c r="A155" s="977" t="s">
        <v>2850</v>
      </c>
      <c r="B155" t="s">
        <v>2851</v>
      </c>
      <c r="C155" s="140">
        <f>SUM('122123'!E26:E27)</f>
        <v>-223091</v>
      </c>
    </row>
    <row r="156" spans="1:3">
      <c r="A156" s="977" t="s">
        <v>1154</v>
      </c>
      <c r="B156" t="s">
        <v>1155</v>
      </c>
      <c r="C156" s="140">
        <f>'122123'!E28</f>
        <v>448668</v>
      </c>
    </row>
    <row r="157" spans="1:3">
      <c r="A157" s="977" t="s">
        <v>1156</v>
      </c>
      <c r="B157" t="s">
        <v>3015</v>
      </c>
      <c r="C157" s="140">
        <f>-'122123'!E31</f>
        <v>-4538475</v>
      </c>
    </row>
    <row r="158" spans="1:3">
      <c r="A158" s="977" t="s">
        <v>3016</v>
      </c>
      <c r="B158" t="s">
        <v>3017</v>
      </c>
      <c r="C158" s="140">
        <f>-'122123'!E32</f>
        <v>0</v>
      </c>
    </row>
    <row r="159" spans="1:3">
      <c r="A159" s="977" t="s">
        <v>3018</v>
      </c>
      <c r="B159" t="s">
        <v>3019</v>
      </c>
      <c r="C159" s="140">
        <f>'122123'!E33</f>
        <v>10994221.16</v>
      </c>
    </row>
    <row r="160" spans="1:3">
      <c r="A160" s="977"/>
      <c r="B160" t="s">
        <v>3020</v>
      </c>
      <c r="C160" s="140">
        <f>'122123'!E34</f>
        <v>-10904861</v>
      </c>
    </row>
    <row r="161" spans="1:3">
      <c r="B161" t="s">
        <v>3021</v>
      </c>
      <c r="C161" s="140">
        <f>SUM('122123'!E35:E36)</f>
        <v>141057</v>
      </c>
    </row>
    <row r="162" spans="1:3">
      <c r="A162" s="977" t="s">
        <v>3022</v>
      </c>
      <c r="B162" t="s">
        <v>3582</v>
      </c>
      <c r="C162" s="889">
        <f>SUM(C150:C161)</f>
        <v>37854944</v>
      </c>
    </row>
    <row r="163" spans="1:3">
      <c r="C163" s="140"/>
    </row>
    <row r="164" spans="1:3" ht="15.75">
      <c r="A164" s="973" t="s">
        <v>3023</v>
      </c>
      <c r="C164" s="140"/>
    </row>
    <row r="165" spans="1:3">
      <c r="A165" s="977" t="s">
        <v>3024</v>
      </c>
      <c r="B165" t="s">
        <v>3025</v>
      </c>
      <c r="C165" s="140">
        <f>'122123'!E48</f>
        <v>-83472529</v>
      </c>
    </row>
    <row r="166" spans="1:3">
      <c r="A166" s="977" t="s">
        <v>3026</v>
      </c>
      <c r="B166" t="s">
        <v>3027</v>
      </c>
      <c r="C166" s="140">
        <f>SUM('122123'!E50:E52)</f>
        <v>0</v>
      </c>
    </row>
    <row r="167" spans="1:3">
      <c r="A167" s="977" t="s">
        <v>3028</v>
      </c>
      <c r="B167" t="s">
        <v>3029</v>
      </c>
      <c r="C167" s="140">
        <f>'122123'!E53</f>
        <v>0</v>
      </c>
    </row>
    <row r="168" spans="1:3">
      <c r="A168" s="977" t="s">
        <v>3372</v>
      </c>
      <c r="B168" t="s">
        <v>3373</v>
      </c>
      <c r="C168" s="140">
        <f>'122123'!E54</f>
        <v>0</v>
      </c>
    </row>
    <row r="169" spans="1:3">
      <c r="A169" s="977" t="s">
        <v>3374</v>
      </c>
      <c r="C169" s="140"/>
    </row>
    <row r="170" spans="1:3">
      <c r="A170" s="977" t="s">
        <v>3375</v>
      </c>
      <c r="B170" t="s">
        <v>3376</v>
      </c>
      <c r="C170" s="140"/>
    </row>
    <row r="171" spans="1:3">
      <c r="A171" s="977" t="s">
        <v>3377</v>
      </c>
      <c r="B171" t="s">
        <v>997</v>
      </c>
      <c r="C171" s="140">
        <f>SUM('122123'!E56:E57)</f>
        <v>0</v>
      </c>
    </row>
    <row r="172" spans="1:3">
      <c r="A172" s="977" t="s">
        <v>998</v>
      </c>
      <c r="B172" t="s">
        <v>999</v>
      </c>
      <c r="C172" s="140">
        <f>SUM('122123'!E58:E59)</f>
        <v>0</v>
      </c>
    </row>
    <row r="173" spans="1:3">
      <c r="A173" s="977" t="s">
        <v>1000</v>
      </c>
      <c r="B173" t="s">
        <v>1001</v>
      </c>
      <c r="C173" s="140">
        <f>SUM('122123'!E79:E81)</f>
        <v>0</v>
      </c>
    </row>
    <row r="174" spans="1:3">
      <c r="A174" s="977" t="s">
        <v>3666</v>
      </c>
      <c r="B174" t="s">
        <v>3699</v>
      </c>
      <c r="C174" s="140">
        <f>SUM('122123'!E82:E84)</f>
        <v>0</v>
      </c>
    </row>
    <row r="175" spans="1:3">
      <c r="A175" s="977"/>
      <c r="B175" t="s">
        <v>3700</v>
      </c>
      <c r="C175" s="140">
        <f>SUM('122123'!E85:E87)</f>
        <v>0</v>
      </c>
    </row>
    <row r="176" spans="1:3">
      <c r="A176" s="977"/>
      <c r="C176" s="140"/>
    </row>
    <row r="177" spans="1:3">
      <c r="A177" s="977" t="s">
        <v>3965</v>
      </c>
      <c r="B177" t="s">
        <v>3582</v>
      </c>
      <c r="C177" s="889">
        <f>SUM(C165:C175)</f>
        <v>-83472529</v>
      </c>
    </row>
    <row r="178" spans="1:3">
      <c r="A178" s="977"/>
      <c r="C178" s="140"/>
    </row>
    <row r="179" spans="1:3" ht="15.75">
      <c r="A179" s="973" t="s">
        <v>3966</v>
      </c>
      <c r="C179" s="140"/>
    </row>
    <row r="180" spans="1:3">
      <c r="A180" s="977" t="s">
        <v>3967</v>
      </c>
      <c r="C180" s="140"/>
    </row>
    <row r="181" spans="1:3">
      <c r="A181" s="977" t="s">
        <v>3968</v>
      </c>
      <c r="B181" t="s">
        <v>3763</v>
      </c>
      <c r="C181" s="140">
        <f>'122123'!E93+SUM('122123'!E96:E97)+'122123'!E105+'122123'!E108+'122123'!E109</f>
        <v>45617385</v>
      </c>
    </row>
    <row r="182" spans="1:3">
      <c r="A182" s="977" t="s">
        <v>3764</v>
      </c>
      <c r="B182" t="s">
        <v>3765</v>
      </c>
      <c r="C182" s="140">
        <f>'122123'!E95+'122123'!E107</f>
        <v>0</v>
      </c>
    </row>
    <row r="183" spans="1:3">
      <c r="A183" s="977" t="s">
        <v>3766</v>
      </c>
      <c r="B183" t="s">
        <v>3767</v>
      </c>
      <c r="C183" s="140">
        <f>'122123'!E94+'122123'!E106</f>
        <v>0</v>
      </c>
    </row>
    <row r="184" spans="1:3">
      <c r="A184" s="977" t="s">
        <v>3768</v>
      </c>
      <c r="B184" t="s">
        <v>3769</v>
      </c>
      <c r="C184" s="140">
        <f>'122123'!E98+'122123'!E110</f>
        <v>0</v>
      </c>
    </row>
    <row r="185" spans="1:3">
      <c r="A185" s="977" t="s">
        <v>3770</v>
      </c>
      <c r="B185" t="s">
        <v>3771</v>
      </c>
      <c r="C185" s="140">
        <f>'122123'!E112+'122123'!E113</f>
        <v>0</v>
      </c>
    </row>
    <row r="186" spans="1:3">
      <c r="A186" s="977" t="s">
        <v>3772</v>
      </c>
      <c r="B186" t="s">
        <v>3773</v>
      </c>
      <c r="C186" s="140">
        <f>SUM('122123'!E99:E101)+'122123'!E111</f>
        <v>0</v>
      </c>
    </row>
    <row r="187" spans="1:3">
      <c r="A187" s="977"/>
      <c r="C187" s="140"/>
    </row>
    <row r="188" spans="1:3">
      <c r="A188" s="977"/>
      <c r="C188" s="140"/>
    </row>
    <row r="189" spans="1:3">
      <c r="A189" s="977" t="s">
        <v>3774</v>
      </c>
      <c r="B189" t="s">
        <v>3582</v>
      </c>
      <c r="C189" s="889">
        <f>SUM(C181:C188)</f>
        <v>45617385</v>
      </c>
    </row>
    <row r="190" spans="1:3">
      <c r="A190" s="977"/>
      <c r="C190" s="140"/>
    </row>
    <row r="191" spans="1:3">
      <c r="A191" s="977" t="s">
        <v>3775</v>
      </c>
      <c r="B191" t="s">
        <v>3582</v>
      </c>
      <c r="C191" s="140">
        <f>C162+C177+C189</f>
        <v>-200</v>
      </c>
    </row>
    <row r="192" spans="1:3">
      <c r="A192" s="977"/>
      <c r="C192" s="140"/>
    </row>
    <row r="193" spans="1:3">
      <c r="A193" s="977" t="s">
        <v>3776</v>
      </c>
      <c r="B193" t="s">
        <v>3929</v>
      </c>
      <c r="C193" s="140">
        <f>'122123'!E120</f>
        <v>10320</v>
      </c>
    </row>
    <row r="194" spans="1:3">
      <c r="A194" s="977"/>
      <c r="C194" s="140"/>
    </row>
    <row r="195" spans="1:3" ht="15.75">
      <c r="A195" s="978" t="s">
        <v>3930</v>
      </c>
      <c r="B195" t="s">
        <v>3582</v>
      </c>
      <c r="C195" s="136">
        <f>C191+C193</f>
        <v>10120</v>
      </c>
    </row>
    <row r="198" spans="1:3" ht="18">
      <c r="A198" s="887" t="s">
        <v>677</v>
      </c>
      <c r="B198" s="4"/>
      <c r="C198" s="4"/>
    </row>
    <row r="202" spans="1:3" ht="15.75">
      <c r="B202" s="973" t="s">
        <v>4306</v>
      </c>
    </row>
    <row r="203" spans="1:3" ht="15.75">
      <c r="B203" s="973" t="s">
        <v>4307</v>
      </c>
      <c r="C203" s="1517">
        <f>'Data sheet'!$D$35</f>
        <v>45291</v>
      </c>
    </row>
    <row r="204" spans="1:3" ht="15.75">
      <c r="A204" s="973" t="s">
        <v>678</v>
      </c>
      <c r="B204" s="876"/>
      <c r="C204" s="876"/>
    </row>
    <row r="205" spans="1:3">
      <c r="A205" t="s">
        <v>3788</v>
      </c>
      <c r="B205" t="s">
        <v>679</v>
      </c>
      <c r="C205" s="136">
        <f>'300'!D$22</f>
        <v>91291702</v>
      </c>
    </row>
    <row r="206" spans="1:3">
      <c r="A206" t="s">
        <v>680</v>
      </c>
      <c r="B206" t="s">
        <v>681</v>
      </c>
      <c r="C206" s="140">
        <f>SUM('300'!D$23:D$24)</f>
        <v>21339506</v>
      </c>
    </row>
    <row r="207" spans="1:3">
      <c r="A207" t="s">
        <v>3193</v>
      </c>
      <c r="B207" t="s">
        <v>3194</v>
      </c>
      <c r="C207" s="140">
        <f>SUM('300'!D$26:D$27)</f>
        <v>16835590</v>
      </c>
    </row>
    <row r="208" spans="1:3">
      <c r="A208" t="s">
        <v>3308</v>
      </c>
      <c r="B208" t="s">
        <v>3195</v>
      </c>
      <c r="C208" s="140">
        <f>'300'!D$30</f>
        <v>583404</v>
      </c>
    </row>
    <row r="209" spans="1:3">
      <c r="A209" t="s">
        <v>3133</v>
      </c>
      <c r="B209" t="s">
        <v>2374</v>
      </c>
      <c r="C209" s="140">
        <f>SUM('300'!D$28:D$29)+'300'!D$31</f>
        <v>2018957</v>
      </c>
    </row>
    <row r="210" spans="1:3">
      <c r="A210" t="s">
        <v>2375</v>
      </c>
      <c r="B210" t="s">
        <v>2376</v>
      </c>
      <c r="C210" s="140">
        <f>'300'!D40</f>
        <v>460675</v>
      </c>
    </row>
    <row r="211" spans="1:3">
      <c r="A211" t="s">
        <v>2377</v>
      </c>
      <c r="B211" s="14" t="s">
        <v>3582</v>
      </c>
      <c r="C211" s="136">
        <f>SUM(C205:C210)</f>
        <v>132529834</v>
      </c>
    </row>
    <row r="212" spans="1:3" ht="18">
      <c r="A212" s="882"/>
      <c r="B212" s="876"/>
      <c r="C212" s="140"/>
    </row>
    <row r="213" spans="1:3" ht="15.75">
      <c r="A213" s="973" t="s">
        <v>2378</v>
      </c>
      <c r="B213" s="876"/>
      <c r="C213" s="140"/>
    </row>
    <row r="214" spans="1:3">
      <c r="A214" t="s">
        <v>3788</v>
      </c>
      <c r="B214" t="s">
        <v>2379</v>
      </c>
      <c r="C214" s="140">
        <f>'300'!F$22</f>
        <v>6172488.6135700364</v>
      </c>
    </row>
    <row r="215" spans="1:3">
      <c r="A215" t="s">
        <v>680</v>
      </c>
      <c r="B215" t="s">
        <v>2380</v>
      </c>
      <c r="C215" s="140">
        <f>SUM('300'!F$23:F$24)</f>
        <v>1868442.9888535037</v>
      </c>
    </row>
    <row r="216" spans="1:3">
      <c r="A216" t="s">
        <v>3193</v>
      </c>
      <c r="B216" t="s">
        <v>2381</v>
      </c>
      <c r="C216" s="140">
        <f>SUM('300'!F$26:F$27)</f>
        <v>0</v>
      </c>
    </row>
    <row r="217" spans="1:3">
      <c r="A217" t="s">
        <v>3308</v>
      </c>
      <c r="B217" t="s">
        <v>2382</v>
      </c>
      <c r="C217" s="140">
        <f>'300'!F$30</f>
        <v>93354.364104348933</v>
      </c>
    </row>
    <row r="218" spans="1:3">
      <c r="A218" t="s">
        <v>3133</v>
      </c>
      <c r="B218" t="s">
        <v>2383</v>
      </c>
      <c r="C218" s="140">
        <f>SUM('300'!F$28:F$29)+'300'!F$31</f>
        <v>9325</v>
      </c>
    </row>
    <row r="219" spans="1:3">
      <c r="A219" t="s">
        <v>2384</v>
      </c>
      <c r="B219" s="14" t="s">
        <v>3582</v>
      </c>
      <c r="C219" s="140">
        <f>SUM(C213:C218)</f>
        <v>8143610.9665278895</v>
      </c>
    </row>
    <row r="220" spans="1:3">
      <c r="B220" s="14"/>
      <c r="C220" s="140"/>
    </row>
    <row r="221" spans="1:3" ht="15.75">
      <c r="A221" s="973" t="s">
        <v>2385</v>
      </c>
      <c r="B221" s="724"/>
      <c r="C221" s="734"/>
    </row>
    <row r="222" spans="1:3">
      <c r="A222" t="s">
        <v>3788</v>
      </c>
      <c r="B222" t="s">
        <v>2386</v>
      </c>
      <c r="C222" s="140">
        <f>'300'!H$22</f>
        <v>77097.916666666657</v>
      </c>
    </row>
    <row r="223" spans="1:3">
      <c r="A223" t="s">
        <v>680</v>
      </c>
      <c r="B223" t="s">
        <v>2387</v>
      </c>
      <c r="C223" s="140">
        <f>SUM('300'!H$23:H$24)</f>
        <v>4947.4166666666661</v>
      </c>
    </row>
    <row r="224" spans="1:3">
      <c r="A224" t="s">
        <v>3193</v>
      </c>
      <c r="B224" t="s">
        <v>890</v>
      </c>
      <c r="C224" s="140">
        <f>SUM('300'!H$26:H$27)</f>
        <v>2835</v>
      </c>
    </row>
    <row r="225" spans="1:3">
      <c r="A225" t="s">
        <v>3308</v>
      </c>
      <c r="B225" t="s">
        <v>537</v>
      </c>
      <c r="C225" s="140">
        <f>'300'!H$30</f>
        <v>13</v>
      </c>
    </row>
    <row r="226" spans="1:3">
      <c r="A226" t="s">
        <v>3133</v>
      </c>
      <c r="B226" t="s">
        <v>538</v>
      </c>
      <c r="C226" s="140">
        <f>SUM('300'!H$28:H$29)+'300'!H$31</f>
        <v>33</v>
      </c>
    </row>
    <row r="227" spans="1:3">
      <c r="A227" t="s">
        <v>539</v>
      </c>
      <c r="B227" s="14" t="s">
        <v>3582</v>
      </c>
      <c r="C227" s="140">
        <f>SUM(C221:C226)</f>
        <v>84926.333333333328</v>
      </c>
    </row>
    <row r="228" spans="1:3">
      <c r="C228" s="140"/>
    </row>
    <row r="229" spans="1:3" ht="15.75">
      <c r="A229" s="3" t="s">
        <v>540</v>
      </c>
      <c r="B229" s="3"/>
      <c r="C229" s="702"/>
    </row>
    <row r="230" spans="1:3">
      <c r="C230" s="140"/>
    </row>
    <row r="231" spans="1:3" ht="15.75">
      <c r="A231" s="973" t="s">
        <v>541</v>
      </c>
    </row>
    <row r="232" spans="1:3">
      <c r="A232" t="s">
        <v>971</v>
      </c>
      <c r="B232" t="s">
        <v>3582</v>
      </c>
      <c r="C232" s="572">
        <f>C205/C222</f>
        <v>1184.1007636393117</v>
      </c>
    </row>
    <row r="233" spans="1:3">
      <c r="A233" t="s">
        <v>4151</v>
      </c>
      <c r="B233" t="s">
        <v>3582</v>
      </c>
      <c r="C233" s="140">
        <f>C214/C222</f>
        <v>80.060381401184046</v>
      </c>
    </row>
    <row r="234" spans="1:3">
      <c r="A234" t="s">
        <v>4152</v>
      </c>
      <c r="B234" t="s">
        <v>3582</v>
      </c>
      <c r="C234" s="198">
        <f>C205/C214</f>
        <v>14.79009646114176</v>
      </c>
    </row>
    <row r="235" spans="1:3">
      <c r="C235" s="140"/>
    </row>
    <row r="236" spans="1:3" ht="15.75">
      <c r="A236" s="973" t="s">
        <v>4153</v>
      </c>
      <c r="C236" s="140"/>
    </row>
    <row r="237" spans="1:3">
      <c r="A237" t="s">
        <v>971</v>
      </c>
      <c r="B237" t="s">
        <v>3582</v>
      </c>
      <c r="C237" s="572">
        <f>C206/C223</f>
        <v>4313.262342299854</v>
      </c>
    </row>
    <row r="238" spans="1:3">
      <c r="A238" t="s">
        <v>4151</v>
      </c>
      <c r="B238" t="s">
        <v>3582</v>
      </c>
      <c r="C238" s="140">
        <f>C215/C223</f>
        <v>377.66032552749829</v>
      </c>
    </row>
    <row r="239" spans="1:3">
      <c r="A239" t="s">
        <v>4152</v>
      </c>
      <c r="B239" t="s">
        <v>3582</v>
      </c>
      <c r="C239" s="198">
        <f>C206/C215</f>
        <v>11.421009967820396</v>
      </c>
    </row>
    <row r="241" spans="1:3" ht="15.75">
      <c r="A241" s="3" t="s">
        <v>4154</v>
      </c>
      <c r="B241" s="3"/>
      <c r="C241" s="3"/>
    </row>
    <row r="243" spans="1:3">
      <c r="A243" t="s">
        <v>121</v>
      </c>
      <c r="B243" t="s">
        <v>4155</v>
      </c>
      <c r="C243" s="136">
        <f>'307309'!D29</f>
        <v>1731540</v>
      </c>
    </row>
    <row r="244" spans="1:3">
      <c r="A244" t="s">
        <v>122</v>
      </c>
      <c r="B244" t="s">
        <v>4156</v>
      </c>
      <c r="C244" s="140">
        <f>'307309'!D49</f>
        <v>5292076</v>
      </c>
    </row>
    <row r="245" spans="1:3">
      <c r="A245" t="s">
        <v>123</v>
      </c>
      <c r="B245" t="s">
        <v>4157</v>
      </c>
      <c r="C245" s="140">
        <f>'307309'!D79</f>
        <v>6999795.4299999997</v>
      </c>
    </row>
    <row r="246" spans="1:3">
      <c r="A246" t="s">
        <v>124</v>
      </c>
      <c r="B246" t="s">
        <v>4158</v>
      </c>
      <c r="C246" s="140">
        <f>'307309'!D105</f>
        <v>5180250</v>
      </c>
    </row>
    <row r="247" spans="1:3">
      <c r="A247" t="s">
        <v>4159</v>
      </c>
      <c r="B247" t="s">
        <v>4160</v>
      </c>
      <c r="C247" s="140">
        <f>'307309'!D116</f>
        <v>4612199</v>
      </c>
    </row>
    <row r="248" spans="1:3">
      <c r="A248" t="s">
        <v>4161</v>
      </c>
      <c r="B248" t="s">
        <v>4162</v>
      </c>
      <c r="C248" s="140">
        <f>'307309'!D136</f>
        <v>56217</v>
      </c>
    </row>
    <row r="249" spans="1:3">
      <c r="A249" t="s">
        <v>4163</v>
      </c>
      <c r="B249" t="s">
        <v>3912</v>
      </c>
      <c r="C249" s="140">
        <f>'307309'!D158</f>
        <v>11784547</v>
      </c>
    </row>
    <row r="250" spans="1:3" ht="15.75">
      <c r="A250" s="876" t="s">
        <v>3913</v>
      </c>
      <c r="B250" t="s">
        <v>3582</v>
      </c>
      <c r="C250" s="136">
        <f>SUM(C243:C249)</f>
        <v>35656624.43</v>
      </c>
    </row>
    <row r="251" spans="1:3" ht="15.75">
      <c r="B251" s="876"/>
      <c r="C251" s="876"/>
    </row>
    <row r="253" spans="1:3" ht="18">
      <c r="A253" s="887" t="s">
        <v>3808</v>
      </c>
      <c r="B253" s="4"/>
      <c r="C253" s="887"/>
    </row>
    <row r="254" spans="1:3" ht="18">
      <c r="A254" s="882"/>
      <c r="B254" s="882"/>
      <c r="C254" s="882"/>
    </row>
    <row r="257" spans="1:3" ht="15.75">
      <c r="B257" s="973" t="s">
        <v>4306</v>
      </c>
    </row>
    <row r="258" spans="1:3" ht="18">
      <c r="A258" s="20"/>
      <c r="B258" s="973" t="s">
        <v>4307</v>
      </c>
      <c r="C258" s="1517">
        <f>'Data sheet'!$D$35</f>
        <v>45291</v>
      </c>
    </row>
    <row r="259" spans="1:3" ht="18">
      <c r="A259" s="20"/>
      <c r="B259" s="876"/>
      <c r="C259" s="876"/>
    </row>
    <row r="260" spans="1:3">
      <c r="A260" t="s">
        <v>2300</v>
      </c>
      <c r="B260" t="s">
        <v>3582</v>
      </c>
      <c r="C260" s="136">
        <f>C211</f>
        <v>132529834</v>
      </c>
    </row>
    <row r="261" spans="1:3">
      <c r="C261" s="136"/>
    </row>
    <row r="262" spans="1:3">
      <c r="A262" t="s">
        <v>3809</v>
      </c>
      <c r="B262" t="s">
        <v>3582</v>
      </c>
      <c r="C262" s="140">
        <f>C219</f>
        <v>8143610.9665278895</v>
      </c>
    </row>
    <row r="263" spans="1:3">
      <c r="C263" s="140"/>
    </row>
    <row r="264" spans="1:3" ht="15.75">
      <c r="A264" s="724" t="s">
        <v>2523</v>
      </c>
      <c r="B264" s="3"/>
      <c r="C264" s="3"/>
    </row>
    <row r="265" spans="1:3" ht="15.75">
      <c r="A265" t="s">
        <v>2524</v>
      </c>
      <c r="B265" s="975"/>
    </row>
    <row r="266" spans="1:3">
      <c r="A266" t="s">
        <v>2525</v>
      </c>
      <c r="B266" t="s">
        <v>3582</v>
      </c>
      <c r="C266" s="136">
        <f>C326</f>
        <v>3562211</v>
      </c>
    </row>
    <row r="267" spans="1:3">
      <c r="C267" s="140"/>
    </row>
    <row r="268" spans="1:3">
      <c r="A268" t="s">
        <v>2526</v>
      </c>
      <c r="B268" t="s">
        <v>3582</v>
      </c>
      <c r="C268" s="140">
        <f>C331</f>
        <v>13003209</v>
      </c>
    </row>
    <row r="269" spans="1:3">
      <c r="C269" s="140"/>
    </row>
    <row r="270" spans="1:3">
      <c r="A270" t="s">
        <v>2527</v>
      </c>
      <c r="B270" t="s">
        <v>3582</v>
      </c>
      <c r="C270" s="140">
        <f>C338</f>
        <v>19091204.43</v>
      </c>
    </row>
    <row r="271" spans="1:3">
      <c r="C271" s="140"/>
    </row>
    <row r="272" spans="1:3">
      <c r="A272" t="s">
        <v>2528</v>
      </c>
      <c r="B272" t="s">
        <v>3582</v>
      </c>
      <c r="C272" s="140">
        <f>C343</f>
        <v>19756314</v>
      </c>
    </row>
    <row r="273" spans="1:3">
      <c r="C273" s="140"/>
    </row>
    <row r="274" spans="1:3">
      <c r="A274" t="s">
        <v>3810</v>
      </c>
      <c r="B274" t="s">
        <v>3582</v>
      </c>
      <c r="C274" s="140">
        <f>C346</f>
        <v>8868398</v>
      </c>
    </row>
    <row r="275" spans="1:3">
      <c r="C275" s="140"/>
    </row>
    <row r="276" spans="1:3">
      <c r="A276" t="s">
        <v>3097</v>
      </c>
      <c r="B276" t="s">
        <v>3582</v>
      </c>
      <c r="C276" s="140">
        <f>C349</f>
        <v>35740410</v>
      </c>
    </row>
    <row r="277" spans="1:3">
      <c r="B277" t="s">
        <v>218</v>
      </c>
      <c r="C277" s="140"/>
    </row>
    <row r="278" spans="1:3">
      <c r="A278" t="s">
        <v>3098</v>
      </c>
      <c r="B278" t="s">
        <v>3582</v>
      </c>
      <c r="C278" s="140">
        <f>C280-SUM(C266:C276)</f>
        <v>32508087.569999993</v>
      </c>
    </row>
    <row r="279" spans="1:3">
      <c r="B279" t="s">
        <v>218</v>
      </c>
    </row>
    <row r="280" spans="1:3">
      <c r="A280" t="s">
        <v>3099</v>
      </c>
      <c r="B280" s="14" t="s">
        <v>3582</v>
      </c>
      <c r="C280" s="136">
        <f>C260</f>
        <v>132529834</v>
      </c>
    </row>
    <row r="281" spans="1:3" ht="15.75">
      <c r="B281" s="876"/>
      <c r="C281" s="140"/>
    </row>
    <row r="282" spans="1:3" ht="15.75">
      <c r="A282" s="724" t="s">
        <v>3100</v>
      </c>
      <c r="B282" s="4"/>
      <c r="C282" s="4"/>
    </row>
    <row r="283" spans="1:3" ht="15.75">
      <c r="A283" t="s">
        <v>2524</v>
      </c>
      <c r="B283" s="3"/>
      <c r="C283" s="3"/>
    </row>
    <row r="284" spans="1:3">
      <c r="A284" t="s">
        <v>2525</v>
      </c>
      <c r="B284" t="s">
        <v>3582</v>
      </c>
      <c r="C284" s="979">
        <f>(+C266/C$260)*100</f>
        <v>2.6878559283489332</v>
      </c>
    </row>
    <row r="285" spans="1:3">
      <c r="C285" s="979"/>
    </row>
    <row r="286" spans="1:3">
      <c r="A286" t="s">
        <v>2526</v>
      </c>
      <c r="B286" t="s">
        <v>3582</v>
      </c>
      <c r="C286" s="979">
        <f>(+C268/C$260)*100</f>
        <v>9.8115334544220438</v>
      </c>
    </row>
    <row r="287" spans="1:3">
      <c r="C287" s="979"/>
    </row>
    <row r="288" spans="1:3">
      <c r="A288" t="s">
        <v>2527</v>
      </c>
      <c r="B288" t="s">
        <v>3582</v>
      </c>
      <c r="C288" s="979">
        <f>(+C270/C$260)*100</f>
        <v>14.405212663286063</v>
      </c>
    </row>
    <row r="289" spans="1:3">
      <c r="C289" s="979"/>
    </row>
    <row r="290" spans="1:3">
      <c r="A290" t="s">
        <v>2528</v>
      </c>
      <c r="B290" t="s">
        <v>3582</v>
      </c>
      <c r="C290" s="979">
        <f>(+C272/C$260)*100</f>
        <v>14.907069150935479</v>
      </c>
    </row>
    <row r="291" spans="1:3">
      <c r="C291" s="979"/>
    </row>
    <row r="292" spans="1:3">
      <c r="A292" t="s">
        <v>3810</v>
      </c>
      <c r="B292" t="s">
        <v>3582</v>
      </c>
      <c r="C292" s="979">
        <f>(+C274/C$260)*100</f>
        <v>6.691623864857478</v>
      </c>
    </row>
    <row r="293" spans="1:3">
      <c r="C293" s="979"/>
    </row>
    <row r="294" spans="1:3">
      <c r="A294" t="s">
        <v>3097</v>
      </c>
      <c r="B294" t="s">
        <v>3582</v>
      </c>
      <c r="C294" s="979">
        <f>(+C276/C$260)*100</f>
        <v>26.967822203716036</v>
      </c>
    </row>
    <row r="295" spans="1:3">
      <c r="C295" s="979"/>
    </row>
    <row r="296" spans="1:3">
      <c r="A296" t="s">
        <v>3098</v>
      </c>
      <c r="B296" t="s">
        <v>3582</v>
      </c>
      <c r="C296" s="979">
        <f>(+C278/C$260)*100</f>
        <v>24.528882734433964</v>
      </c>
    </row>
    <row r="297" spans="1:3">
      <c r="C297" s="979"/>
    </row>
    <row r="298" spans="1:3">
      <c r="A298" t="s">
        <v>3099</v>
      </c>
      <c r="B298" t="s">
        <v>3582</v>
      </c>
      <c r="C298" s="979">
        <f>SUM(C284:C297)</f>
        <v>100</v>
      </c>
    </row>
    <row r="299" spans="1:3" ht="15.75">
      <c r="A299" s="724"/>
      <c r="B299" s="14"/>
      <c r="C299" s="979"/>
    </row>
    <row r="300" spans="1:3" ht="15.75">
      <c r="A300" s="724" t="s">
        <v>83</v>
      </c>
      <c r="B300" s="16"/>
      <c r="C300" s="980"/>
    </row>
    <row r="301" spans="1:3" ht="15.75">
      <c r="A301" t="s">
        <v>2524</v>
      </c>
      <c r="B301" s="876"/>
    </row>
    <row r="302" spans="1:3">
      <c r="A302" t="s">
        <v>2525</v>
      </c>
      <c r="B302" t="s">
        <v>3582</v>
      </c>
      <c r="C302" s="967">
        <f>(+C266/C$262)</f>
        <v>0.43742401431521039</v>
      </c>
    </row>
    <row r="303" spans="1:3">
      <c r="C303" s="967"/>
    </row>
    <row r="304" spans="1:3">
      <c r="A304" t="s">
        <v>2526</v>
      </c>
      <c r="B304" t="s">
        <v>3582</v>
      </c>
      <c r="C304" s="967">
        <f>(+C268/C$262)</f>
        <v>1.5967374980762434</v>
      </c>
    </row>
    <row r="305" spans="1:3">
      <c r="C305" s="967"/>
    </row>
    <row r="306" spans="1:3">
      <c r="A306" t="s">
        <v>2527</v>
      </c>
      <c r="B306" t="s">
        <v>3582</v>
      </c>
      <c r="C306" s="967">
        <f>(+C270/C$262)</f>
        <v>2.3443168526184799</v>
      </c>
    </row>
    <row r="307" spans="1:3">
      <c r="C307" s="967"/>
    </row>
    <row r="308" spans="1:3">
      <c r="A308" t="s">
        <v>2528</v>
      </c>
      <c r="B308" t="s">
        <v>3582</v>
      </c>
      <c r="C308" s="967">
        <f>(+C272/C$262)</f>
        <v>2.4259894144259819</v>
      </c>
    </row>
    <row r="309" spans="1:3">
      <c r="C309" s="967"/>
    </row>
    <row r="310" spans="1:3">
      <c r="A310" t="s">
        <v>3810</v>
      </c>
      <c r="B310" t="s">
        <v>3582</v>
      </c>
      <c r="C310" s="967">
        <f>(+C274/C$262)</f>
        <v>1.0890006947103872</v>
      </c>
    </row>
    <row r="311" spans="1:3">
      <c r="C311" s="967"/>
    </row>
    <row r="312" spans="1:3">
      <c r="A312" t="s">
        <v>3097</v>
      </c>
      <c r="B312" t="s">
        <v>3582</v>
      </c>
      <c r="C312" s="967">
        <f>(+C276/C$262)</f>
        <v>4.3887668685183137</v>
      </c>
    </row>
    <row r="313" spans="1:3">
      <c r="C313" s="967"/>
    </row>
    <row r="314" spans="1:3">
      <c r="A314" t="s">
        <v>3098</v>
      </c>
      <c r="B314" t="s">
        <v>3582</v>
      </c>
      <c r="C314" s="967">
        <f>(+C278/C$262)</f>
        <v>3.9918517355035372</v>
      </c>
    </row>
    <row r="315" spans="1:3">
      <c r="C315" s="967"/>
    </row>
    <row r="316" spans="1:3">
      <c r="A316" t="s">
        <v>3099</v>
      </c>
      <c r="B316" t="s">
        <v>3582</v>
      </c>
      <c r="C316" s="967">
        <f>(+C280/C$262)</f>
        <v>16.274087078168154</v>
      </c>
    </row>
    <row r="318" spans="1:3" ht="15.75" thickBot="1">
      <c r="A318" s="125"/>
      <c r="B318" s="125"/>
      <c r="C318" s="803"/>
    </row>
    <row r="319" spans="1:3" ht="15.75">
      <c r="A319" s="981" t="s">
        <v>88</v>
      </c>
      <c r="C319" s="140"/>
    </row>
    <row r="320" spans="1:3" ht="15.75">
      <c r="A320" s="981" t="s">
        <v>89</v>
      </c>
      <c r="C320" s="140"/>
    </row>
    <row r="321" spans="1:3">
      <c r="A321" t="s">
        <v>90</v>
      </c>
      <c r="B321" t="s">
        <v>91</v>
      </c>
      <c r="C321" s="140">
        <f>'307309'!D15</f>
        <v>322849</v>
      </c>
    </row>
    <row r="322" spans="1:3">
      <c r="A322" t="s">
        <v>92</v>
      </c>
      <c r="B322" t="s">
        <v>93</v>
      </c>
      <c r="C322" s="140">
        <f>'307309'!D37</f>
        <v>1972916</v>
      </c>
    </row>
    <row r="323" spans="1:3">
      <c r="A323" t="s">
        <v>94</v>
      </c>
      <c r="B323" t="s">
        <v>4106</v>
      </c>
      <c r="C323" s="140">
        <f>'307309'!D56</f>
        <v>1266446</v>
      </c>
    </row>
    <row r="324" spans="1:3">
      <c r="C324" s="140"/>
    </row>
    <row r="325" spans="1:3">
      <c r="C325" s="140"/>
    </row>
    <row r="326" spans="1:3">
      <c r="A326" t="s">
        <v>4107</v>
      </c>
      <c r="B326" t="s">
        <v>3582</v>
      </c>
      <c r="C326" s="140">
        <f>SUM(C321:C325)</f>
        <v>3562211</v>
      </c>
    </row>
    <row r="327" spans="1:3">
      <c r="C327" s="140"/>
    </row>
    <row r="328" spans="1:3" ht="15.75">
      <c r="A328" s="981" t="s">
        <v>2526</v>
      </c>
    </row>
    <row r="329" spans="1:3">
      <c r="A329" t="s">
        <v>4108</v>
      </c>
      <c r="B329" t="s">
        <v>265</v>
      </c>
      <c r="C329" s="140">
        <f>'354'!F39</f>
        <v>8603043</v>
      </c>
    </row>
    <row r="330" spans="1:3">
      <c r="A330" t="s">
        <v>3380</v>
      </c>
      <c r="B330" t="s">
        <v>3381</v>
      </c>
      <c r="C330" s="140">
        <f>'307309'!D146</f>
        <v>4400166</v>
      </c>
    </row>
    <row r="331" spans="1:3">
      <c r="A331" t="s">
        <v>3382</v>
      </c>
      <c r="B331" t="s">
        <v>3582</v>
      </c>
      <c r="C331" s="140">
        <f>SUM(C329:C330)</f>
        <v>13003209</v>
      </c>
    </row>
    <row r="332" spans="1:3">
      <c r="C332" s="140"/>
    </row>
    <row r="333" spans="1:3" ht="15.75">
      <c r="A333" s="981" t="s">
        <v>3383</v>
      </c>
      <c r="C333" s="140"/>
    </row>
    <row r="334" spans="1:3">
      <c r="A334" t="s">
        <v>3384</v>
      </c>
      <c r="B334" t="s">
        <v>3582</v>
      </c>
      <c r="C334" s="140">
        <f>C250</f>
        <v>35656624.43</v>
      </c>
    </row>
    <row r="335" spans="1:3">
      <c r="A335" t="s">
        <v>3826</v>
      </c>
      <c r="B335" t="s">
        <v>3582</v>
      </c>
      <c r="C335" s="140">
        <f>C326</f>
        <v>3562211</v>
      </c>
    </row>
    <row r="336" spans="1:3">
      <c r="A336" t="s">
        <v>3827</v>
      </c>
      <c r="B336" t="s">
        <v>3582</v>
      </c>
      <c r="C336">
        <f>C331</f>
        <v>13003209</v>
      </c>
    </row>
    <row r="337" spans="1:3">
      <c r="C337" s="140"/>
    </row>
    <row r="338" spans="1:3">
      <c r="A338" t="s">
        <v>3828</v>
      </c>
      <c r="B338" t="s">
        <v>3582</v>
      </c>
      <c r="C338" s="140">
        <f>C334-C335-C336-C337</f>
        <v>19091204.43</v>
      </c>
    </row>
    <row r="339" spans="1:3">
      <c r="C339" s="140"/>
    </row>
    <row r="340" spans="1:3" ht="15.75">
      <c r="A340" s="981" t="s">
        <v>3829</v>
      </c>
      <c r="C340" s="140"/>
    </row>
    <row r="341" spans="1:3">
      <c r="A341" t="s">
        <v>3830</v>
      </c>
      <c r="B341" t="s">
        <v>3582</v>
      </c>
      <c r="C341" s="140">
        <f>C89</f>
        <v>19756314</v>
      </c>
    </row>
    <row r="342" spans="1:3">
      <c r="B342" s="4"/>
      <c r="C342" s="4"/>
    </row>
    <row r="343" spans="1:3">
      <c r="A343" t="s">
        <v>3831</v>
      </c>
      <c r="B343" t="s">
        <v>3582</v>
      </c>
      <c r="C343" s="140">
        <f>SUM(C341:C342)</f>
        <v>19756314</v>
      </c>
    </row>
    <row r="345" spans="1:3" ht="15.75">
      <c r="A345" s="982" t="s">
        <v>3810</v>
      </c>
    </row>
    <row r="346" spans="1:3">
      <c r="A346" t="s">
        <v>3832</v>
      </c>
      <c r="B346" t="s">
        <v>3582</v>
      </c>
      <c r="C346" s="140">
        <f>C91</f>
        <v>8868398</v>
      </c>
    </row>
    <row r="348" spans="1:3" ht="15.75">
      <c r="A348" s="982" t="s">
        <v>3097</v>
      </c>
    </row>
    <row r="349" spans="1:3">
      <c r="A349" t="s">
        <v>3097</v>
      </c>
      <c r="B349" t="s">
        <v>3582</v>
      </c>
      <c r="C349" s="140">
        <f>C90</f>
        <v>35740410</v>
      </c>
    </row>
    <row r="351" spans="1:3" ht="18">
      <c r="A351" s="887" t="s">
        <v>3833</v>
      </c>
      <c r="B351" s="4"/>
      <c r="C351" s="4"/>
    </row>
    <row r="353" spans="1:3" ht="15.75">
      <c r="C353" s="876"/>
    </row>
    <row r="354" spans="1:3" ht="15.75">
      <c r="B354" s="973" t="s">
        <v>4306</v>
      </c>
    </row>
    <row r="355" spans="1:3" ht="15.75">
      <c r="B355" s="973" t="s">
        <v>4307</v>
      </c>
      <c r="C355" s="1517">
        <f>'Data sheet'!$D$35</f>
        <v>45291</v>
      </c>
    </row>
    <row r="356" spans="1:3" ht="15.75">
      <c r="A356" s="973" t="s">
        <v>3834</v>
      </c>
    </row>
    <row r="358" spans="1:3">
      <c r="A358" t="s">
        <v>2550</v>
      </c>
      <c r="B358" t="s">
        <v>2551</v>
      </c>
      <c r="C358" s="136">
        <f>'202205'!I24</f>
        <v>114092.41</v>
      </c>
    </row>
    <row r="359" spans="1:3">
      <c r="A359" t="s">
        <v>121</v>
      </c>
      <c r="B359" t="s">
        <v>727</v>
      </c>
      <c r="C359" s="140">
        <f>'202205'!I34</f>
        <v>41050023.930999987</v>
      </c>
    </row>
    <row r="360" spans="1:3">
      <c r="A360" t="s">
        <v>122</v>
      </c>
      <c r="B360" t="s">
        <v>728</v>
      </c>
      <c r="C360" s="140">
        <f>'202205'!I45</f>
        <v>60072775.240000002</v>
      </c>
    </row>
    <row r="361" spans="1:3">
      <c r="A361" t="s">
        <v>123</v>
      </c>
      <c r="B361" t="s">
        <v>729</v>
      </c>
      <c r="C361" s="140">
        <f>'202205'!I50</f>
        <v>114749737.56</v>
      </c>
    </row>
    <row r="362" spans="1:3">
      <c r="A362" t="s">
        <v>124</v>
      </c>
      <c r="B362" t="s">
        <v>730</v>
      </c>
      <c r="C362" s="140">
        <f>'202205'!I61</f>
        <v>500887769.67900008</v>
      </c>
    </row>
    <row r="363" spans="1:3">
      <c r="A363" t="s">
        <v>125</v>
      </c>
      <c r="B363" t="s">
        <v>731</v>
      </c>
      <c r="C363" s="140">
        <f>'202205'!I83</f>
        <v>37577667.180000007</v>
      </c>
    </row>
    <row r="364" spans="1:3">
      <c r="A364" t="s">
        <v>732</v>
      </c>
      <c r="B364" t="s">
        <v>733</v>
      </c>
      <c r="C364" s="140">
        <f>SUM('200201'!E13:E15)</f>
        <v>67034305</v>
      </c>
    </row>
    <row r="366" spans="1:3">
      <c r="A366" t="s">
        <v>2007</v>
      </c>
      <c r="B366" t="s">
        <v>3582</v>
      </c>
      <c r="C366" s="140">
        <f>SUM(C358:C365)</f>
        <v>821486371</v>
      </c>
    </row>
    <row r="368" spans="1:3">
      <c r="A368" t="s">
        <v>2008</v>
      </c>
      <c r="B368" t="s">
        <v>2009</v>
      </c>
      <c r="C368" s="140">
        <f>'200201'!E17</f>
        <v>0</v>
      </c>
    </row>
    <row r="369" spans="1:3">
      <c r="A369" t="s">
        <v>2010</v>
      </c>
      <c r="B369" t="s">
        <v>2011</v>
      </c>
      <c r="C369" s="140">
        <f>'200201'!E19</f>
        <v>69210814</v>
      </c>
    </row>
    <row r="370" spans="1:3">
      <c r="A370" t="s">
        <v>2012</v>
      </c>
      <c r="B370" t="s">
        <v>2013</v>
      </c>
      <c r="C370" s="140">
        <f>'200201'!E18</f>
        <v>8794537</v>
      </c>
    </row>
    <row r="371" spans="1:3">
      <c r="A371" t="s">
        <v>3105</v>
      </c>
      <c r="B371" t="s">
        <v>3106</v>
      </c>
      <c r="C371" s="140">
        <f>SUM('200201'!E20,'200201'!E21)</f>
        <v>-11393</v>
      </c>
    </row>
    <row r="372" spans="1:3">
      <c r="A372" t="s">
        <v>3107</v>
      </c>
      <c r="C372" s="140"/>
    </row>
    <row r="373" spans="1:3">
      <c r="A373" t="s">
        <v>3108</v>
      </c>
      <c r="B373" t="s">
        <v>3109</v>
      </c>
      <c r="C373" s="140">
        <f>'200201'!E22</f>
        <v>-1214356</v>
      </c>
    </row>
    <row r="374" spans="1:3">
      <c r="C374" s="140"/>
    </row>
    <row r="375" spans="1:3" ht="15.75">
      <c r="A375" s="973" t="s">
        <v>3110</v>
      </c>
      <c r="B375" t="s">
        <v>3582</v>
      </c>
      <c r="C375" s="140">
        <f>SUM(C366:C373)</f>
        <v>898265973</v>
      </c>
    </row>
    <row r="376" spans="1:3">
      <c r="C376" s="140"/>
    </row>
    <row r="377" spans="1:3">
      <c r="A377" t="s">
        <v>3410</v>
      </c>
      <c r="B377" t="s">
        <v>3411</v>
      </c>
      <c r="C377" s="140">
        <f>'200201'!E24</f>
        <v>117608294</v>
      </c>
    </row>
    <row r="379" spans="1:3" ht="15.75">
      <c r="A379" s="973" t="s">
        <v>3412</v>
      </c>
      <c r="B379" t="s">
        <v>3582</v>
      </c>
      <c r="C379" s="136">
        <f>C375-C377</f>
        <v>780657679</v>
      </c>
    </row>
    <row r="381" spans="1:3" ht="15.75">
      <c r="A381" s="724" t="s">
        <v>3413</v>
      </c>
      <c r="B381" s="4"/>
      <c r="C381" s="734"/>
    </row>
    <row r="382" spans="1:3">
      <c r="C382" s="140"/>
    </row>
    <row r="383" spans="1:3">
      <c r="A383" t="s">
        <v>3414</v>
      </c>
      <c r="B383" t="s">
        <v>3582</v>
      </c>
      <c r="C383" s="198">
        <f>C408/C410</f>
        <v>0.94186110825971703</v>
      </c>
    </row>
    <row r="385" spans="1:3">
      <c r="A385" t="s">
        <v>3938</v>
      </c>
      <c r="B385" t="s">
        <v>3582</v>
      </c>
      <c r="C385" s="136">
        <f>C412</f>
        <v>606315823</v>
      </c>
    </row>
    <row r="387" spans="1:3">
      <c r="A387" s="581" t="s">
        <v>3415</v>
      </c>
    </row>
    <row r="388" spans="1:3">
      <c r="A388" t="s">
        <v>3416</v>
      </c>
      <c r="B388" t="s">
        <v>3582</v>
      </c>
      <c r="C388" s="983">
        <f>C414/C412</f>
        <v>0</v>
      </c>
    </row>
    <row r="389" spans="1:3">
      <c r="A389" t="s">
        <v>3417</v>
      </c>
      <c r="B389" t="s">
        <v>3582</v>
      </c>
      <c r="C389" s="983">
        <f>C416/C412</f>
        <v>0</v>
      </c>
    </row>
    <row r="390" spans="1:3">
      <c r="A390" t="s">
        <v>3418</v>
      </c>
      <c r="B390" t="s">
        <v>3582</v>
      </c>
      <c r="C390" s="983">
        <f>C418/C412</f>
        <v>1</v>
      </c>
    </row>
    <row r="391" spans="1:3">
      <c r="A391" t="s">
        <v>762</v>
      </c>
      <c r="B391" t="s">
        <v>3582</v>
      </c>
      <c r="C391" s="983">
        <f>C420/C412</f>
        <v>0</v>
      </c>
    </row>
    <row r="393" spans="1:3">
      <c r="A393" t="s">
        <v>148</v>
      </c>
      <c r="B393" t="s">
        <v>3582</v>
      </c>
      <c r="C393" s="772">
        <f>C422/C424</f>
        <v>3.1205072792365689</v>
      </c>
    </row>
    <row r="395" spans="1:3">
      <c r="A395" t="s">
        <v>526</v>
      </c>
      <c r="B395" t="s">
        <v>3582</v>
      </c>
      <c r="C395" s="983">
        <f>C426/C428</f>
        <v>0</v>
      </c>
    </row>
    <row r="396" spans="1:3">
      <c r="C396" s="983"/>
    </row>
    <row r="397" spans="1:3">
      <c r="A397" t="s">
        <v>527</v>
      </c>
      <c r="B397" t="s">
        <v>3582</v>
      </c>
      <c r="C397" s="983">
        <f>C428/((C418+D418)/2)</f>
        <v>7.1232058213991228E-2</v>
      </c>
    </row>
    <row r="398" spans="1:3">
      <c r="C398" s="983"/>
    </row>
    <row r="399" spans="1:3">
      <c r="A399" t="s">
        <v>528</v>
      </c>
      <c r="C399" s="983"/>
    </row>
    <row r="400" spans="1:3">
      <c r="A400" t="s">
        <v>529</v>
      </c>
      <c r="B400" t="s">
        <v>3582</v>
      </c>
      <c r="C400" s="983">
        <f>C430/C432*-1</f>
        <v>-0.45350182213839479</v>
      </c>
    </row>
    <row r="401" spans="1:3">
      <c r="C401" s="983"/>
    </row>
    <row r="402" spans="1:3">
      <c r="A402" t="s">
        <v>1740</v>
      </c>
      <c r="B402" t="s">
        <v>3582</v>
      </c>
      <c r="C402" s="983">
        <f>C434/C436</f>
        <v>7.7049355180239032E-2</v>
      </c>
    </row>
    <row r="403" spans="1:3">
      <c r="C403" s="983"/>
    </row>
    <row r="404" spans="1:3">
      <c r="A404" t="s">
        <v>461</v>
      </c>
      <c r="B404" t="s">
        <v>3582</v>
      </c>
      <c r="C404" s="140">
        <f>C438</f>
        <v>136</v>
      </c>
    </row>
    <row r="405" spans="1:3">
      <c r="B405" s="983"/>
      <c r="C405" s="983"/>
    </row>
    <row r="406" spans="1:3" ht="15.75">
      <c r="B406" s="1040" t="s">
        <v>1741</v>
      </c>
    </row>
    <row r="407" spans="1:3">
      <c r="B407" s="581"/>
    </row>
    <row r="408" spans="1:3">
      <c r="A408" s="198" t="s">
        <v>1742</v>
      </c>
      <c r="B408" t="s">
        <v>1743</v>
      </c>
      <c r="C408" s="140">
        <f>C32</f>
        <v>31196512</v>
      </c>
    </row>
    <row r="409" spans="1:3">
      <c r="C409" s="140"/>
    </row>
    <row r="410" spans="1:3">
      <c r="A410" t="s">
        <v>1744</v>
      </c>
      <c r="B410" t="s">
        <v>1745</v>
      </c>
      <c r="C410" s="140">
        <f>C63</f>
        <v>33122200</v>
      </c>
    </row>
    <row r="411" spans="1:3">
      <c r="C411" s="140"/>
    </row>
    <row r="412" spans="1:3">
      <c r="A412" t="s">
        <v>3938</v>
      </c>
      <c r="B412" t="s">
        <v>3582</v>
      </c>
      <c r="C412" s="140">
        <f>C414+C416+C418+C420</f>
        <v>606315823</v>
      </c>
    </row>
    <row r="413" spans="1:3">
      <c r="C413" s="140"/>
    </row>
    <row r="414" spans="1:3">
      <c r="A414" t="s">
        <v>3041</v>
      </c>
      <c r="B414" t="s">
        <v>1746</v>
      </c>
      <c r="C414" s="140">
        <f>C52</f>
        <v>0</v>
      </c>
    </row>
    <row r="415" spans="1:3">
      <c r="C415" s="140"/>
    </row>
    <row r="416" spans="1:3">
      <c r="A416" t="s">
        <v>3936</v>
      </c>
      <c r="B416" t="s">
        <v>1747</v>
      </c>
      <c r="C416" s="140">
        <f>C45</f>
        <v>0</v>
      </c>
    </row>
    <row r="417" spans="1:3">
      <c r="C417" s="140"/>
    </row>
    <row r="418" spans="1:3">
      <c r="A418" t="s">
        <v>1339</v>
      </c>
      <c r="B418" t="s">
        <v>1340</v>
      </c>
      <c r="C418" s="140">
        <f>C49-C45</f>
        <v>606315823</v>
      </c>
    </row>
    <row r="419" spans="1:3">
      <c r="A419" t="s">
        <v>3007</v>
      </c>
      <c r="C419" s="140"/>
    </row>
    <row r="420" spans="1:3">
      <c r="A420" t="s">
        <v>3008</v>
      </c>
      <c r="B420" t="s">
        <v>3009</v>
      </c>
      <c r="C420" s="140">
        <f>C55+C61</f>
        <v>0</v>
      </c>
    </row>
    <row r="421" spans="1:3">
      <c r="C421" s="140"/>
    </row>
    <row r="422" spans="1:3">
      <c r="A422" t="s">
        <v>3010</v>
      </c>
      <c r="B422" t="s">
        <v>3011</v>
      </c>
      <c r="C422" s="140">
        <f>C91+C97+C104-C108</f>
        <v>45885699</v>
      </c>
    </row>
    <row r="423" spans="1:3">
      <c r="C423" s="140"/>
    </row>
    <row r="424" spans="1:3">
      <c r="A424" t="s">
        <v>3012</v>
      </c>
      <c r="B424" t="s">
        <v>3013</v>
      </c>
      <c r="C424" s="140">
        <f>C116</f>
        <v>14704564</v>
      </c>
    </row>
    <row r="425" spans="1:3">
      <c r="C425" s="984"/>
    </row>
    <row r="426" spans="1:3">
      <c r="A426" t="s">
        <v>3770</v>
      </c>
      <c r="B426" t="s">
        <v>2263</v>
      </c>
      <c r="C426" s="140">
        <f>-C185</f>
        <v>0</v>
      </c>
    </row>
    <row r="427" spans="1:3">
      <c r="C427" s="984"/>
    </row>
    <row r="428" spans="1:3">
      <c r="A428" t="s">
        <v>1325</v>
      </c>
      <c r="B428" t="s">
        <v>2264</v>
      </c>
      <c r="C428" s="140">
        <f>C122-C131</f>
        <v>21594562</v>
      </c>
    </row>
    <row r="429" spans="1:3">
      <c r="A429" t="s">
        <v>2265</v>
      </c>
      <c r="C429" s="984"/>
    </row>
    <row r="430" spans="1:3">
      <c r="A430" t="s">
        <v>1178</v>
      </c>
      <c r="B430" t="s">
        <v>1179</v>
      </c>
      <c r="C430" s="140">
        <f>C162</f>
        <v>37854944</v>
      </c>
    </row>
    <row r="431" spans="1:3">
      <c r="C431" s="984"/>
    </row>
    <row r="432" spans="1:3">
      <c r="A432" t="s">
        <v>1180</v>
      </c>
      <c r="B432" t="s">
        <v>1181</v>
      </c>
      <c r="C432" s="984">
        <f>-C165</f>
        <v>83472529</v>
      </c>
    </row>
    <row r="433" spans="1:3">
      <c r="C433" s="984"/>
    </row>
    <row r="434" spans="1:3">
      <c r="A434" t="s">
        <v>1182</v>
      </c>
      <c r="B434" t="s">
        <v>1183</v>
      </c>
      <c r="C434" s="140">
        <f>C369</f>
        <v>69210814</v>
      </c>
    </row>
    <row r="435" spans="1:3">
      <c r="C435" s="984"/>
    </row>
    <row r="436" spans="1:3">
      <c r="A436" t="s">
        <v>3110</v>
      </c>
      <c r="B436" t="s">
        <v>1184</v>
      </c>
      <c r="C436" s="140">
        <f>C375</f>
        <v>898265973</v>
      </c>
    </row>
    <row r="437" spans="1:3">
      <c r="C437" s="984"/>
    </row>
    <row r="438" spans="1:3">
      <c r="A438" t="s">
        <v>461</v>
      </c>
      <c r="B438" t="s">
        <v>1185</v>
      </c>
      <c r="C438" s="984">
        <f>'307309'!D175</f>
        <v>136</v>
      </c>
    </row>
    <row r="439" spans="1:3">
      <c r="C439" s="213"/>
    </row>
    <row r="440" spans="1:3">
      <c r="C440" s="213"/>
    </row>
    <row r="441" spans="1:3">
      <c r="C441" s="213"/>
    </row>
  </sheetData>
  <phoneticPr fontId="0" type="noConversion"/>
  <pageMargins left="0.4" right="0.4" top="0.3" bottom="0.3" header="0.5" footer="0.5"/>
  <pageSetup scale="64" orientation="portrait" r:id="rId1"/>
  <headerFooter alignWithMargins="0"/>
  <rowBreaks count="7" manualBreakCount="7">
    <brk id="75" max="16383" man="1"/>
    <brk id="140" max="16383" man="1"/>
    <brk id="195" max="16383" man="1"/>
    <brk id="250" max="16383" man="1"/>
    <brk id="316" max="16383" man="1"/>
    <brk id="349" max="16383" man="1"/>
    <brk id="404" max="16383"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transitionEvaluation="1" codeName="Sheet123"/>
  <dimension ref="A1:C78"/>
  <sheetViews>
    <sheetView defaultGridColor="0" colorId="22" zoomScaleNormal="100" zoomScaleSheetLayoutView="75" workbookViewId="0">
      <selection activeCell="F14" sqref="F14"/>
    </sheetView>
  </sheetViews>
  <sheetFormatPr defaultColWidth="9.77734375" defaultRowHeight="15"/>
  <cols>
    <col min="1" max="1" width="6.77734375" customWidth="1"/>
    <col min="2" max="2" width="80.77734375" customWidth="1"/>
    <col min="3" max="3" width="13" customWidth="1"/>
  </cols>
  <sheetData>
    <row r="1" spans="1:3" ht="15.75" thickBot="1">
      <c r="A1" t="str">
        <f>'Data sheet'!A61</f>
        <v>Annual Report of Veolia Water New York, Inc.                                                                       Year Ended  December 31, 2023</v>
      </c>
    </row>
    <row r="2" spans="1:3">
      <c r="A2" s="80"/>
      <c r="B2" s="81"/>
      <c r="C2" s="82"/>
    </row>
    <row r="3" spans="1:3">
      <c r="A3" s="83"/>
      <c r="B3" s="600" t="s">
        <v>2461</v>
      </c>
      <c r="C3" s="214"/>
    </row>
    <row r="4" spans="1:3">
      <c r="A4" s="83"/>
      <c r="B4" s="600"/>
      <c r="C4" s="214"/>
    </row>
    <row r="5" spans="1:3">
      <c r="A5" s="83"/>
      <c r="B5" s="1168" t="s">
        <v>2462</v>
      </c>
      <c r="C5" s="214"/>
    </row>
    <row r="6" spans="1:3">
      <c r="A6" s="83"/>
      <c r="B6" s="1168" t="s">
        <v>2554</v>
      </c>
      <c r="C6" s="214"/>
    </row>
    <row r="7" spans="1:3">
      <c r="A7" s="83"/>
      <c r="B7" s="1168" t="s">
        <v>2283</v>
      </c>
      <c r="C7" s="214"/>
    </row>
    <row r="8" spans="1:3">
      <c r="A8" s="83"/>
      <c r="B8" s="1168" t="s">
        <v>2284</v>
      </c>
      <c r="C8" s="214"/>
    </row>
    <row r="9" spans="1:3">
      <c r="A9" s="83"/>
      <c r="B9" s="985" t="s">
        <v>107</v>
      </c>
      <c r="C9" s="214"/>
    </row>
    <row r="10" spans="1:3">
      <c r="A10" s="83"/>
      <c r="B10" s="985" t="s">
        <v>108</v>
      </c>
      <c r="C10" s="214"/>
    </row>
    <row r="11" spans="1:3">
      <c r="A11" s="83"/>
      <c r="B11" s="986"/>
      <c r="C11" s="214"/>
    </row>
    <row r="12" spans="1:3">
      <c r="A12" s="83"/>
      <c r="B12" s="86"/>
      <c r="C12" s="214"/>
    </row>
    <row r="13" spans="1:3">
      <c r="A13" s="83"/>
      <c r="B13" s="2148" t="s">
        <v>4631</v>
      </c>
      <c r="C13" s="872"/>
    </row>
    <row r="14" spans="1:3">
      <c r="A14" s="83"/>
      <c r="B14" s="2092" t="s">
        <v>1457</v>
      </c>
      <c r="C14" s="872"/>
    </row>
    <row r="15" spans="1:3">
      <c r="A15" s="83"/>
      <c r="B15" s="2148" t="s">
        <v>4632</v>
      </c>
      <c r="C15" s="872"/>
    </row>
    <row r="16" spans="1:3">
      <c r="A16" s="83"/>
      <c r="B16" s="2092"/>
      <c r="C16" s="872"/>
    </row>
    <row r="17" spans="1:3">
      <c r="A17" s="83"/>
      <c r="B17" s="2150" t="s">
        <v>4633</v>
      </c>
      <c r="C17" s="872"/>
    </row>
    <row r="18" spans="1:3">
      <c r="A18" s="83"/>
      <c r="B18" s="2092"/>
      <c r="C18" s="872"/>
    </row>
    <row r="19" spans="1:3">
      <c r="A19" s="83"/>
      <c r="B19" s="2150" t="s">
        <v>5303</v>
      </c>
      <c r="C19" s="872"/>
    </row>
    <row r="20" spans="1:3">
      <c r="A20" s="83"/>
      <c r="B20" s="2151" t="s">
        <v>104</v>
      </c>
      <c r="C20" s="872"/>
    </row>
    <row r="21" spans="1:3">
      <c r="A21" s="83"/>
      <c r="B21" s="2092"/>
      <c r="C21" s="872"/>
    </row>
    <row r="22" spans="1:3">
      <c r="A22" s="83"/>
      <c r="B22" s="2152"/>
      <c r="C22" s="872"/>
    </row>
    <row r="23" spans="1:3">
      <c r="A23" s="83"/>
      <c r="B23" s="2092"/>
      <c r="C23" s="872"/>
    </row>
    <row r="24" spans="1:3">
      <c r="A24" s="83"/>
      <c r="B24" s="2150" t="s">
        <v>1249</v>
      </c>
      <c r="C24" s="872"/>
    </row>
    <row r="25" spans="1:3">
      <c r="A25" s="83"/>
      <c r="B25" s="2092"/>
      <c r="C25" s="872"/>
    </row>
    <row r="26" spans="1:3">
      <c r="A26" s="83"/>
      <c r="B26" s="2150" t="s">
        <v>5091</v>
      </c>
      <c r="C26" s="872"/>
    </row>
    <row r="27" spans="1:3">
      <c r="A27" s="83"/>
      <c r="B27" s="2153" t="s">
        <v>4092</v>
      </c>
      <c r="C27" s="872"/>
    </row>
    <row r="28" spans="1:3">
      <c r="A28" s="83"/>
      <c r="B28" s="2092"/>
      <c r="C28" s="872"/>
    </row>
    <row r="29" spans="1:3">
      <c r="A29" s="83"/>
      <c r="B29" s="2152"/>
      <c r="C29" s="872"/>
    </row>
    <row r="30" spans="1:3">
      <c r="A30" s="83"/>
      <c r="B30" s="2092"/>
      <c r="C30" s="872"/>
    </row>
    <row r="31" spans="1:3">
      <c r="A31" s="83"/>
      <c r="B31" s="2150" t="s">
        <v>325</v>
      </c>
      <c r="C31" s="872"/>
    </row>
    <row r="32" spans="1:3">
      <c r="A32" s="83"/>
      <c r="B32" s="2092"/>
      <c r="C32" s="872"/>
    </row>
    <row r="33" spans="1:3">
      <c r="A33" s="83"/>
      <c r="B33" s="2150" t="s">
        <v>4178</v>
      </c>
      <c r="C33" s="872"/>
    </row>
    <row r="34" spans="1:3">
      <c r="A34" s="83"/>
      <c r="B34" s="2148"/>
      <c r="C34" s="872"/>
    </row>
    <row r="35" spans="1:3">
      <c r="A35" s="83"/>
      <c r="B35" s="2092"/>
      <c r="C35" s="872"/>
    </row>
    <row r="36" spans="1:3">
      <c r="A36" s="83"/>
      <c r="B36" s="2152"/>
      <c r="C36" s="872"/>
    </row>
    <row r="37" spans="1:3">
      <c r="A37" s="83"/>
      <c r="B37" s="2092"/>
      <c r="C37" s="872"/>
    </row>
    <row r="38" spans="1:3">
      <c r="A38" s="83"/>
      <c r="B38" s="2092"/>
      <c r="C38" s="872"/>
    </row>
    <row r="39" spans="1:3">
      <c r="A39" s="83"/>
      <c r="B39" s="2152"/>
      <c r="C39" s="872"/>
    </row>
    <row r="40" spans="1:3">
      <c r="A40" s="83"/>
      <c r="B40" s="2092"/>
      <c r="C40" s="872"/>
    </row>
    <row r="41" spans="1:3">
      <c r="A41" s="83"/>
      <c r="B41" s="2092"/>
      <c r="C41" s="872"/>
    </row>
    <row r="42" spans="1:3">
      <c r="A42" s="83"/>
      <c r="B42" s="2152"/>
      <c r="C42" s="872"/>
    </row>
    <row r="43" spans="1:3">
      <c r="A43" s="83"/>
      <c r="B43" s="2092"/>
      <c r="C43" s="872"/>
    </row>
    <row r="44" spans="1:3">
      <c r="A44" s="83"/>
      <c r="B44" s="2154" t="s">
        <v>2508</v>
      </c>
      <c r="C44" s="872"/>
    </row>
    <row r="45" spans="1:3">
      <c r="A45" s="83"/>
      <c r="B45" s="2149" t="s">
        <v>3002</v>
      </c>
      <c r="C45" s="872"/>
    </row>
    <row r="46" spans="1:3">
      <c r="A46" s="83"/>
      <c r="B46" s="2092"/>
      <c r="C46" s="872"/>
    </row>
    <row r="47" spans="1:3">
      <c r="A47" s="83"/>
      <c r="B47" s="2150" t="s">
        <v>3003</v>
      </c>
      <c r="C47" s="872"/>
    </row>
    <row r="48" spans="1:3">
      <c r="A48" s="83"/>
      <c r="B48" s="2092"/>
      <c r="C48" s="872"/>
    </row>
    <row r="49" spans="1:3">
      <c r="A49" s="83"/>
      <c r="B49" s="2092"/>
      <c r="C49" s="872"/>
    </row>
    <row r="50" spans="1:3">
      <c r="A50" s="83"/>
      <c r="B50" s="2092" t="s">
        <v>3004</v>
      </c>
      <c r="C50" s="872"/>
    </row>
    <row r="51" spans="1:3">
      <c r="A51" s="83"/>
      <c r="B51" s="2092"/>
      <c r="C51" s="872"/>
    </row>
    <row r="52" spans="1:3">
      <c r="A52" s="83"/>
      <c r="B52" s="2150" t="s">
        <v>4134</v>
      </c>
      <c r="C52" s="872"/>
    </row>
    <row r="53" spans="1:3">
      <c r="A53" s="83"/>
      <c r="B53" s="2092"/>
      <c r="C53" s="872"/>
    </row>
    <row r="54" spans="1:3">
      <c r="A54" s="83"/>
      <c r="B54" s="2153" t="s">
        <v>4201</v>
      </c>
      <c r="C54" s="872"/>
    </row>
    <row r="55" spans="1:3">
      <c r="A55" s="83"/>
      <c r="B55" s="2155" t="s">
        <v>2828</v>
      </c>
      <c r="C55" s="872"/>
    </row>
    <row r="56" spans="1:3">
      <c r="A56" s="83"/>
      <c r="B56" s="2153" t="s">
        <v>4202</v>
      </c>
      <c r="C56" s="872"/>
    </row>
    <row r="57" spans="1:3" ht="15.75" thickBot="1">
      <c r="A57" s="124"/>
      <c r="B57" s="2113"/>
      <c r="C57" s="875"/>
    </row>
    <row r="58" spans="1:3">
      <c r="A58" s="83"/>
      <c r="B58" s="2156" t="s">
        <v>4203</v>
      </c>
      <c r="C58" s="872"/>
    </row>
    <row r="59" spans="1:3">
      <c r="A59" s="83"/>
      <c r="B59" s="2092"/>
      <c r="C59" s="872"/>
    </row>
    <row r="60" spans="1:3">
      <c r="A60" s="83"/>
      <c r="B60" s="2153" t="s">
        <v>4204</v>
      </c>
      <c r="C60" s="872"/>
    </row>
    <row r="61" spans="1:3">
      <c r="A61" s="83"/>
      <c r="B61" s="2153" t="s">
        <v>4205</v>
      </c>
      <c r="C61" s="872"/>
    </row>
    <row r="62" spans="1:3">
      <c r="A62" s="83"/>
      <c r="B62" s="2153" t="s">
        <v>4206</v>
      </c>
      <c r="C62" s="872"/>
    </row>
    <row r="63" spans="1:3" ht="15.75" thickBot="1">
      <c r="A63" s="124"/>
      <c r="B63" s="874"/>
      <c r="C63" s="875"/>
    </row>
    <row r="64" spans="1:3">
      <c r="A64" s="4"/>
      <c r="B64" s="1250" t="s">
        <v>2024</v>
      </c>
      <c r="C64" s="4"/>
    </row>
    <row r="70" spans="2:2">
      <c r="B70" s="86"/>
    </row>
    <row r="71" spans="2:2" ht="15.75">
      <c r="B71" s="987"/>
    </row>
    <row r="72" spans="2:2">
      <c r="B72" s="86"/>
    </row>
    <row r="73" spans="2:2">
      <c r="B73" s="86"/>
    </row>
    <row r="74" spans="2:2">
      <c r="B74" s="86"/>
    </row>
    <row r="75" spans="2:2">
      <c r="B75" s="86"/>
    </row>
    <row r="76" spans="2:2">
      <c r="B76" s="86"/>
    </row>
    <row r="77" spans="2:2">
      <c r="B77" s="86"/>
    </row>
    <row r="78" spans="2:2" ht="15.75">
      <c r="B78" s="987"/>
    </row>
  </sheetData>
  <phoneticPr fontId="0" type="noConversion"/>
  <printOptions horizontalCentered="1" verticalCentered="1"/>
  <pageMargins left="0.4" right="0.4" top="0.3" bottom="0.3" header="0" footer="0"/>
  <pageSetup scale="77"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transitionEvaluation="1" codeName="Sheet124">
    <pageSetUpPr fitToPage="1"/>
  </sheetPr>
  <dimension ref="A1:M122"/>
  <sheetViews>
    <sheetView defaultGridColor="0" colorId="22" zoomScale="75" zoomScaleNormal="87" workbookViewId="0">
      <selection activeCell="R36" sqref="R36"/>
    </sheetView>
  </sheetViews>
  <sheetFormatPr defaultColWidth="9.77734375" defaultRowHeight="15"/>
  <cols>
    <col min="1" max="1" width="43.88671875" customWidth="1"/>
    <col min="3" max="3" width="40.5546875" customWidth="1"/>
  </cols>
  <sheetData>
    <row r="1" spans="1:13" ht="15.75" thickBot="1">
      <c r="A1" s="86"/>
      <c r="B1" s="86"/>
      <c r="C1" s="86"/>
      <c r="D1" s="86"/>
      <c r="E1" s="86"/>
      <c r="F1" s="86"/>
      <c r="G1" s="86"/>
      <c r="H1" s="86"/>
      <c r="I1" s="86"/>
      <c r="J1" s="86"/>
      <c r="K1" s="86"/>
      <c r="L1" s="86"/>
      <c r="M1" s="86"/>
    </row>
    <row r="2" spans="1:13">
      <c r="A2" s="1195"/>
      <c r="B2" s="1196"/>
      <c r="C2" s="1196"/>
      <c r="D2" s="1197"/>
      <c r="E2" s="86"/>
      <c r="F2" s="86"/>
      <c r="G2" s="86"/>
      <c r="H2" s="86"/>
      <c r="I2" s="86"/>
      <c r="J2" s="86"/>
      <c r="K2" s="86"/>
      <c r="L2" s="86"/>
      <c r="M2" s="86"/>
    </row>
    <row r="3" spans="1:13" ht="15.75">
      <c r="A3" s="1198" t="s">
        <v>4207</v>
      </c>
      <c r="B3" s="1199"/>
      <c r="C3" s="1199"/>
      <c r="D3" s="1200"/>
      <c r="E3" s="86"/>
      <c r="F3" s="86"/>
      <c r="G3" s="86"/>
      <c r="H3" s="86"/>
      <c r="I3" s="86"/>
      <c r="J3" s="86"/>
      <c r="K3" s="86"/>
      <c r="L3" s="86"/>
      <c r="M3" s="86"/>
    </row>
    <row r="4" spans="1:13">
      <c r="A4" s="1201"/>
      <c r="B4" s="434"/>
      <c r="C4" s="434"/>
      <c r="D4" s="1202"/>
      <c r="E4" s="86"/>
      <c r="F4" s="86"/>
      <c r="G4" s="86"/>
      <c r="H4" s="86"/>
      <c r="I4" s="86"/>
      <c r="J4" s="86"/>
      <c r="K4" s="86"/>
      <c r="L4" s="86"/>
      <c r="M4" s="86"/>
    </row>
    <row r="5" spans="1:13">
      <c r="A5" s="1203"/>
      <c r="B5" s="1204"/>
      <c r="C5" s="1205"/>
      <c r="D5" s="1206"/>
      <c r="E5" s="86"/>
      <c r="F5" s="86"/>
      <c r="G5" s="86"/>
      <c r="H5" s="86"/>
      <c r="I5" s="86"/>
      <c r="J5" s="86"/>
      <c r="K5" s="86"/>
      <c r="L5" s="86"/>
      <c r="M5" s="86"/>
    </row>
    <row r="6" spans="1:13">
      <c r="A6" s="1201" t="s">
        <v>4208</v>
      </c>
      <c r="B6" s="988" t="s">
        <v>3276</v>
      </c>
      <c r="C6" s="1207" t="s">
        <v>4208</v>
      </c>
      <c r="D6" s="1208" t="s">
        <v>3276</v>
      </c>
      <c r="E6" s="86"/>
      <c r="F6" s="86"/>
      <c r="G6" s="86"/>
      <c r="H6" s="86"/>
      <c r="I6" s="86"/>
      <c r="J6" s="86"/>
      <c r="K6" s="86"/>
      <c r="L6" s="86"/>
      <c r="M6" s="86"/>
    </row>
    <row r="7" spans="1:13" ht="18" customHeight="1">
      <c r="A7" s="1209" t="s">
        <v>303</v>
      </c>
      <c r="B7" s="1210">
        <v>255</v>
      </c>
      <c r="C7" s="1205" t="s">
        <v>4209</v>
      </c>
      <c r="D7" s="1206"/>
      <c r="E7" s="86"/>
      <c r="F7" s="86"/>
      <c r="G7" s="86"/>
      <c r="H7" s="86"/>
      <c r="I7" s="86"/>
      <c r="J7" s="86"/>
      <c r="K7" s="86"/>
      <c r="L7" s="86"/>
      <c r="M7" s="86"/>
    </row>
    <row r="8" spans="1:13" ht="18" customHeight="1">
      <c r="A8" s="1209" t="s">
        <v>4210</v>
      </c>
      <c r="B8" s="1210">
        <v>213</v>
      </c>
      <c r="C8" s="1205" t="s">
        <v>4211</v>
      </c>
      <c r="D8" s="1211" t="s">
        <v>3197</v>
      </c>
      <c r="E8" s="86"/>
      <c r="F8" s="86"/>
      <c r="G8" s="86"/>
      <c r="H8" s="86"/>
      <c r="I8" s="86"/>
      <c r="J8" s="86"/>
      <c r="K8" s="86"/>
      <c r="L8" s="86"/>
      <c r="M8" s="86"/>
    </row>
    <row r="9" spans="1:13" ht="18" customHeight="1">
      <c r="A9" s="1209" t="s">
        <v>2236</v>
      </c>
      <c r="B9" s="1210">
        <v>213</v>
      </c>
      <c r="C9" s="1205" t="s">
        <v>2237</v>
      </c>
      <c r="D9" s="1211" t="s">
        <v>3197</v>
      </c>
      <c r="E9" s="86"/>
      <c r="F9" s="86"/>
      <c r="G9" s="86"/>
      <c r="H9" s="86"/>
      <c r="I9" s="86"/>
      <c r="J9" s="86"/>
      <c r="K9" s="86"/>
      <c r="L9" s="86"/>
      <c r="M9" s="86"/>
    </row>
    <row r="10" spans="1:13" ht="18" customHeight="1">
      <c r="A10" s="1209" t="s">
        <v>3225</v>
      </c>
      <c r="B10" s="1210">
        <v>217</v>
      </c>
      <c r="C10" s="1199" t="s">
        <v>3226</v>
      </c>
      <c r="D10" s="1211" t="s">
        <v>3510</v>
      </c>
      <c r="E10" s="86"/>
      <c r="F10" s="86"/>
      <c r="G10" s="86"/>
      <c r="H10" s="86"/>
      <c r="I10" s="86"/>
      <c r="J10" s="86"/>
      <c r="K10" s="86"/>
      <c r="L10" s="86"/>
      <c r="M10" s="86"/>
    </row>
    <row r="11" spans="1:13" ht="18" customHeight="1">
      <c r="A11" s="1209" t="s">
        <v>536</v>
      </c>
      <c r="B11" s="1210" t="s">
        <v>2691</v>
      </c>
      <c r="C11" s="1205" t="s">
        <v>1930</v>
      </c>
      <c r="D11" s="1206"/>
      <c r="E11" s="86"/>
      <c r="F11" s="86"/>
      <c r="G11" s="86"/>
      <c r="H11" s="86"/>
      <c r="I11" s="86"/>
      <c r="J11" s="86"/>
      <c r="K11" s="86"/>
      <c r="L11" s="86"/>
      <c r="M11" s="86"/>
    </row>
    <row r="12" spans="1:13" ht="18" customHeight="1">
      <c r="A12" s="1209" t="s">
        <v>1931</v>
      </c>
      <c r="B12" s="1212"/>
      <c r="C12" s="1205" t="s">
        <v>1932</v>
      </c>
      <c r="D12" s="1211">
        <v>213</v>
      </c>
      <c r="E12" s="86"/>
      <c r="F12" s="86"/>
      <c r="G12" s="86"/>
      <c r="H12" s="86"/>
      <c r="I12" s="86"/>
      <c r="J12" s="86"/>
      <c r="K12" s="86"/>
      <c r="L12" s="86"/>
      <c r="M12" s="86"/>
    </row>
    <row r="13" spans="1:13" ht="18" customHeight="1">
      <c r="A13" s="1209" t="s">
        <v>1933</v>
      </c>
      <c r="B13" s="1212"/>
      <c r="C13" s="1205" t="s">
        <v>1934</v>
      </c>
      <c r="D13" s="1211">
        <v>213</v>
      </c>
      <c r="E13" s="86"/>
      <c r="F13" s="86"/>
      <c r="G13" s="86"/>
      <c r="H13" s="86"/>
      <c r="I13" s="86"/>
      <c r="J13" s="86"/>
      <c r="K13" s="86"/>
      <c r="L13" s="86"/>
      <c r="M13" s="86"/>
    </row>
    <row r="14" spans="1:13" ht="18" customHeight="1">
      <c r="A14" s="1209" t="s">
        <v>1935</v>
      </c>
      <c r="B14" s="1210" t="s">
        <v>2411</v>
      </c>
      <c r="C14" s="1205" t="s">
        <v>1936</v>
      </c>
      <c r="D14" s="1211">
        <v>300</v>
      </c>
      <c r="E14" s="86"/>
      <c r="F14" s="86"/>
      <c r="G14" s="86"/>
      <c r="H14" s="86"/>
      <c r="I14" s="86"/>
      <c r="J14" s="86"/>
      <c r="K14" s="86"/>
      <c r="L14" s="86"/>
      <c r="M14" s="86"/>
    </row>
    <row r="15" spans="1:13" ht="18" customHeight="1">
      <c r="A15" s="1209" t="s">
        <v>1937</v>
      </c>
      <c r="B15" s="1210" t="s">
        <v>2411</v>
      </c>
      <c r="C15" s="1205" t="s">
        <v>1938</v>
      </c>
      <c r="D15" s="1211">
        <v>410</v>
      </c>
      <c r="E15" s="86"/>
      <c r="F15" s="86"/>
      <c r="G15" s="86"/>
      <c r="H15" s="86"/>
      <c r="I15" s="86"/>
      <c r="J15" s="86"/>
      <c r="K15" s="86"/>
      <c r="L15" s="86"/>
      <c r="M15" s="86"/>
    </row>
    <row r="16" spans="1:13" ht="18" customHeight="1">
      <c r="A16" s="1209" t="s">
        <v>1939</v>
      </c>
      <c r="B16" s="1210" t="s">
        <v>2411</v>
      </c>
      <c r="C16" s="1199" t="s">
        <v>1940</v>
      </c>
      <c r="D16" s="1211" t="s">
        <v>3042</v>
      </c>
      <c r="E16" s="86"/>
      <c r="F16" s="86"/>
      <c r="G16" s="86"/>
      <c r="H16" s="86"/>
      <c r="I16" s="86"/>
      <c r="J16" s="86"/>
      <c r="K16" s="86"/>
      <c r="L16" s="86"/>
      <c r="M16" s="86"/>
    </row>
    <row r="17" spans="1:13" ht="18" customHeight="1">
      <c r="A17" s="1209" t="s">
        <v>1941</v>
      </c>
      <c r="B17" s="1210" t="s">
        <v>2411</v>
      </c>
      <c r="C17" s="1199" t="s">
        <v>790</v>
      </c>
      <c r="D17" s="1211">
        <v>261</v>
      </c>
      <c r="E17" s="86"/>
      <c r="F17" s="86"/>
      <c r="G17" s="86"/>
      <c r="H17" s="86"/>
      <c r="I17" s="86"/>
      <c r="J17" s="86"/>
      <c r="K17" s="86"/>
      <c r="L17" s="86"/>
      <c r="M17" s="86"/>
    </row>
    <row r="18" spans="1:13" ht="18" customHeight="1">
      <c r="A18" s="1209" t="s">
        <v>1107</v>
      </c>
      <c r="B18" s="1210" t="s">
        <v>1394</v>
      </c>
      <c r="C18" s="1199" t="s">
        <v>1108</v>
      </c>
      <c r="D18" s="1211">
        <v>216</v>
      </c>
      <c r="E18" s="86"/>
      <c r="F18" s="86"/>
      <c r="G18" s="86"/>
      <c r="H18" s="86"/>
      <c r="I18" s="86"/>
      <c r="J18" s="86"/>
      <c r="K18" s="86"/>
      <c r="L18" s="86"/>
      <c r="M18" s="86"/>
    </row>
    <row r="19" spans="1:13" ht="18" customHeight="1">
      <c r="A19" s="85" t="s">
        <v>1109</v>
      </c>
      <c r="B19" s="109">
        <v>213</v>
      </c>
      <c r="C19" s="86" t="s">
        <v>1110</v>
      </c>
      <c r="D19" s="363" t="s">
        <v>2692</v>
      </c>
      <c r="E19" s="86"/>
      <c r="F19" s="86"/>
      <c r="G19" s="86"/>
      <c r="H19" s="86"/>
      <c r="I19" s="86"/>
      <c r="J19" s="86"/>
      <c r="K19" s="86"/>
      <c r="L19" s="86"/>
      <c r="M19" s="86"/>
    </row>
    <row r="20" spans="1:13" ht="18" customHeight="1">
      <c r="A20" s="85" t="s">
        <v>1111</v>
      </c>
      <c r="B20" s="109" t="s">
        <v>2411</v>
      </c>
      <c r="C20" s="86" t="s">
        <v>3829</v>
      </c>
      <c r="D20" s="363">
        <v>209</v>
      </c>
      <c r="E20" s="86"/>
      <c r="F20" s="86"/>
      <c r="G20" s="86"/>
      <c r="H20" s="86"/>
      <c r="I20" s="86"/>
      <c r="J20" s="86"/>
      <c r="K20" s="86"/>
      <c r="L20" s="86"/>
      <c r="M20" s="86"/>
    </row>
    <row r="21" spans="1:13" ht="18" customHeight="1">
      <c r="A21" s="85" t="s">
        <v>2171</v>
      </c>
      <c r="B21" s="109" t="s">
        <v>1112</v>
      </c>
      <c r="C21" s="86" t="s">
        <v>1113</v>
      </c>
      <c r="D21" s="363" t="s">
        <v>3527</v>
      </c>
      <c r="E21" s="86"/>
      <c r="F21" s="86"/>
      <c r="G21" s="86"/>
      <c r="H21" s="86"/>
      <c r="I21" s="86"/>
      <c r="J21" s="86"/>
      <c r="K21" s="86"/>
      <c r="L21" s="86"/>
      <c r="M21" s="86"/>
    </row>
    <row r="22" spans="1:13" ht="18" customHeight="1">
      <c r="A22" s="85" t="s">
        <v>1114</v>
      </c>
      <c r="B22" s="109">
        <v>209</v>
      </c>
      <c r="C22" s="86" t="s">
        <v>1115</v>
      </c>
      <c r="D22" s="363">
        <v>212</v>
      </c>
      <c r="E22" s="86"/>
      <c r="F22" s="86"/>
      <c r="G22" s="86"/>
      <c r="H22" s="86"/>
      <c r="I22" s="86"/>
      <c r="J22" s="86"/>
      <c r="K22" s="86"/>
      <c r="L22" s="86"/>
      <c r="M22" s="86"/>
    </row>
    <row r="23" spans="1:13" ht="18" customHeight="1">
      <c r="A23" s="85" t="s">
        <v>1415</v>
      </c>
      <c r="B23" s="109">
        <v>121</v>
      </c>
      <c r="C23" s="142" t="s">
        <v>1416</v>
      </c>
      <c r="D23" s="363">
        <v>253</v>
      </c>
      <c r="E23" s="86"/>
      <c r="F23" s="86"/>
      <c r="G23" s="86"/>
      <c r="H23" s="86"/>
      <c r="I23" s="86"/>
      <c r="J23" s="86"/>
      <c r="K23" s="86"/>
      <c r="L23" s="86"/>
      <c r="M23" s="86"/>
    </row>
    <row r="24" spans="1:13" ht="18" customHeight="1">
      <c r="A24" s="85" t="s">
        <v>1417</v>
      </c>
      <c r="B24" s="96"/>
      <c r="C24" s="142" t="s">
        <v>4046</v>
      </c>
      <c r="D24" s="363" t="s">
        <v>4047</v>
      </c>
      <c r="E24" s="86"/>
      <c r="F24" s="86"/>
      <c r="G24" s="86"/>
      <c r="H24" s="86"/>
      <c r="I24" s="86"/>
      <c r="J24" s="86"/>
      <c r="K24" s="86"/>
      <c r="L24" s="86"/>
      <c r="M24" s="86"/>
    </row>
    <row r="25" spans="1:13" ht="18" customHeight="1">
      <c r="A25" s="85" t="s">
        <v>2390</v>
      </c>
      <c r="B25" s="109" t="s">
        <v>3042</v>
      </c>
      <c r="C25" s="142" t="s">
        <v>2391</v>
      </c>
      <c r="D25" s="363">
        <v>309</v>
      </c>
      <c r="E25" s="86"/>
      <c r="F25" s="86"/>
      <c r="G25" s="86"/>
      <c r="H25" s="86"/>
      <c r="I25" s="86"/>
      <c r="J25" s="86"/>
      <c r="K25" s="86"/>
      <c r="L25" s="86"/>
      <c r="M25" s="86"/>
    </row>
    <row r="26" spans="1:13" ht="18" customHeight="1">
      <c r="A26" s="85" t="s">
        <v>2392</v>
      </c>
      <c r="B26" s="109" t="s">
        <v>3042</v>
      </c>
      <c r="C26" s="142" t="s">
        <v>2393</v>
      </c>
      <c r="D26" s="363" t="s">
        <v>460</v>
      </c>
      <c r="E26" s="86"/>
      <c r="F26" s="86"/>
      <c r="G26" s="86"/>
      <c r="H26" s="86"/>
      <c r="I26" s="86"/>
      <c r="J26" s="86"/>
      <c r="K26" s="86"/>
      <c r="L26" s="86"/>
      <c r="M26" s="86"/>
    </row>
    <row r="27" spans="1:13" ht="18" customHeight="1">
      <c r="A27" s="85" t="s">
        <v>2394</v>
      </c>
      <c r="B27" s="109">
        <v>210</v>
      </c>
      <c r="C27" s="142" t="s">
        <v>4034</v>
      </c>
      <c r="D27" s="363">
        <v>321</v>
      </c>
      <c r="E27" s="86"/>
      <c r="F27" s="86"/>
      <c r="G27" s="86"/>
      <c r="H27" s="86"/>
      <c r="I27" s="86"/>
      <c r="J27" s="86"/>
      <c r="K27" s="86"/>
      <c r="L27" s="86"/>
      <c r="M27" s="86"/>
    </row>
    <row r="28" spans="1:13" ht="18" customHeight="1">
      <c r="A28" s="85" t="s">
        <v>2395</v>
      </c>
      <c r="B28" s="109">
        <v>255</v>
      </c>
      <c r="C28" s="142" t="s">
        <v>838</v>
      </c>
      <c r="D28" s="363">
        <v>411</v>
      </c>
      <c r="E28" s="86"/>
      <c r="F28" s="86"/>
      <c r="G28" s="86"/>
      <c r="H28" s="86"/>
      <c r="I28" s="86"/>
      <c r="J28" s="86"/>
      <c r="K28" s="86"/>
      <c r="L28" s="86"/>
      <c r="M28" s="86"/>
    </row>
    <row r="29" spans="1:13" ht="18" customHeight="1">
      <c r="A29" s="226" t="s">
        <v>1127</v>
      </c>
      <c r="B29" s="109" t="s">
        <v>3517</v>
      </c>
      <c r="C29" s="142" t="s">
        <v>2396</v>
      </c>
      <c r="D29" s="363">
        <v>310</v>
      </c>
      <c r="E29" s="86"/>
      <c r="F29" s="86"/>
      <c r="G29" s="86"/>
      <c r="H29" s="86"/>
      <c r="I29" s="86"/>
      <c r="J29" s="86"/>
      <c r="K29" s="86"/>
      <c r="L29" s="86"/>
      <c r="M29" s="86"/>
    </row>
    <row r="30" spans="1:13" ht="18" customHeight="1">
      <c r="A30" s="226" t="s">
        <v>2397</v>
      </c>
      <c r="B30" s="109">
        <v>300</v>
      </c>
      <c r="C30" s="142" t="s">
        <v>2398</v>
      </c>
      <c r="D30" s="363"/>
      <c r="E30" s="86"/>
      <c r="F30" s="86"/>
      <c r="G30" s="86"/>
      <c r="H30" s="86"/>
      <c r="I30" s="86"/>
      <c r="J30" s="86"/>
      <c r="K30" s="86"/>
      <c r="L30" s="86"/>
      <c r="M30" s="86"/>
    </row>
    <row r="31" spans="1:13" ht="18" customHeight="1">
      <c r="A31" s="226" t="s">
        <v>2399</v>
      </c>
      <c r="B31" s="109" t="s">
        <v>3042</v>
      </c>
      <c r="C31" s="142" t="s">
        <v>2400</v>
      </c>
      <c r="D31" s="363">
        <v>212</v>
      </c>
      <c r="E31" s="86"/>
      <c r="F31" s="86"/>
      <c r="G31" s="86"/>
      <c r="H31" s="86"/>
      <c r="I31" s="86"/>
      <c r="J31" s="86"/>
      <c r="K31" s="86"/>
      <c r="L31" s="86"/>
      <c r="M31" s="86"/>
    </row>
    <row r="32" spans="1:13" ht="18" customHeight="1">
      <c r="A32" s="226" t="s">
        <v>1713</v>
      </c>
      <c r="B32" s="96"/>
      <c r="C32" s="142" t="s">
        <v>2401</v>
      </c>
      <c r="D32" s="363">
        <v>212</v>
      </c>
      <c r="E32" s="86"/>
      <c r="F32" s="86"/>
      <c r="G32" s="86"/>
      <c r="H32" s="86"/>
      <c r="I32" s="86"/>
      <c r="J32" s="86"/>
      <c r="K32" s="86"/>
      <c r="L32" s="86"/>
      <c r="M32" s="86"/>
    </row>
    <row r="33" spans="1:13" ht="18" customHeight="1">
      <c r="A33" s="226" t="s">
        <v>1066</v>
      </c>
      <c r="B33" s="109" t="s">
        <v>1714</v>
      </c>
      <c r="C33" s="142" t="s">
        <v>1067</v>
      </c>
      <c r="D33" s="363" t="s">
        <v>1714</v>
      </c>
      <c r="E33" s="86"/>
      <c r="F33" s="86"/>
      <c r="G33" s="86"/>
      <c r="H33" s="86"/>
      <c r="I33" s="86"/>
      <c r="J33" s="86"/>
      <c r="K33" s="86"/>
      <c r="L33" s="86"/>
      <c r="M33" s="86"/>
    </row>
    <row r="34" spans="1:13" ht="18" customHeight="1">
      <c r="A34" s="226" t="s">
        <v>1068</v>
      </c>
      <c r="B34" s="109">
        <v>254</v>
      </c>
      <c r="C34" s="142" t="s">
        <v>1069</v>
      </c>
      <c r="D34" s="363">
        <v>317</v>
      </c>
      <c r="E34" s="86"/>
      <c r="F34" s="86"/>
      <c r="G34" s="86"/>
      <c r="H34" s="86"/>
      <c r="I34" s="86"/>
      <c r="J34" s="86"/>
      <c r="K34" s="86"/>
      <c r="L34" s="86"/>
      <c r="M34" s="86"/>
    </row>
    <row r="35" spans="1:13" ht="18" customHeight="1">
      <c r="A35" s="226" t="s">
        <v>1070</v>
      </c>
      <c r="B35" s="109">
        <v>252</v>
      </c>
      <c r="C35" s="142" t="s">
        <v>1071</v>
      </c>
      <c r="D35" s="363" t="s">
        <v>4062</v>
      </c>
      <c r="E35" s="86"/>
      <c r="F35" s="86"/>
      <c r="G35" s="86"/>
      <c r="H35" s="86"/>
      <c r="I35" s="86"/>
      <c r="J35" s="86"/>
      <c r="K35" s="86"/>
      <c r="L35" s="86"/>
      <c r="M35" s="86"/>
    </row>
    <row r="36" spans="1:13" ht="18" customHeight="1">
      <c r="A36" s="226" t="s">
        <v>1922</v>
      </c>
      <c r="B36" s="109">
        <v>252</v>
      </c>
      <c r="C36" s="142" t="s">
        <v>1923</v>
      </c>
      <c r="D36" s="135"/>
      <c r="E36" s="86"/>
      <c r="F36" s="86"/>
      <c r="G36" s="86"/>
      <c r="H36" s="86"/>
      <c r="I36" s="86"/>
      <c r="J36" s="86"/>
      <c r="K36" s="86"/>
      <c r="L36" s="86"/>
      <c r="M36" s="86"/>
    </row>
    <row r="37" spans="1:13" ht="18" customHeight="1">
      <c r="A37" s="226" t="s">
        <v>1924</v>
      </c>
      <c r="B37" s="109">
        <v>252</v>
      </c>
      <c r="C37" s="142" t="s">
        <v>1925</v>
      </c>
      <c r="D37" s="363">
        <v>316</v>
      </c>
      <c r="E37" s="86"/>
      <c r="F37" s="86"/>
      <c r="G37" s="86"/>
      <c r="H37" s="86"/>
      <c r="I37" s="86"/>
      <c r="J37" s="86"/>
      <c r="K37" s="86"/>
      <c r="L37" s="86"/>
      <c r="M37" s="86"/>
    </row>
    <row r="38" spans="1:13" ht="18" customHeight="1">
      <c r="A38" s="226" t="s">
        <v>1926</v>
      </c>
      <c r="B38" s="109">
        <v>253</v>
      </c>
      <c r="C38" s="142" t="s">
        <v>1927</v>
      </c>
      <c r="D38" s="363" t="s">
        <v>4033</v>
      </c>
      <c r="E38" s="86"/>
      <c r="F38" s="86"/>
      <c r="G38" s="86"/>
      <c r="H38" s="86"/>
      <c r="I38" s="86"/>
      <c r="J38" s="86"/>
      <c r="K38" s="86"/>
      <c r="L38" s="86"/>
      <c r="M38" s="86"/>
    </row>
    <row r="39" spans="1:13" ht="18" customHeight="1">
      <c r="A39" s="226" t="s">
        <v>1928</v>
      </c>
      <c r="B39" s="109">
        <v>253</v>
      </c>
      <c r="C39" s="142" t="s">
        <v>1929</v>
      </c>
      <c r="D39" s="363" t="s">
        <v>3520</v>
      </c>
      <c r="E39" s="86"/>
      <c r="F39" s="86"/>
      <c r="G39" s="86"/>
      <c r="H39" s="86"/>
      <c r="I39" s="86"/>
      <c r="J39" s="86"/>
      <c r="K39" s="86"/>
      <c r="L39" s="86"/>
      <c r="M39" s="86"/>
    </row>
    <row r="40" spans="1:13" ht="18" customHeight="1">
      <c r="A40" s="226" t="s">
        <v>3181</v>
      </c>
      <c r="B40" s="109">
        <v>252</v>
      </c>
      <c r="C40" s="142" t="s">
        <v>3182</v>
      </c>
      <c r="D40" s="363">
        <v>316</v>
      </c>
      <c r="E40" s="86"/>
      <c r="F40" s="86"/>
      <c r="G40" s="86"/>
      <c r="H40" s="86"/>
      <c r="I40" s="86"/>
      <c r="J40" s="86"/>
      <c r="K40" s="86"/>
      <c r="L40" s="86"/>
      <c r="M40" s="86"/>
    </row>
    <row r="41" spans="1:13" ht="18" customHeight="1">
      <c r="A41" s="226" t="s">
        <v>3183</v>
      </c>
      <c r="B41" s="109" t="s">
        <v>3527</v>
      </c>
      <c r="C41" s="142" t="s">
        <v>3184</v>
      </c>
      <c r="D41" s="135"/>
      <c r="E41" s="86"/>
      <c r="F41" s="86"/>
      <c r="G41" s="86"/>
      <c r="H41" s="86"/>
      <c r="I41" s="86"/>
      <c r="J41" s="86"/>
      <c r="K41" s="86"/>
      <c r="L41" s="86"/>
      <c r="M41" s="86"/>
    </row>
    <row r="42" spans="1:13" ht="18" customHeight="1">
      <c r="A42" s="226" t="s">
        <v>3123</v>
      </c>
      <c r="B42" s="109" t="s">
        <v>3512</v>
      </c>
      <c r="C42" s="142" t="s">
        <v>3124</v>
      </c>
      <c r="D42" s="363" t="s">
        <v>3042</v>
      </c>
      <c r="E42" s="86"/>
      <c r="F42" s="86"/>
      <c r="G42" s="86"/>
      <c r="H42" s="86"/>
      <c r="I42" s="86"/>
      <c r="J42" s="86"/>
      <c r="K42" s="86"/>
      <c r="L42" s="86"/>
      <c r="M42" s="86"/>
    </row>
    <row r="43" spans="1:13" ht="18" customHeight="1">
      <c r="A43" s="226" t="s">
        <v>3125</v>
      </c>
      <c r="B43" s="778">
        <v>319</v>
      </c>
      <c r="C43" s="142" t="s">
        <v>3126</v>
      </c>
      <c r="D43" s="626">
        <v>210</v>
      </c>
      <c r="E43" s="86"/>
      <c r="F43" s="86"/>
      <c r="G43" s="86"/>
      <c r="H43" s="86"/>
      <c r="I43" s="86"/>
      <c r="J43" s="86"/>
      <c r="K43" s="86"/>
      <c r="L43" s="86"/>
      <c r="M43" s="86"/>
    </row>
    <row r="44" spans="1:13" ht="18" customHeight="1">
      <c r="A44" s="226" t="s">
        <v>3127</v>
      </c>
      <c r="B44" s="109" t="s">
        <v>4038</v>
      </c>
      <c r="C44" s="142" t="s">
        <v>3128</v>
      </c>
      <c r="D44" s="363">
        <v>210</v>
      </c>
      <c r="E44" s="86"/>
      <c r="F44" s="86"/>
      <c r="G44" s="86"/>
      <c r="H44" s="86"/>
      <c r="I44" s="86"/>
      <c r="J44" s="86"/>
      <c r="K44" s="86"/>
      <c r="L44" s="86"/>
      <c r="M44" s="86"/>
    </row>
    <row r="45" spans="1:13" ht="18" customHeight="1">
      <c r="A45" s="226" t="s">
        <v>3196</v>
      </c>
      <c r="B45" s="109" t="s">
        <v>3197</v>
      </c>
      <c r="C45" s="142" t="s">
        <v>3129</v>
      </c>
      <c r="D45" s="363">
        <v>210</v>
      </c>
      <c r="E45" s="86"/>
      <c r="F45" s="86"/>
      <c r="G45" s="86"/>
      <c r="H45" s="86"/>
      <c r="I45" s="86"/>
      <c r="J45" s="86"/>
      <c r="K45" s="86"/>
      <c r="L45" s="86"/>
      <c r="M45" s="86"/>
    </row>
    <row r="46" spans="1:13" ht="18" customHeight="1">
      <c r="A46" s="226" t="s">
        <v>3130</v>
      </c>
      <c r="B46" s="109" t="s">
        <v>3200</v>
      </c>
      <c r="C46" s="142" t="s">
        <v>3041</v>
      </c>
      <c r="D46" s="363" t="s">
        <v>3042</v>
      </c>
      <c r="E46" s="86"/>
      <c r="F46" s="86"/>
      <c r="G46" s="86"/>
      <c r="H46" s="86"/>
      <c r="I46" s="86"/>
      <c r="J46" s="86"/>
      <c r="K46" s="86"/>
      <c r="L46" s="86"/>
      <c r="M46" s="86"/>
    </row>
    <row r="47" spans="1:13" ht="18" customHeight="1">
      <c r="A47" s="226" t="s">
        <v>432</v>
      </c>
      <c r="B47" s="109">
        <v>207</v>
      </c>
      <c r="C47" s="86" t="s">
        <v>832</v>
      </c>
      <c r="D47" s="363" t="s">
        <v>833</v>
      </c>
      <c r="E47" s="86"/>
      <c r="F47" s="86"/>
      <c r="G47" s="86"/>
      <c r="H47" s="86"/>
      <c r="I47" s="86"/>
      <c r="J47" s="86"/>
      <c r="K47" s="86"/>
      <c r="L47" s="86"/>
      <c r="M47" s="86"/>
    </row>
    <row r="48" spans="1:13" ht="18" customHeight="1">
      <c r="A48" s="226" t="s">
        <v>1573</v>
      </c>
      <c r="B48" s="778"/>
      <c r="C48" s="86" t="s">
        <v>3588</v>
      </c>
      <c r="D48" s="626">
        <v>215</v>
      </c>
      <c r="E48" s="86"/>
      <c r="F48" s="86"/>
      <c r="G48" s="86"/>
      <c r="H48" s="86"/>
      <c r="I48" s="86"/>
      <c r="J48" s="86"/>
      <c r="K48" s="86"/>
      <c r="L48" s="86"/>
      <c r="M48" s="86"/>
    </row>
    <row r="49" spans="1:13" ht="18" customHeight="1">
      <c r="A49" s="226" t="s">
        <v>1574</v>
      </c>
      <c r="B49" s="109">
        <v>208</v>
      </c>
      <c r="C49" s="86" t="s">
        <v>1575</v>
      </c>
      <c r="D49" s="363">
        <v>410</v>
      </c>
      <c r="E49" s="86"/>
      <c r="F49" s="86"/>
      <c r="G49" s="86"/>
      <c r="H49" s="86"/>
      <c r="I49" s="86"/>
      <c r="J49" s="86"/>
      <c r="K49" s="86"/>
      <c r="L49" s="86"/>
      <c r="M49" s="86"/>
    </row>
    <row r="50" spans="1:13" ht="18" customHeight="1">
      <c r="A50" s="226" t="s">
        <v>1395</v>
      </c>
      <c r="B50" s="109">
        <v>206</v>
      </c>
      <c r="C50" s="86" t="s">
        <v>1576</v>
      </c>
      <c r="D50" s="363">
        <v>253</v>
      </c>
      <c r="E50" s="86"/>
      <c r="F50" s="86"/>
      <c r="G50" s="86"/>
      <c r="H50" s="86"/>
      <c r="I50" s="86"/>
      <c r="J50" s="86"/>
      <c r="K50" s="86"/>
      <c r="L50" s="86"/>
      <c r="M50" s="86"/>
    </row>
    <row r="51" spans="1:13" ht="18" customHeight="1" thickBot="1">
      <c r="A51" s="154" t="s">
        <v>1577</v>
      </c>
      <c r="B51" s="1079">
        <v>400</v>
      </c>
      <c r="C51" s="113" t="s">
        <v>1578</v>
      </c>
      <c r="D51" s="579" t="s">
        <v>1394</v>
      </c>
      <c r="E51" s="86"/>
      <c r="F51" s="86"/>
      <c r="G51" s="86"/>
      <c r="H51" s="86"/>
      <c r="I51" s="86"/>
      <c r="J51" s="86"/>
      <c r="K51" s="86"/>
      <c r="L51" s="86"/>
      <c r="M51" s="86"/>
    </row>
    <row r="52" spans="1:13">
      <c r="A52" s="5"/>
      <c r="B52" s="5"/>
      <c r="C52" s="5"/>
      <c r="D52" s="405" t="s">
        <v>2024</v>
      </c>
      <c r="E52" s="86"/>
      <c r="F52" s="86"/>
      <c r="G52" s="86"/>
      <c r="H52" s="86"/>
      <c r="I52" s="86"/>
      <c r="J52" s="86"/>
      <c r="K52" s="86"/>
      <c r="L52" s="86"/>
      <c r="M52" s="86"/>
    </row>
    <row r="53" spans="1:13">
      <c r="A53" s="5"/>
      <c r="B53" s="94" t="s">
        <v>1579</v>
      </c>
      <c r="C53" s="5"/>
      <c r="D53" s="405"/>
      <c r="E53" s="86"/>
      <c r="F53" s="86"/>
      <c r="G53" s="86"/>
      <c r="H53" s="86"/>
      <c r="I53" s="86"/>
      <c r="J53" s="86"/>
      <c r="K53" s="86"/>
      <c r="L53" s="86"/>
      <c r="M53" s="86"/>
    </row>
    <row r="54" spans="1:13">
      <c r="A54" s="5"/>
      <c r="B54" s="94"/>
      <c r="C54" s="5"/>
      <c r="D54" s="405"/>
      <c r="E54" s="86"/>
      <c r="F54" s="86"/>
      <c r="G54" s="86"/>
      <c r="H54" s="86"/>
      <c r="I54" s="86"/>
      <c r="J54" s="86"/>
      <c r="K54" s="86"/>
      <c r="L54" s="86"/>
      <c r="M54" s="86"/>
    </row>
    <row r="55" spans="1:13" ht="15.75" thickBot="1">
      <c r="C55" s="5"/>
      <c r="D55" s="5"/>
      <c r="E55" s="86"/>
      <c r="F55" s="86"/>
      <c r="G55" s="86"/>
      <c r="H55" s="86"/>
      <c r="I55" s="86"/>
      <c r="J55" s="86"/>
      <c r="K55" s="86"/>
      <c r="L55" s="86"/>
      <c r="M55" s="86"/>
    </row>
    <row r="56" spans="1:13">
      <c r="A56" s="129"/>
      <c r="B56" s="130"/>
      <c r="C56" s="130"/>
      <c r="D56" s="131"/>
      <c r="E56" s="86"/>
      <c r="F56" s="86"/>
      <c r="G56" s="86"/>
      <c r="H56" s="86"/>
      <c r="I56" s="86"/>
      <c r="J56" s="86"/>
      <c r="K56" s="86"/>
      <c r="L56" s="86"/>
      <c r="M56" s="86"/>
    </row>
    <row r="57" spans="1:13" ht="15.75">
      <c r="A57" s="118" t="s">
        <v>4207</v>
      </c>
      <c r="B57" s="5"/>
      <c r="C57" s="5"/>
      <c r="D57" s="132"/>
      <c r="E57" s="86"/>
      <c r="F57" s="86"/>
      <c r="G57" s="86"/>
      <c r="H57" s="86"/>
      <c r="I57" s="86"/>
      <c r="J57" s="86"/>
      <c r="K57" s="86"/>
      <c r="L57" s="86"/>
      <c r="M57" s="86"/>
    </row>
    <row r="58" spans="1:13">
      <c r="A58" s="499"/>
      <c r="B58" s="434"/>
      <c r="C58" s="434"/>
      <c r="D58" s="101"/>
      <c r="E58" s="86"/>
      <c r="F58" s="86"/>
      <c r="G58" s="86"/>
      <c r="H58" s="86"/>
      <c r="I58" s="86"/>
      <c r="J58" s="86"/>
      <c r="K58" s="86"/>
      <c r="L58" s="86"/>
      <c r="M58" s="86"/>
    </row>
    <row r="59" spans="1:13">
      <c r="A59" s="488"/>
      <c r="B59" s="1165"/>
      <c r="C59" s="86"/>
      <c r="D59" s="135"/>
      <c r="E59" s="86"/>
      <c r="F59" s="86"/>
      <c r="G59" s="86"/>
      <c r="H59" s="86"/>
      <c r="I59" s="86"/>
      <c r="J59" s="86"/>
      <c r="K59" s="86"/>
      <c r="L59" s="86"/>
      <c r="M59" s="86"/>
    </row>
    <row r="60" spans="1:13">
      <c r="A60" s="499" t="s">
        <v>4208</v>
      </c>
      <c r="B60" s="988" t="s">
        <v>3276</v>
      </c>
      <c r="C60" s="365" t="s">
        <v>4208</v>
      </c>
      <c r="D60" s="367" t="s">
        <v>3276</v>
      </c>
      <c r="E60" s="86"/>
      <c r="F60" s="86"/>
      <c r="G60" s="86"/>
      <c r="H60" s="86"/>
      <c r="I60" s="86"/>
      <c r="J60" s="86"/>
      <c r="K60" s="86"/>
      <c r="L60" s="86"/>
      <c r="M60" s="86"/>
    </row>
    <row r="61" spans="1:13" ht="18" customHeight="1">
      <c r="A61" s="85" t="s">
        <v>4055</v>
      </c>
      <c r="B61" s="990">
        <v>367</v>
      </c>
      <c r="C61" s="86" t="s">
        <v>1580</v>
      </c>
      <c r="D61" s="363" t="s">
        <v>4062</v>
      </c>
      <c r="E61" s="86"/>
      <c r="F61" s="86"/>
      <c r="G61" s="86"/>
      <c r="H61" s="86"/>
      <c r="I61" s="86"/>
      <c r="J61" s="86"/>
      <c r="K61" s="86"/>
      <c r="L61" s="86"/>
      <c r="M61" s="86"/>
    </row>
    <row r="62" spans="1:13" ht="18" customHeight="1">
      <c r="A62" s="85" t="s">
        <v>766</v>
      </c>
      <c r="B62" s="109">
        <v>213</v>
      </c>
      <c r="C62" s="142" t="s">
        <v>1581</v>
      </c>
      <c r="D62" s="135"/>
      <c r="E62" s="86"/>
      <c r="F62" s="86"/>
      <c r="G62" s="86"/>
      <c r="H62" s="86"/>
      <c r="I62" s="86"/>
      <c r="J62" s="86"/>
      <c r="K62" s="86"/>
      <c r="L62" s="86"/>
      <c r="M62" s="86"/>
    </row>
    <row r="63" spans="1:13" ht="18" customHeight="1">
      <c r="A63" s="85" t="s">
        <v>3038</v>
      </c>
      <c r="B63" s="109">
        <v>255</v>
      </c>
      <c r="C63" s="142" t="s">
        <v>1582</v>
      </c>
      <c r="D63" s="363" t="s">
        <v>1583</v>
      </c>
      <c r="E63" s="86"/>
      <c r="F63" s="86"/>
      <c r="G63" s="86"/>
      <c r="H63" s="86"/>
      <c r="I63" s="86"/>
      <c r="J63" s="86"/>
      <c r="K63" s="86"/>
      <c r="L63" s="86"/>
      <c r="M63" s="86"/>
    </row>
    <row r="64" spans="1:13" ht="18" customHeight="1">
      <c r="A64" s="85" t="s">
        <v>195</v>
      </c>
      <c r="B64" s="109">
        <v>300</v>
      </c>
      <c r="C64" s="142" t="s">
        <v>1135</v>
      </c>
      <c r="D64" s="363" t="s">
        <v>105</v>
      </c>
      <c r="E64" s="86"/>
      <c r="F64" s="86"/>
      <c r="G64" s="86"/>
      <c r="H64" s="86"/>
      <c r="I64" s="86"/>
      <c r="J64" s="86"/>
      <c r="K64" s="86"/>
      <c r="L64" s="86"/>
      <c r="M64" s="86"/>
    </row>
    <row r="65" spans="1:13" ht="18" customHeight="1">
      <c r="A65" s="85" t="s">
        <v>2329</v>
      </c>
      <c r="B65" s="109" t="s">
        <v>4033</v>
      </c>
      <c r="C65" s="86" t="s">
        <v>1209</v>
      </c>
      <c r="D65" s="363">
        <v>215</v>
      </c>
      <c r="E65" s="86"/>
      <c r="F65" s="86"/>
      <c r="G65" s="86"/>
      <c r="H65" s="86"/>
      <c r="I65" s="86"/>
      <c r="J65" s="86"/>
      <c r="K65" s="86"/>
      <c r="L65" s="86"/>
      <c r="M65" s="86"/>
    </row>
    <row r="66" spans="1:13" ht="18" customHeight="1">
      <c r="A66" s="85" t="s">
        <v>1210</v>
      </c>
      <c r="B66" s="109">
        <v>253</v>
      </c>
      <c r="C66" s="86" t="s">
        <v>1211</v>
      </c>
      <c r="D66" s="363" t="s">
        <v>3197</v>
      </c>
      <c r="E66" s="86"/>
      <c r="F66" s="86"/>
      <c r="G66" s="86"/>
      <c r="H66" s="86"/>
      <c r="I66" s="86"/>
      <c r="J66" s="86"/>
      <c r="K66" s="86"/>
      <c r="L66" s="86"/>
      <c r="M66" s="86"/>
    </row>
    <row r="67" spans="1:13" ht="18" customHeight="1">
      <c r="A67" s="85" t="s">
        <v>1212</v>
      </c>
      <c r="B67" s="109" t="s">
        <v>4054</v>
      </c>
      <c r="C67" s="86" t="s">
        <v>1213</v>
      </c>
      <c r="D67" s="363" t="s">
        <v>3042</v>
      </c>
      <c r="E67" s="86"/>
      <c r="F67" s="86"/>
      <c r="G67" s="86"/>
      <c r="H67" s="86"/>
      <c r="I67" s="86"/>
      <c r="J67" s="86"/>
      <c r="K67" s="86"/>
      <c r="L67" s="86"/>
      <c r="M67" s="86"/>
    </row>
    <row r="68" spans="1:13" ht="18" customHeight="1">
      <c r="A68" s="85" t="s">
        <v>1214</v>
      </c>
      <c r="B68" s="109" t="s">
        <v>4045</v>
      </c>
      <c r="C68" s="86" t="s">
        <v>1215</v>
      </c>
      <c r="D68" s="363" t="s">
        <v>3042</v>
      </c>
      <c r="E68" s="86"/>
      <c r="F68" s="86"/>
      <c r="G68" s="86"/>
      <c r="H68" s="86"/>
      <c r="I68" s="86"/>
      <c r="J68" s="86"/>
      <c r="K68" s="86"/>
      <c r="L68" s="86"/>
      <c r="M68" s="86"/>
    </row>
    <row r="69" spans="1:13" ht="18" customHeight="1">
      <c r="A69" s="85" t="s">
        <v>514</v>
      </c>
      <c r="B69" s="109">
        <v>255</v>
      </c>
      <c r="C69" s="86" t="s">
        <v>515</v>
      </c>
      <c r="D69" s="135"/>
      <c r="E69" s="86"/>
      <c r="F69" s="86"/>
      <c r="G69" s="86"/>
      <c r="H69" s="86"/>
      <c r="I69" s="86"/>
      <c r="J69" s="86"/>
      <c r="K69" s="86"/>
      <c r="L69" s="86"/>
      <c r="M69" s="86"/>
    </row>
    <row r="70" spans="1:13" ht="18" customHeight="1">
      <c r="A70" s="85" t="s">
        <v>1902</v>
      </c>
      <c r="B70" s="109">
        <v>354</v>
      </c>
      <c r="C70" s="86" t="s">
        <v>1903</v>
      </c>
      <c r="D70" s="363">
        <v>213</v>
      </c>
      <c r="E70" s="86"/>
      <c r="F70" s="86"/>
      <c r="G70" s="86"/>
      <c r="H70" s="86"/>
      <c r="I70" s="86"/>
      <c r="J70" s="86"/>
      <c r="K70" s="86"/>
      <c r="L70" s="86"/>
      <c r="M70" s="86"/>
    </row>
    <row r="71" spans="1:13" ht="18" customHeight="1">
      <c r="A71" s="85" t="s">
        <v>1904</v>
      </c>
      <c r="B71" s="109" t="s">
        <v>4049</v>
      </c>
      <c r="C71" s="86" t="s">
        <v>1905</v>
      </c>
      <c r="D71" s="363" t="s">
        <v>3510</v>
      </c>
      <c r="E71" s="86"/>
      <c r="F71" s="86"/>
      <c r="G71" s="86"/>
      <c r="H71" s="86"/>
      <c r="I71" s="86"/>
      <c r="J71" s="86"/>
      <c r="K71" s="86"/>
      <c r="L71" s="86"/>
      <c r="M71" s="86"/>
    </row>
    <row r="72" spans="1:13" ht="18" customHeight="1">
      <c r="A72" s="85" t="s">
        <v>3313</v>
      </c>
      <c r="B72" s="109" t="s">
        <v>4052</v>
      </c>
      <c r="C72" s="86" t="s">
        <v>445</v>
      </c>
      <c r="D72" s="363">
        <v>300</v>
      </c>
      <c r="E72" s="86"/>
      <c r="F72" s="86"/>
      <c r="G72" s="86"/>
      <c r="H72" s="86"/>
      <c r="I72" s="86"/>
      <c r="J72" s="86"/>
      <c r="K72" s="86"/>
      <c r="L72" s="86"/>
      <c r="M72" s="86"/>
    </row>
    <row r="73" spans="1:13" ht="18" customHeight="1">
      <c r="A73" s="85" t="s">
        <v>3105</v>
      </c>
      <c r="B73" s="109" t="s">
        <v>1394</v>
      </c>
      <c r="C73" s="86" t="s">
        <v>3314</v>
      </c>
      <c r="D73" s="363">
        <v>306</v>
      </c>
      <c r="E73" s="86"/>
      <c r="F73" s="86"/>
      <c r="G73" s="86"/>
      <c r="H73" s="86"/>
      <c r="I73" s="86"/>
      <c r="J73" s="86"/>
      <c r="K73" s="86"/>
      <c r="L73" s="86"/>
      <c r="M73" s="86"/>
    </row>
    <row r="74" spans="1:13" ht="18" customHeight="1">
      <c r="A74" s="85" t="s">
        <v>3315</v>
      </c>
      <c r="B74" s="109" t="s">
        <v>1394</v>
      </c>
      <c r="C74" s="86" t="s">
        <v>4059</v>
      </c>
      <c r="D74" s="363">
        <v>400</v>
      </c>
      <c r="E74" s="86"/>
      <c r="F74" s="86"/>
      <c r="G74" s="86"/>
      <c r="H74" s="86"/>
      <c r="I74" s="86"/>
      <c r="J74" s="86"/>
      <c r="K74" s="86"/>
      <c r="L74" s="86"/>
      <c r="M74" s="86"/>
    </row>
    <row r="75" spans="1:13" ht="18" customHeight="1">
      <c r="A75" s="85" t="s">
        <v>3834</v>
      </c>
      <c r="B75" s="109" t="s">
        <v>1391</v>
      </c>
      <c r="C75" s="86" t="s">
        <v>3316</v>
      </c>
      <c r="D75" s="363">
        <v>305</v>
      </c>
      <c r="E75" s="86"/>
      <c r="F75" s="86"/>
      <c r="G75" s="86"/>
      <c r="H75" s="86"/>
      <c r="I75" s="86"/>
      <c r="J75" s="86"/>
      <c r="K75" s="86"/>
      <c r="L75" s="86"/>
      <c r="M75" s="86"/>
    </row>
    <row r="76" spans="1:13" ht="18" customHeight="1">
      <c r="A76" s="85" t="s">
        <v>3317</v>
      </c>
      <c r="B76" s="109" t="s">
        <v>1394</v>
      </c>
      <c r="C76" s="86" t="s">
        <v>3318</v>
      </c>
      <c r="D76" s="363">
        <v>405</v>
      </c>
      <c r="E76" s="86"/>
      <c r="F76" s="86"/>
      <c r="G76" s="86"/>
      <c r="H76" s="86"/>
      <c r="I76" s="86"/>
      <c r="J76" s="86"/>
      <c r="K76" s="86"/>
      <c r="L76" s="86"/>
      <c r="M76" s="86"/>
    </row>
    <row r="77" spans="1:13" ht="18" customHeight="1">
      <c r="A77" s="85" t="s">
        <v>3319</v>
      </c>
      <c r="B77" s="109" t="s">
        <v>1394</v>
      </c>
      <c r="C77" s="86"/>
      <c r="D77" s="135"/>
      <c r="E77" s="86"/>
      <c r="F77" s="86"/>
      <c r="G77" s="86"/>
      <c r="H77" s="86"/>
      <c r="I77" s="86"/>
      <c r="J77" s="86"/>
      <c r="K77" s="86"/>
      <c r="L77" s="86"/>
      <c r="M77" s="86"/>
    </row>
    <row r="78" spans="1:13" ht="18" customHeight="1">
      <c r="A78" s="85" t="s">
        <v>3320</v>
      </c>
      <c r="B78" s="109" t="s">
        <v>2411</v>
      </c>
      <c r="C78" s="86"/>
      <c r="D78" s="135"/>
      <c r="E78" s="86"/>
      <c r="F78" s="86"/>
      <c r="G78" s="86"/>
      <c r="H78" s="86"/>
      <c r="I78" s="86"/>
      <c r="J78" s="86"/>
      <c r="K78" s="86"/>
      <c r="L78" s="86"/>
      <c r="M78" s="86"/>
    </row>
    <row r="79" spans="1:13" ht="18" customHeight="1">
      <c r="A79" s="85" t="s">
        <v>3321</v>
      </c>
      <c r="B79" s="109">
        <v>310</v>
      </c>
      <c r="C79" s="86"/>
      <c r="D79" s="135"/>
      <c r="E79" s="86"/>
      <c r="F79" s="86"/>
      <c r="G79" s="86"/>
      <c r="H79" s="86"/>
      <c r="I79" s="86"/>
      <c r="J79" s="86"/>
      <c r="K79" s="86"/>
      <c r="L79" s="86"/>
      <c r="M79" s="86"/>
    </row>
    <row r="80" spans="1:13" ht="18" customHeight="1">
      <c r="A80" s="85" t="s">
        <v>3322</v>
      </c>
      <c r="B80" s="109">
        <v>252</v>
      </c>
      <c r="C80" s="86"/>
      <c r="D80" s="135"/>
      <c r="E80" s="86"/>
      <c r="F80" s="86"/>
      <c r="G80" s="86"/>
      <c r="H80" s="86"/>
      <c r="I80" s="86"/>
      <c r="J80" s="86"/>
      <c r="K80" s="86"/>
      <c r="L80" s="86"/>
      <c r="M80" s="86"/>
    </row>
    <row r="81" spans="1:13" ht="18" customHeight="1">
      <c r="A81" s="85" t="s">
        <v>3794</v>
      </c>
      <c r="B81" s="109" t="s">
        <v>3323</v>
      </c>
      <c r="C81" s="86"/>
      <c r="D81" s="135"/>
      <c r="E81" s="86"/>
      <c r="F81" s="86"/>
      <c r="G81" s="86"/>
      <c r="H81" s="86"/>
      <c r="I81" s="86"/>
      <c r="J81" s="86"/>
      <c r="K81" s="86"/>
      <c r="L81" s="86"/>
      <c r="M81" s="86"/>
    </row>
    <row r="82" spans="1:13" ht="18" customHeight="1">
      <c r="A82" s="85" t="s">
        <v>1257</v>
      </c>
      <c r="B82" s="109" t="s">
        <v>3323</v>
      </c>
      <c r="C82" s="86"/>
      <c r="D82" s="135"/>
      <c r="E82" s="86"/>
      <c r="F82" s="86"/>
      <c r="G82" s="86"/>
      <c r="H82" s="86"/>
      <c r="I82" s="86"/>
      <c r="J82" s="86"/>
      <c r="K82" s="86"/>
      <c r="L82" s="86"/>
      <c r="M82" s="86"/>
    </row>
    <row r="83" spans="1:13" ht="18" customHeight="1">
      <c r="A83" s="85" t="s">
        <v>4063</v>
      </c>
      <c r="B83" s="109" t="s">
        <v>4064</v>
      </c>
      <c r="C83" s="86"/>
      <c r="D83" s="135"/>
      <c r="E83" s="86"/>
      <c r="F83" s="86"/>
      <c r="G83" s="86"/>
      <c r="H83" s="86"/>
      <c r="I83" s="86"/>
      <c r="J83" s="86"/>
      <c r="K83" s="86"/>
      <c r="L83" s="86"/>
      <c r="M83" s="86"/>
    </row>
    <row r="84" spans="1:13" ht="18" customHeight="1">
      <c r="A84" s="85" t="s">
        <v>90</v>
      </c>
      <c r="B84" s="109">
        <v>305</v>
      </c>
      <c r="C84" s="86"/>
      <c r="D84" s="135"/>
      <c r="E84" s="86"/>
      <c r="F84" s="86"/>
      <c r="G84" s="86"/>
      <c r="H84" s="86"/>
      <c r="I84" s="86"/>
      <c r="J84" s="86"/>
      <c r="K84" s="86"/>
      <c r="L84" s="86"/>
      <c r="M84" s="86"/>
    </row>
    <row r="85" spans="1:13" ht="18" customHeight="1">
      <c r="A85" s="85" t="s">
        <v>3324</v>
      </c>
      <c r="B85" s="109">
        <v>213</v>
      </c>
      <c r="C85" s="86"/>
      <c r="D85" s="135"/>
      <c r="E85" s="86"/>
      <c r="F85" s="86"/>
      <c r="G85" s="86"/>
      <c r="H85" s="86"/>
      <c r="I85" s="86"/>
      <c r="J85" s="86"/>
      <c r="K85" s="86"/>
      <c r="L85" s="86"/>
      <c r="M85" s="86"/>
    </row>
    <row r="86" spans="1:13" ht="18" customHeight="1">
      <c r="A86" s="85" t="s">
        <v>2792</v>
      </c>
      <c r="B86" s="109">
        <v>214</v>
      </c>
      <c r="C86" s="86"/>
      <c r="D86" s="135"/>
      <c r="E86" s="86"/>
      <c r="F86" s="86"/>
      <c r="G86" s="86"/>
      <c r="H86" s="86"/>
      <c r="I86" s="86"/>
      <c r="J86" s="86"/>
      <c r="K86" s="86"/>
      <c r="L86" s="86"/>
      <c r="M86" s="86"/>
    </row>
    <row r="87" spans="1:13" ht="18" customHeight="1">
      <c r="A87" s="85" t="s">
        <v>3325</v>
      </c>
      <c r="B87" s="109"/>
      <c r="C87" s="86"/>
      <c r="D87" s="135"/>
      <c r="E87" s="86"/>
      <c r="F87" s="86"/>
      <c r="G87" s="86"/>
      <c r="H87" s="86"/>
      <c r="I87" s="86"/>
      <c r="J87" s="86"/>
      <c r="K87" s="86"/>
      <c r="L87" s="86"/>
      <c r="M87" s="86"/>
    </row>
    <row r="88" spans="1:13" ht="18" customHeight="1">
      <c r="A88" s="85" t="s">
        <v>3326</v>
      </c>
      <c r="B88" s="109">
        <v>314</v>
      </c>
      <c r="C88" s="86"/>
      <c r="D88" s="135"/>
      <c r="E88" s="86"/>
      <c r="F88" s="86"/>
      <c r="G88" s="86"/>
      <c r="H88" s="86"/>
      <c r="I88" s="86"/>
      <c r="J88" s="86"/>
      <c r="K88" s="86"/>
      <c r="L88" s="86"/>
      <c r="M88" s="86"/>
    </row>
    <row r="89" spans="1:13" ht="18" customHeight="1">
      <c r="A89" s="85" t="s">
        <v>3327</v>
      </c>
      <c r="B89" s="109" t="s">
        <v>4040</v>
      </c>
      <c r="C89" s="86"/>
      <c r="D89" s="135"/>
      <c r="E89" s="86"/>
      <c r="F89" s="86"/>
      <c r="G89" s="86"/>
      <c r="H89" s="86"/>
      <c r="I89" s="86"/>
      <c r="J89" s="86"/>
      <c r="K89" s="86"/>
      <c r="L89" s="86"/>
      <c r="M89" s="86"/>
    </row>
    <row r="90" spans="1:13" ht="18" customHeight="1">
      <c r="A90" s="85" t="s">
        <v>3328</v>
      </c>
      <c r="B90" s="109" t="s">
        <v>3523</v>
      </c>
      <c r="C90" s="86"/>
      <c r="D90" s="135"/>
      <c r="E90" s="86"/>
      <c r="F90" s="86"/>
      <c r="G90" s="86"/>
      <c r="H90" s="86"/>
      <c r="I90" s="86"/>
      <c r="J90" s="86"/>
      <c r="K90" s="86"/>
      <c r="L90" s="86"/>
      <c r="M90" s="86"/>
    </row>
    <row r="91" spans="1:13" ht="18" customHeight="1">
      <c r="A91" s="85" t="s">
        <v>954</v>
      </c>
      <c r="B91" s="109"/>
      <c r="C91" s="86"/>
      <c r="D91" s="135"/>
      <c r="E91" s="86"/>
      <c r="F91" s="86"/>
      <c r="G91" s="86"/>
      <c r="H91" s="86"/>
      <c r="I91" s="86"/>
      <c r="J91" s="86"/>
      <c r="K91" s="86"/>
      <c r="L91" s="86"/>
      <c r="M91" s="86"/>
    </row>
    <row r="92" spans="1:13" ht="18" customHeight="1">
      <c r="A92" s="85" t="s">
        <v>3329</v>
      </c>
      <c r="B92" s="109">
        <v>306</v>
      </c>
      <c r="C92" s="86"/>
      <c r="D92" s="135"/>
      <c r="E92" s="86"/>
      <c r="F92" s="86"/>
      <c r="G92" s="86"/>
      <c r="H92" s="86"/>
      <c r="I92" s="86"/>
      <c r="J92" s="86"/>
      <c r="K92" s="86"/>
      <c r="L92" s="86"/>
      <c r="M92" s="86"/>
    </row>
    <row r="93" spans="1:13" ht="18" customHeight="1">
      <c r="A93" s="85" t="s">
        <v>3330</v>
      </c>
      <c r="B93" s="109">
        <v>121</v>
      </c>
      <c r="C93" s="86"/>
      <c r="D93" s="135"/>
      <c r="E93" s="86"/>
      <c r="F93" s="86"/>
      <c r="G93" s="86"/>
      <c r="H93" s="86"/>
      <c r="I93" s="86"/>
      <c r="J93" s="86"/>
      <c r="K93" s="86"/>
      <c r="L93" s="86"/>
      <c r="M93" s="86"/>
    </row>
    <row r="94" spans="1:13" ht="18" customHeight="1">
      <c r="A94" s="85" t="s">
        <v>3331</v>
      </c>
      <c r="B94" s="109">
        <v>300</v>
      </c>
      <c r="C94" s="86"/>
      <c r="D94" s="135"/>
      <c r="E94" s="86"/>
      <c r="F94" s="86"/>
      <c r="G94" s="86"/>
      <c r="H94" s="86"/>
      <c r="I94" s="86"/>
      <c r="J94" s="86"/>
      <c r="K94" s="86"/>
      <c r="L94" s="86"/>
      <c r="M94" s="86"/>
    </row>
    <row r="95" spans="1:13" ht="18" customHeight="1">
      <c r="A95" s="85" t="s">
        <v>3332</v>
      </c>
      <c r="B95" s="109">
        <v>306</v>
      </c>
      <c r="C95" s="86"/>
      <c r="D95" s="135"/>
      <c r="E95" s="86"/>
      <c r="F95" s="86"/>
      <c r="G95" s="86"/>
      <c r="H95" s="86"/>
      <c r="I95" s="86"/>
      <c r="J95" s="86"/>
      <c r="K95" s="86"/>
      <c r="L95" s="86"/>
      <c r="M95" s="86"/>
    </row>
    <row r="96" spans="1:13" ht="18" customHeight="1">
      <c r="A96" s="85" t="s">
        <v>3333</v>
      </c>
      <c r="B96" s="109">
        <v>354</v>
      </c>
      <c r="C96" s="86"/>
      <c r="D96" s="135"/>
      <c r="E96" s="86"/>
      <c r="F96" s="86"/>
      <c r="G96" s="86"/>
      <c r="H96" s="86"/>
      <c r="I96" s="86"/>
      <c r="J96" s="86"/>
      <c r="K96" s="86"/>
      <c r="L96" s="86"/>
      <c r="M96" s="86"/>
    </row>
    <row r="97" spans="1:13" ht="18" customHeight="1">
      <c r="A97" s="85" t="s">
        <v>4161</v>
      </c>
      <c r="B97" s="96"/>
      <c r="C97" s="86"/>
      <c r="D97" s="135"/>
      <c r="E97" s="86"/>
      <c r="F97" s="86"/>
      <c r="G97" s="86"/>
      <c r="H97" s="86"/>
      <c r="I97" s="86"/>
      <c r="J97" s="86"/>
      <c r="K97" s="86"/>
      <c r="L97" s="86"/>
      <c r="M97" s="86"/>
    </row>
    <row r="98" spans="1:13" ht="18" customHeight="1">
      <c r="A98" s="85" t="s">
        <v>3334</v>
      </c>
      <c r="B98" s="109">
        <v>305</v>
      </c>
      <c r="C98" s="86"/>
      <c r="D98" s="135"/>
      <c r="E98" s="86"/>
      <c r="F98" s="86"/>
      <c r="G98" s="86"/>
      <c r="H98" s="86"/>
      <c r="I98" s="86"/>
      <c r="J98" s="86"/>
      <c r="K98" s="86"/>
      <c r="L98" s="86"/>
      <c r="M98" s="86"/>
    </row>
    <row r="99" spans="1:13" ht="18" customHeight="1">
      <c r="A99" s="85" t="s">
        <v>3335</v>
      </c>
      <c r="B99" s="109" t="s">
        <v>452</v>
      </c>
      <c r="C99" s="86"/>
      <c r="D99" s="135"/>
      <c r="E99" s="86"/>
      <c r="F99" s="86"/>
      <c r="G99" s="86"/>
      <c r="H99" s="86"/>
      <c r="I99" s="86"/>
      <c r="J99" s="86"/>
      <c r="K99" s="86"/>
      <c r="L99" s="86"/>
      <c r="M99" s="86"/>
    </row>
    <row r="100" spans="1:13" ht="18" customHeight="1">
      <c r="A100" s="85" t="s">
        <v>3336</v>
      </c>
      <c r="B100" s="109">
        <v>301</v>
      </c>
      <c r="C100" s="86"/>
      <c r="D100" s="135"/>
      <c r="E100" s="86"/>
      <c r="F100" s="86"/>
      <c r="G100" s="86"/>
      <c r="H100" s="86"/>
      <c r="I100" s="86"/>
      <c r="J100" s="86"/>
      <c r="K100" s="86"/>
      <c r="L100" s="86"/>
      <c r="M100" s="86"/>
    </row>
    <row r="101" spans="1:13" ht="18" customHeight="1">
      <c r="A101" s="85" t="s">
        <v>834</v>
      </c>
      <c r="B101" s="109">
        <v>409</v>
      </c>
      <c r="C101" s="86"/>
      <c r="D101" s="135"/>
      <c r="E101" s="86"/>
      <c r="F101" s="86"/>
      <c r="G101" s="86"/>
      <c r="H101" s="86"/>
      <c r="I101" s="86"/>
      <c r="J101" s="86"/>
      <c r="K101" s="86"/>
      <c r="L101" s="86"/>
      <c r="M101" s="86"/>
    </row>
    <row r="102" spans="1:13" ht="18" customHeight="1">
      <c r="A102" s="85" t="s">
        <v>3337</v>
      </c>
      <c r="B102" s="109" t="s">
        <v>4062</v>
      </c>
      <c r="C102" s="86"/>
      <c r="D102" s="135"/>
      <c r="E102" s="86"/>
      <c r="F102" s="86"/>
      <c r="G102" s="86"/>
      <c r="H102" s="86"/>
      <c r="I102" s="86"/>
      <c r="J102" s="86"/>
      <c r="K102" s="86"/>
      <c r="L102" s="86"/>
      <c r="M102" s="86"/>
    </row>
    <row r="103" spans="1:13" ht="18" customHeight="1">
      <c r="A103" s="85" t="s">
        <v>3338</v>
      </c>
      <c r="B103" s="109" t="s">
        <v>4062</v>
      </c>
      <c r="C103" s="86"/>
      <c r="D103" s="135"/>
      <c r="E103" s="86"/>
      <c r="F103" s="86"/>
      <c r="G103" s="86"/>
      <c r="H103" s="86"/>
      <c r="I103" s="86"/>
      <c r="J103" s="86"/>
      <c r="K103" s="86"/>
      <c r="L103" s="86"/>
      <c r="M103" s="86"/>
    </row>
    <row r="104" spans="1:13" ht="18" customHeight="1">
      <c r="A104" s="85" t="s">
        <v>3339</v>
      </c>
      <c r="B104" s="109">
        <v>406</v>
      </c>
      <c r="C104" s="86"/>
      <c r="D104" s="135"/>
      <c r="E104" s="86"/>
      <c r="F104" s="86"/>
      <c r="G104" s="86"/>
      <c r="H104" s="86"/>
      <c r="I104" s="86"/>
      <c r="J104" s="86"/>
      <c r="K104" s="86"/>
      <c r="L104" s="86"/>
      <c r="M104" s="86"/>
    </row>
    <row r="105" spans="1:13" ht="18" customHeight="1" thickBot="1">
      <c r="A105" s="154" t="s">
        <v>3340</v>
      </c>
      <c r="B105" s="1079" t="s">
        <v>2411</v>
      </c>
      <c r="C105" s="113"/>
      <c r="D105" s="1166"/>
      <c r="E105" s="86"/>
      <c r="F105" s="86"/>
      <c r="G105" s="86"/>
      <c r="H105" s="86"/>
      <c r="I105" s="86"/>
      <c r="J105" s="86"/>
      <c r="K105" s="86"/>
      <c r="L105" s="86"/>
      <c r="M105" s="86"/>
    </row>
    <row r="106" spans="1:13">
      <c r="A106" s="86" t="s">
        <v>2024</v>
      </c>
      <c r="B106" s="5"/>
      <c r="C106" s="5"/>
      <c r="D106" s="5"/>
      <c r="E106" s="86"/>
      <c r="F106" s="86"/>
      <c r="G106" s="86"/>
      <c r="H106" s="86"/>
      <c r="I106" s="86"/>
      <c r="J106" s="86"/>
      <c r="K106" s="86"/>
      <c r="L106" s="86"/>
      <c r="M106" s="86"/>
    </row>
    <row r="107" spans="1:13">
      <c r="A107" s="5" t="s">
        <v>3341</v>
      </c>
      <c r="B107" s="5"/>
      <c r="C107" s="5"/>
      <c r="D107" s="5"/>
      <c r="E107" s="86"/>
      <c r="F107" s="86"/>
      <c r="G107" s="86"/>
      <c r="H107" s="86"/>
      <c r="I107" s="86"/>
      <c r="J107" s="86"/>
      <c r="K107" s="86"/>
      <c r="L107" s="86"/>
      <c r="M107" s="86"/>
    </row>
    <row r="108" spans="1:13">
      <c r="A108" s="86"/>
      <c r="B108" s="86"/>
      <c r="C108" s="86"/>
      <c r="D108" s="86"/>
      <c r="E108" s="86"/>
      <c r="F108" s="86"/>
      <c r="G108" s="86"/>
      <c r="H108" s="86"/>
      <c r="I108" s="86"/>
      <c r="J108" s="86"/>
      <c r="K108" s="86"/>
      <c r="L108" s="86"/>
      <c r="M108" s="86"/>
    </row>
    <row r="109" spans="1:13">
      <c r="A109" s="86"/>
      <c r="B109" s="86"/>
      <c r="C109" s="86"/>
      <c r="D109" s="86"/>
      <c r="E109" s="86"/>
      <c r="F109" s="86"/>
      <c r="G109" s="86"/>
      <c r="H109" s="86"/>
      <c r="I109" s="86"/>
      <c r="J109" s="86"/>
      <c r="K109" s="86"/>
      <c r="L109" s="86"/>
      <c r="M109" s="86"/>
    </row>
    <row r="110" spans="1:13">
      <c r="A110" s="86"/>
      <c r="B110" s="86"/>
      <c r="C110" s="86"/>
      <c r="D110" s="86"/>
      <c r="E110" s="86"/>
      <c r="F110" s="86"/>
      <c r="G110" s="86"/>
      <c r="H110" s="86"/>
      <c r="I110" s="86"/>
      <c r="J110" s="86"/>
      <c r="K110" s="86"/>
      <c r="L110" s="86"/>
      <c r="M110" s="86"/>
    </row>
    <row r="111" spans="1:13">
      <c r="A111" s="86"/>
      <c r="B111" s="86"/>
      <c r="C111" s="86"/>
      <c r="D111" s="86"/>
      <c r="E111" s="86"/>
      <c r="F111" s="86"/>
      <c r="G111" s="86"/>
      <c r="H111" s="86"/>
      <c r="I111" s="86"/>
      <c r="J111" s="86"/>
      <c r="K111" s="86"/>
      <c r="L111" s="86"/>
      <c r="M111" s="86"/>
    </row>
    <row r="112" spans="1:13">
      <c r="A112" s="86"/>
      <c r="B112" s="86"/>
      <c r="C112" s="86"/>
      <c r="D112" s="86"/>
      <c r="E112" s="86"/>
      <c r="F112" s="86"/>
      <c r="G112" s="86"/>
      <c r="H112" s="86"/>
      <c r="I112" s="86"/>
      <c r="J112" s="86"/>
      <c r="K112" s="86"/>
      <c r="L112" s="86"/>
      <c r="M112" s="86"/>
    </row>
    <row r="113" spans="1:13">
      <c r="A113" s="86"/>
      <c r="B113" s="86"/>
      <c r="C113" s="86"/>
      <c r="D113" s="86"/>
      <c r="E113" s="86"/>
      <c r="F113" s="86"/>
      <c r="G113" s="86"/>
      <c r="H113" s="86"/>
      <c r="I113" s="86"/>
      <c r="J113" s="86"/>
      <c r="K113" s="86"/>
      <c r="L113" s="86"/>
      <c r="M113" s="86"/>
    </row>
    <row r="114" spans="1:13">
      <c r="A114" s="86"/>
      <c r="B114" s="86"/>
      <c r="C114" s="86"/>
      <c r="D114" s="86"/>
      <c r="E114" s="86"/>
    </row>
    <row r="115" spans="1:13">
      <c r="A115" s="86"/>
      <c r="B115" s="86"/>
      <c r="C115" s="86"/>
      <c r="D115" s="86"/>
      <c r="E115" s="86"/>
    </row>
    <row r="116" spans="1:13">
      <c r="A116" s="86"/>
      <c r="B116" s="86"/>
      <c r="C116" s="86"/>
      <c r="D116" s="86"/>
      <c r="E116" s="86"/>
    </row>
    <row r="117" spans="1:13">
      <c r="A117" s="86"/>
      <c r="B117" s="86"/>
      <c r="C117" s="86"/>
      <c r="D117" s="86"/>
      <c r="E117" s="86"/>
    </row>
    <row r="118" spans="1:13">
      <c r="A118" s="86"/>
      <c r="B118" s="86"/>
      <c r="C118" s="86"/>
      <c r="D118" s="86"/>
      <c r="E118" s="86"/>
    </row>
    <row r="119" spans="1:13">
      <c r="A119" s="86"/>
    </row>
    <row r="120" spans="1:13">
      <c r="A120" s="86"/>
    </row>
    <row r="121" spans="1:13">
      <c r="A121" s="86"/>
    </row>
    <row r="122" spans="1:13">
      <c r="A122" s="86"/>
    </row>
  </sheetData>
  <phoneticPr fontId="0" type="noConversion"/>
  <printOptions horizontalCentered="1" verticalCentered="1"/>
  <pageMargins left="0.4" right="0.4" top="0.3" bottom="0.3" header="0" footer="0"/>
  <pageSetup scale="79" fitToHeight="2" orientation="portrait" r:id="rId1"/>
  <headerFooter alignWithMargins="0"/>
  <rowBreaks count="2" manualBreakCount="2">
    <brk id="52" max="16383" man="1"/>
    <brk id="5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codeName="Sheet14"/>
  <dimension ref="A1:X137"/>
  <sheetViews>
    <sheetView defaultGridColor="0" topLeftCell="B4" colorId="22" zoomScaleNormal="100" workbookViewId="0">
      <selection activeCell="I31" sqref="I31"/>
    </sheetView>
  </sheetViews>
  <sheetFormatPr defaultColWidth="9.77734375" defaultRowHeight="15"/>
  <cols>
    <col min="1" max="1" width="4.77734375" customWidth="1"/>
    <col min="2" max="2" width="61.88671875" customWidth="1"/>
    <col min="3" max="3" width="3.77734375" customWidth="1"/>
    <col min="4" max="5" width="2.77734375" customWidth="1"/>
    <col min="6" max="6" width="13.77734375" customWidth="1"/>
    <col min="7" max="7" width="15.77734375" customWidth="1"/>
    <col min="8" max="10" width="16.77734375" customWidth="1"/>
    <col min="11" max="11" width="18.77734375" customWidth="1"/>
    <col min="12" max="14" width="16.77734375" customWidth="1"/>
    <col min="15" max="15" width="4.77734375" customWidth="1"/>
  </cols>
  <sheetData>
    <row r="1" spans="1:24" ht="15.75" thickBot="1">
      <c r="A1" t="str">
        <f>'Data sheet'!A65</f>
        <v>Annual Report of Veolia Water New York, Inc.                                                                                          Year Ended  December 31, 2023</v>
      </c>
      <c r="I1" t="str">
        <f>'Data sheet'!A61</f>
        <v>Annual Report of Veolia Water New York, Inc.                                                                       Year Ended  December 31, 2023</v>
      </c>
    </row>
    <row r="2" spans="1:24">
      <c r="A2" s="155"/>
      <c r="B2" s="156"/>
      <c r="C2" s="156"/>
      <c r="D2" s="156"/>
      <c r="E2" s="156"/>
      <c r="F2" s="156"/>
      <c r="G2" s="156"/>
      <c r="H2" s="157"/>
      <c r="I2" s="155"/>
      <c r="J2" s="81"/>
      <c r="K2" s="156"/>
      <c r="L2" s="156"/>
      <c r="M2" s="156"/>
      <c r="N2" s="156"/>
      <c r="O2" s="157"/>
      <c r="Q2" s="177"/>
      <c r="R2" s="177"/>
      <c r="S2" s="177"/>
      <c r="T2" s="177"/>
      <c r="U2" s="177"/>
      <c r="V2" s="177"/>
      <c r="W2" s="177"/>
      <c r="X2" s="177"/>
    </row>
    <row r="3" spans="1:24" ht="15.75">
      <c r="A3" s="158" t="s">
        <v>2242</v>
      </c>
      <c r="B3" s="159"/>
      <c r="C3" s="159"/>
      <c r="D3" s="159"/>
      <c r="E3" s="159"/>
      <c r="F3" s="159"/>
      <c r="G3" s="159"/>
      <c r="H3" s="160"/>
      <c r="I3" s="158" t="s">
        <v>1504</v>
      </c>
      <c r="J3" s="159"/>
      <c r="K3" s="159"/>
      <c r="L3" s="159"/>
      <c r="M3" s="159"/>
      <c r="N3" s="159"/>
      <c r="O3" s="160"/>
      <c r="Q3" s="265"/>
      <c r="R3" s="159"/>
      <c r="S3" s="159"/>
      <c r="T3" s="159"/>
      <c r="U3" s="159"/>
      <c r="V3" s="159"/>
      <c r="W3" s="159"/>
      <c r="X3" s="159"/>
    </row>
    <row r="4" spans="1:24">
      <c r="A4" s="169"/>
      <c r="B4" s="175"/>
      <c r="C4" s="175"/>
      <c r="D4" s="175"/>
      <c r="E4" s="175"/>
      <c r="F4" s="175"/>
      <c r="G4" s="128"/>
      <c r="H4" s="225"/>
      <c r="I4" s="169"/>
      <c r="J4" s="224"/>
      <c r="K4" s="175"/>
      <c r="L4" s="224"/>
      <c r="M4" s="128"/>
      <c r="N4" s="224"/>
      <c r="O4" s="176"/>
      <c r="Q4" s="177"/>
      <c r="R4" s="177"/>
      <c r="S4" s="177"/>
      <c r="T4" s="177"/>
      <c r="U4" s="177"/>
      <c r="V4" s="177"/>
      <c r="W4" s="270"/>
    </row>
    <row r="5" spans="1:24">
      <c r="A5" s="165"/>
      <c r="B5" s="177" t="s">
        <v>1505</v>
      </c>
      <c r="C5" s="159"/>
      <c r="D5" s="177" t="s">
        <v>1506</v>
      </c>
      <c r="E5" s="159"/>
      <c r="G5" s="159"/>
      <c r="H5" s="160"/>
      <c r="I5" s="1225" t="s">
        <v>97</v>
      </c>
      <c r="J5" s="159"/>
      <c r="K5" s="159"/>
      <c r="L5" s="191" t="s">
        <v>98</v>
      </c>
      <c r="M5" s="159"/>
      <c r="N5" s="159"/>
      <c r="O5" s="271"/>
    </row>
    <row r="6" spans="1:24">
      <c r="A6" s="165"/>
      <c r="B6" s="177" t="s">
        <v>99</v>
      </c>
      <c r="C6" s="159"/>
      <c r="D6" s="177" t="s">
        <v>100</v>
      </c>
      <c r="E6" s="159"/>
      <c r="G6" s="159"/>
      <c r="H6" s="160"/>
      <c r="I6" s="1225" t="s">
        <v>3811</v>
      </c>
      <c r="J6" s="159"/>
      <c r="K6" s="159"/>
      <c r="L6" s="191" t="s">
        <v>3812</v>
      </c>
      <c r="M6" s="159"/>
      <c r="N6" s="159"/>
      <c r="O6" s="271"/>
    </row>
    <row r="7" spans="1:24">
      <c r="A7" s="165"/>
      <c r="B7" s="177" t="s">
        <v>3813</v>
      </c>
      <c r="C7" s="159"/>
      <c r="D7" s="177" t="s">
        <v>272</v>
      </c>
      <c r="E7" s="159"/>
      <c r="G7" s="159"/>
      <c r="H7" s="160"/>
      <c r="I7" s="1225" t="s">
        <v>2367</v>
      </c>
      <c r="J7" s="159"/>
      <c r="K7" s="159"/>
      <c r="L7" s="191" t="s">
        <v>2368</v>
      </c>
      <c r="M7" s="159"/>
      <c r="N7" s="159"/>
      <c r="O7" s="271"/>
    </row>
    <row r="8" spans="1:24">
      <c r="A8" s="165"/>
      <c r="B8" s="177" t="s">
        <v>2369</v>
      </c>
      <c r="C8" s="159"/>
      <c r="D8" s="177" t="s">
        <v>2370</v>
      </c>
      <c r="E8" s="159"/>
      <c r="G8" s="159"/>
      <c r="H8" s="160"/>
      <c r="I8" s="1225" t="s">
        <v>2371</v>
      </c>
      <c r="J8" s="159"/>
      <c r="K8" s="159"/>
      <c r="L8" s="191" t="s">
        <v>2372</v>
      </c>
      <c r="M8" s="159"/>
      <c r="N8" s="1529"/>
      <c r="O8" s="271"/>
    </row>
    <row r="9" spans="1:24">
      <c r="A9" s="165"/>
      <c r="B9" s="177" t="s">
        <v>2373</v>
      </c>
      <c r="C9" s="159"/>
      <c r="D9" s="177" t="s">
        <v>27</v>
      </c>
      <c r="E9" s="159"/>
      <c r="G9" s="159"/>
      <c r="H9" s="160"/>
      <c r="I9" s="1225" t="s">
        <v>28</v>
      </c>
      <c r="J9" s="159"/>
      <c r="K9" s="159"/>
      <c r="L9" s="191" t="s">
        <v>29</v>
      </c>
      <c r="M9" s="159"/>
      <c r="N9" s="159"/>
      <c r="O9" s="271"/>
    </row>
    <row r="10" spans="1:24">
      <c r="A10" s="165"/>
      <c r="B10" s="177" t="s">
        <v>30</v>
      </c>
      <c r="C10" s="159"/>
      <c r="D10" s="177" t="s">
        <v>56</v>
      </c>
      <c r="E10" s="159"/>
      <c r="G10" s="159"/>
      <c r="H10" s="160"/>
      <c r="I10" s="1225" t="s">
        <v>1701</v>
      </c>
      <c r="J10" s="159"/>
      <c r="K10" s="159"/>
      <c r="L10" s="191"/>
      <c r="M10" s="159"/>
      <c r="N10" s="159"/>
      <c r="O10" s="271"/>
    </row>
    <row r="11" spans="1:24">
      <c r="A11" s="165"/>
      <c r="B11" s="177" t="s">
        <v>1967</v>
      </c>
      <c r="C11" s="159"/>
      <c r="D11" s="177" t="s">
        <v>3227</v>
      </c>
      <c r="E11" s="159"/>
      <c r="G11" s="212"/>
      <c r="H11" s="272"/>
      <c r="I11" s="1225" t="s">
        <v>1675</v>
      </c>
      <c r="J11" s="159"/>
      <c r="K11" s="159"/>
      <c r="L11" s="191"/>
      <c r="M11" s="212"/>
      <c r="N11" s="212"/>
      <c r="O11" s="271"/>
    </row>
    <row r="12" spans="1:24">
      <c r="A12" s="165"/>
      <c r="B12" s="177" t="s">
        <v>1676</v>
      </c>
      <c r="C12" s="159"/>
      <c r="D12" s="177" t="s">
        <v>1677</v>
      </c>
      <c r="E12" s="159"/>
      <c r="G12" s="212"/>
      <c r="H12" s="272"/>
      <c r="I12" s="1225" t="s">
        <v>1678</v>
      </c>
      <c r="J12" s="177"/>
      <c r="K12" s="159"/>
      <c r="L12" s="159"/>
      <c r="M12" s="212"/>
      <c r="N12" s="212"/>
      <c r="O12" s="271"/>
    </row>
    <row r="13" spans="1:24">
      <c r="A13" s="165"/>
      <c r="B13" s="177" t="s">
        <v>1679</v>
      </c>
      <c r="C13" s="159"/>
      <c r="D13" s="177" t="s">
        <v>1680</v>
      </c>
      <c r="E13" s="159"/>
      <c r="G13" s="212"/>
      <c r="H13" s="272"/>
      <c r="I13" s="1225" t="s">
        <v>1681</v>
      </c>
      <c r="J13" s="177"/>
      <c r="K13" s="159"/>
      <c r="L13" s="159"/>
      <c r="M13" s="212"/>
      <c r="N13" s="212"/>
      <c r="O13" s="271"/>
    </row>
    <row r="14" spans="1:24">
      <c r="A14" s="165"/>
      <c r="B14" s="177" t="s">
        <v>1682</v>
      </c>
      <c r="C14" s="159"/>
      <c r="D14" s="177" t="s">
        <v>1683</v>
      </c>
      <c r="E14" s="159"/>
      <c r="G14" s="212"/>
      <c r="H14" s="272"/>
      <c r="I14" s="1225"/>
      <c r="J14" s="159"/>
      <c r="K14" s="159"/>
      <c r="L14" s="159"/>
      <c r="M14" s="212"/>
      <c r="N14" s="212"/>
      <c r="O14" s="271"/>
    </row>
    <row r="15" spans="1:24">
      <c r="A15" s="165"/>
      <c r="B15" s="177" t="s">
        <v>218</v>
      </c>
      <c r="C15" s="159"/>
      <c r="D15" s="177" t="s">
        <v>3618</v>
      </c>
      <c r="E15" s="159"/>
      <c r="G15" s="212"/>
      <c r="H15" s="272"/>
      <c r="I15" s="1225"/>
      <c r="J15" s="159"/>
      <c r="K15" s="159"/>
      <c r="L15" s="159"/>
      <c r="M15" s="212"/>
      <c r="N15" s="212"/>
      <c r="O15" s="271"/>
    </row>
    <row r="16" spans="1:24">
      <c r="A16" s="165"/>
      <c r="B16" s="177" t="s">
        <v>218</v>
      </c>
      <c r="C16" s="159"/>
      <c r="D16" s="177" t="s">
        <v>4309</v>
      </c>
      <c r="E16" s="159"/>
      <c r="G16" s="159"/>
      <c r="H16" s="160"/>
      <c r="I16" s="1225"/>
      <c r="J16" s="159"/>
      <c r="K16" s="159"/>
      <c r="L16" s="159"/>
      <c r="M16" s="159"/>
      <c r="N16" s="159"/>
      <c r="O16" s="271"/>
    </row>
    <row r="17" spans="1:21">
      <c r="A17" s="169"/>
      <c r="B17" s="175"/>
      <c r="C17" s="162"/>
      <c r="D17" s="175"/>
      <c r="E17" s="162"/>
      <c r="F17" s="162"/>
      <c r="G17" s="162"/>
      <c r="H17" s="163"/>
      <c r="I17" s="1226"/>
      <c r="J17" s="162"/>
      <c r="K17" s="162"/>
      <c r="L17" s="162"/>
      <c r="M17" s="162"/>
      <c r="N17" s="162"/>
      <c r="O17" s="271"/>
    </row>
    <row r="18" spans="1:21">
      <c r="A18" s="173"/>
      <c r="B18" s="159"/>
      <c r="C18" s="159"/>
      <c r="D18" s="159"/>
      <c r="E18" s="159"/>
      <c r="F18" s="259" t="s">
        <v>4310</v>
      </c>
      <c r="G18" s="257" t="s">
        <v>4311</v>
      </c>
      <c r="H18" s="274"/>
      <c r="I18" s="161" t="s">
        <v>4312</v>
      </c>
      <c r="J18" s="162"/>
      <c r="K18" s="249" t="s">
        <v>4313</v>
      </c>
      <c r="L18" s="162"/>
      <c r="M18" s="257" t="s">
        <v>4314</v>
      </c>
      <c r="N18" s="275"/>
      <c r="O18" s="276"/>
    </row>
    <row r="19" spans="1:21">
      <c r="A19" s="247" t="s">
        <v>1727</v>
      </c>
      <c r="B19" s="269" t="s">
        <v>4315</v>
      </c>
      <c r="C19" s="159"/>
      <c r="D19" s="159"/>
      <c r="E19" s="159"/>
      <c r="F19" s="259" t="s">
        <v>4316</v>
      </c>
      <c r="G19" s="1002" t="s">
        <v>4317</v>
      </c>
      <c r="H19" s="2188" t="s">
        <v>4318</v>
      </c>
      <c r="I19" s="1008" t="s">
        <v>4317</v>
      </c>
      <c r="J19" s="1598" t="s">
        <v>4318</v>
      </c>
      <c r="K19" s="269" t="s">
        <v>4319</v>
      </c>
      <c r="L19" s="314" t="s">
        <v>4320</v>
      </c>
      <c r="M19" s="999" t="s">
        <v>4317</v>
      </c>
      <c r="N19" s="314" t="s">
        <v>4320</v>
      </c>
      <c r="O19" s="285" t="s">
        <v>1727</v>
      </c>
    </row>
    <row r="20" spans="1:21">
      <c r="A20" s="247" t="s">
        <v>1739</v>
      </c>
      <c r="B20" s="159"/>
      <c r="C20" s="159"/>
      <c r="D20" s="159"/>
      <c r="E20" s="159"/>
      <c r="F20" s="259" t="s">
        <v>1739</v>
      </c>
      <c r="G20" s="260"/>
      <c r="H20" s="261"/>
      <c r="I20" s="1644"/>
      <c r="J20" s="277"/>
      <c r="K20" s="159"/>
      <c r="L20" s="273"/>
      <c r="M20" s="260"/>
      <c r="N20" s="277"/>
      <c r="O20" s="285" t="s">
        <v>1739</v>
      </c>
    </row>
    <row r="21" spans="1:21">
      <c r="A21" s="181"/>
      <c r="B21" s="326" t="s">
        <v>3279</v>
      </c>
      <c r="C21" s="162"/>
      <c r="D21" s="162"/>
      <c r="E21" s="162"/>
      <c r="F21" s="258" t="s">
        <v>3280</v>
      </c>
      <c r="G21" s="1003" t="s">
        <v>3281</v>
      </c>
      <c r="H21" s="1004" t="s">
        <v>3282</v>
      </c>
      <c r="I21" s="2179" t="s">
        <v>721</v>
      </c>
      <c r="J21" s="1006" t="s">
        <v>722</v>
      </c>
      <c r="K21" s="1005" t="s">
        <v>723</v>
      </c>
      <c r="L21" s="1005" t="s">
        <v>335</v>
      </c>
      <c r="M21" s="1003" t="s">
        <v>336</v>
      </c>
      <c r="N21" s="1006" t="s">
        <v>337</v>
      </c>
      <c r="O21" s="176"/>
    </row>
    <row r="22" spans="1:21">
      <c r="A22" s="248">
        <v>1</v>
      </c>
      <c r="B22" s="162" t="s">
        <v>2481</v>
      </c>
      <c r="C22" s="162"/>
      <c r="D22" s="162"/>
      <c r="E22" s="162"/>
      <c r="F22" s="258" t="s">
        <v>2509</v>
      </c>
      <c r="G22" s="278"/>
      <c r="H22" s="279"/>
      <c r="I22" s="1643"/>
      <c r="J22" s="282"/>
      <c r="K22" s="280"/>
      <c r="L22" s="281"/>
      <c r="M22" s="278"/>
      <c r="N22" s="282"/>
      <c r="O22" s="283">
        <v>1</v>
      </c>
    </row>
    <row r="23" spans="1:21">
      <c r="A23" s="248">
        <v>2</v>
      </c>
      <c r="B23" s="1041" t="s">
        <v>2482</v>
      </c>
      <c r="C23" s="162"/>
      <c r="D23" s="162"/>
      <c r="E23" s="162"/>
      <c r="F23" s="258" t="s">
        <v>447</v>
      </c>
      <c r="G23" s="266">
        <f t="shared" ref="G23:H29" si="0">I23+K23+M23</f>
        <v>132529834</v>
      </c>
      <c r="H23" s="1572">
        <f>J23+L23+N23</f>
        <v>125652249</v>
      </c>
      <c r="I23" s="2178">
        <v>132529834</v>
      </c>
      <c r="J23" s="318">
        <v>125652249</v>
      </c>
      <c r="K23" s="1253"/>
      <c r="L23" s="266"/>
      <c r="M23" s="266"/>
      <c r="N23" s="251"/>
      <c r="O23" s="283">
        <v>2</v>
      </c>
      <c r="T23" s="136"/>
      <c r="U23" s="136"/>
    </row>
    <row r="24" spans="1:21">
      <c r="A24" s="248">
        <v>3</v>
      </c>
      <c r="B24" s="1041" t="s">
        <v>1322</v>
      </c>
      <c r="C24" s="162"/>
      <c r="D24" s="162"/>
      <c r="E24" s="162"/>
      <c r="F24" s="258" t="s">
        <v>2509</v>
      </c>
      <c r="G24" s="278"/>
      <c r="H24" s="279"/>
      <c r="I24" s="2228" t="s">
        <v>220</v>
      </c>
      <c r="J24" s="282" t="s">
        <v>220</v>
      </c>
      <c r="K24" s="280"/>
      <c r="L24" s="281"/>
      <c r="M24" s="278"/>
      <c r="N24" s="282"/>
      <c r="O24" s="283">
        <v>3</v>
      </c>
      <c r="T24" s="136"/>
      <c r="U24" s="136"/>
    </row>
    <row r="25" spans="1:21">
      <c r="A25" s="248">
        <v>4</v>
      </c>
      <c r="B25" s="1041" t="s">
        <v>2483</v>
      </c>
      <c r="C25" s="162"/>
      <c r="D25" s="162"/>
      <c r="E25" s="162"/>
      <c r="F25" s="258" t="s">
        <v>460</v>
      </c>
      <c r="G25" s="255">
        <f>I25+K25+M25</f>
        <v>29679213</v>
      </c>
      <c r="H25" s="254">
        <f t="shared" si="0"/>
        <v>28405165</v>
      </c>
      <c r="I25" s="1237">
        <v>29679213</v>
      </c>
      <c r="J25" s="253">
        <v>28405165</v>
      </c>
      <c r="K25" s="323"/>
      <c r="L25" s="255"/>
      <c r="M25" s="255"/>
      <c r="N25" s="253"/>
      <c r="O25" s="283">
        <v>4</v>
      </c>
      <c r="T25" s="136"/>
      <c r="U25" s="136"/>
    </row>
    <row r="26" spans="1:21">
      <c r="A26" s="248">
        <v>5</v>
      </c>
      <c r="B26" s="1041" t="s">
        <v>2484</v>
      </c>
      <c r="C26" s="162"/>
      <c r="D26" s="162"/>
      <c r="E26" s="162"/>
      <c r="F26" s="258" t="s">
        <v>460</v>
      </c>
      <c r="G26" s="255">
        <f>I26+K26+M26</f>
        <v>5977411</v>
      </c>
      <c r="H26" s="254">
        <f t="shared" si="0"/>
        <v>8167732.3599999994</v>
      </c>
      <c r="I26" s="1237">
        <v>5977411</v>
      </c>
      <c r="J26" s="253">
        <v>8167732.3599999994</v>
      </c>
      <c r="K26" s="323"/>
      <c r="L26" s="255"/>
      <c r="M26" s="255"/>
      <c r="N26" s="253"/>
      <c r="O26" s="283">
        <v>5</v>
      </c>
      <c r="T26" s="136"/>
      <c r="U26" s="136"/>
    </row>
    <row r="27" spans="1:21">
      <c r="A27" s="248">
        <v>6</v>
      </c>
      <c r="B27" s="1041" t="s">
        <v>2485</v>
      </c>
      <c r="C27" s="162"/>
      <c r="D27" s="162"/>
      <c r="E27" s="162"/>
      <c r="F27" s="258" t="s">
        <v>3419</v>
      </c>
      <c r="G27" s="255">
        <f t="shared" si="0"/>
        <v>16131998</v>
      </c>
      <c r="H27" s="254">
        <f t="shared" si="0"/>
        <v>15086326</v>
      </c>
      <c r="I27" s="1237">
        <v>16131998</v>
      </c>
      <c r="J27" s="253">
        <v>15086326</v>
      </c>
      <c r="K27" s="323"/>
      <c r="L27" s="255"/>
      <c r="M27" s="255"/>
      <c r="N27" s="253"/>
      <c r="O27" s="283">
        <v>6</v>
      </c>
      <c r="T27" s="136"/>
      <c r="U27" s="136"/>
    </row>
    <row r="28" spans="1:21">
      <c r="A28" s="248">
        <v>7</v>
      </c>
      <c r="B28" s="1041" t="s">
        <v>704</v>
      </c>
      <c r="C28" s="162"/>
      <c r="D28" s="162"/>
      <c r="E28" s="162"/>
      <c r="F28" s="258" t="s">
        <v>3419</v>
      </c>
      <c r="G28" s="255">
        <f t="shared" si="0"/>
        <v>39782</v>
      </c>
      <c r="H28" s="254">
        <f t="shared" si="0"/>
        <v>40536</v>
      </c>
      <c r="I28" s="1237">
        <v>39782</v>
      </c>
      <c r="J28" s="253">
        <v>40536</v>
      </c>
      <c r="K28" s="284"/>
      <c r="L28" s="255"/>
      <c r="M28" s="255"/>
      <c r="N28" s="253"/>
      <c r="O28" s="283">
        <v>7</v>
      </c>
      <c r="T28" s="136"/>
      <c r="U28" s="136"/>
    </row>
    <row r="29" spans="1:21">
      <c r="A29" s="248">
        <v>8</v>
      </c>
      <c r="B29" s="1041" t="s">
        <v>705</v>
      </c>
      <c r="C29" s="162"/>
      <c r="D29" s="162"/>
      <c r="E29" s="162"/>
      <c r="F29" s="258" t="s">
        <v>3419</v>
      </c>
      <c r="G29" s="255">
        <f t="shared" si="0"/>
        <v>3584534</v>
      </c>
      <c r="H29" s="254">
        <f t="shared" si="0"/>
        <v>3575878</v>
      </c>
      <c r="I29" s="1237">
        <v>3584534</v>
      </c>
      <c r="J29" s="253">
        <v>3575878</v>
      </c>
      <c r="K29" s="284"/>
      <c r="L29" s="255"/>
      <c r="M29" s="255"/>
      <c r="N29" s="253"/>
      <c r="O29" s="283">
        <v>8</v>
      </c>
      <c r="T29" s="136"/>
      <c r="U29" s="136"/>
    </row>
    <row r="30" spans="1:21">
      <c r="A30" s="247">
        <v>9</v>
      </c>
      <c r="B30" s="191" t="s">
        <v>706</v>
      </c>
      <c r="C30" s="159"/>
      <c r="D30" s="159"/>
      <c r="E30" s="159"/>
      <c r="F30" s="273"/>
      <c r="G30" s="260"/>
      <c r="H30" s="261"/>
      <c r="I30" s="2229"/>
      <c r="J30" s="277"/>
      <c r="K30" s="212"/>
      <c r="L30" s="260"/>
      <c r="M30" s="260"/>
      <c r="N30" s="277"/>
      <c r="O30" s="285">
        <v>9</v>
      </c>
      <c r="T30" s="136"/>
      <c r="U30" s="136"/>
    </row>
    <row r="31" spans="1:21">
      <c r="A31" s="248"/>
      <c r="B31" s="1041" t="s">
        <v>707</v>
      </c>
      <c r="C31" s="162"/>
      <c r="D31" s="162"/>
      <c r="E31" s="162"/>
      <c r="F31" s="258" t="s">
        <v>2509</v>
      </c>
      <c r="G31" s="255">
        <f t="shared" ref="G31:H43" si="1">I31+K31+M31</f>
        <v>0</v>
      </c>
      <c r="H31" s="254">
        <f>J31+L31+N31</f>
        <v>0</v>
      </c>
      <c r="I31" s="1237"/>
      <c r="J31" s="253"/>
      <c r="K31" s="284"/>
      <c r="L31" s="255"/>
      <c r="M31" s="255"/>
      <c r="N31" s="253"/>
      <c r="O31" s="283"/>
      <c r="T31" s="136"/>
      <c r="U31" s="136"/>
    </row>
    <row r="32" spans="1:21">
      <c r="A32" s="248">
        <v>10</v>
      </c>
      <c r="B32" s="1041" t="s">
        <v>708</v>
      </c>
      <c r="C32" s="162"/>
      <c r="D32" s="162"/>
      <c r="E32" s="162"/>
      <c r="F32" s="258" t="s">
        <v>2509</v>
      </c>
      <c r="G32" s="255">
        <f t="shared" si="1"/>
        <v>0</v>
      </c>
      <c r="H32" s="254">
        <v>0</v>
      </c>
      <c r="I32" s="1645"/>
      <c r="J32" s="253"/>
      <c r="K32" s="284"/>
      <c r="L32" s="255"/>
      <c r="M32" s="255"/>
      <c r="N32" s="253"/>
      <c r="O32" s="283">
        <v>10</v>
      </c>
      <c r="T32" s="136"/>
      <c r="U32" s="136"/>
    </row>
    <row r="33" spans="1:21">
      <c r="A33" s="248">
        <v>11</v>
      </c>
      <c r="B33" s="1041" t="s">
        <v>1050</v>
      </c>
      <c r="C33" s="162"/>
      <c r="D33" s="162"/>
      <c r="E33" s="162"/>
      <c r="F33" s="258" t="s">
        <v>2509</v>
      </c>
      <c r="G33" s="286">
        <f t="shared" si="1"/>
        <v>0</v>
      </c>
      <c r="H33" s="1528">
        <f>J33+L33+N33</f>
        <v>0</v>
      </c>
      <c r="I33" s="2230"/>
      <c r="J33" s="289" t="s">
        <v>218</v>
      </c>
      <c r="K33" s="1597"/>
      <c r="L33" s="288"/>
      <c r="M33" s="286"/>
      <c r="N33" s="289"/>
      <c r="O33" s="283">
        <v>11</v>
      </c>
      <c r="T33" s="136"/>
      <c r="U33" s="136"/>
    </row>
    <row r="34" spans="1:21">
      <c r="A34" s="248">
        <v>12</v>
      </c>
      <c r="B34" s="1041" t="s">
        <v>1051</v>
      </c>
      <c r="C34" s="162"/>
      <c r="D34" s="162"/>
      <c r="E34" s="162"/>
      <c r="F34" s="258" t="s">
        <v>2509</v>
      </c>
      <c r="G34" s="286">
        <f t="shared" si="1"/>
        <v>0</v>
      </c>
      <c r="H34" s="1528">
        <f>J34+L34+N34</f>
        <v>0</v>
      </c>
      <c r="I34" s="2230"/>
      <c r="J34" s="289"/>
      <c r="K34" s="287"/>
      <c r="L34" s="288"/>
      <c r="M34" s="286"/>
      <c r="N34" s="289"/>
      <c r="O34" s="283">
        <v>12</v>
      </c>
      <c r="T34" s="136"/>
      <c r="U34" s="136"/>
    </row>
    <row r="35" spans="1:21">
      <c r="A35" s="248">
        <v>13</v>
      </c>
      <c r="B35" s="1041" t="s">
        <v>4144</v>
      </c>
      <c r="C35" s="162"/>
      <c r="D35" s="162"/>
      <c r="E35" s="162"/>
      <c r="F35" s="258" t="s">
        <v>3044</v>
      </c>
      <c r="G35" s="255">
        <f>I35+K35+M35</f>
        <v>35740410</v>
      </c>
      <c r="H35" s="1573">
        <f t="shared" si="1"/>
        <v>30911990</v>
      </c>
      <c r="I35" s="2247">
        <v>35740410</v>
      </c>
      <c r="J35" s="1228">
        <v>30911990</v>
      </c>
      <c r="K35" s="323"/>
      <c r="L35" s="255"/>
      <c r="M35" s="255"/>
      <c r="N35" s="253"/>
      <c r="O35" s="283">
        <v>13</v>
      </c>
      <c r="T35" s="136"/>
      <c r="U35" s="136"/>
    </row>
    <row r="36" spans="1:21">
      <c r="A36" s="248">
        <v>14</v>
      </c>
      <c r="B36" s="1041" t="s">
        <v>242</v>
      </c>
      <c r="C36" s="162"/>
      <c r="D36" s="162"/>
      <c r="E36" s="162"/>
      <c r="F36" s="258" t="s">
        <v>3044</v>
      </c>
      <c r="G36" s="255">
        <f>I36+K36+M36</f>
        <v>2668910</v>
      </c>
      <c r="H36" s="254">
        <f t="shared" si="1"/>
        <v>4881136</v>
      </c>
      <c r="I36" s="1237">
        <v>2668910</v>
      </c>
      <c r="J36" s="253">
        <v>4881136</v>
      </c>
      <c r="K36" s="323"/>
      <c r="L36" s="255"/>
      <c r="M36" s="255"/>
      <c r="N36" s="253"/>
      <c r="O36" s="283">
        <v>14</v>
      </c>
      <c r="T36" s="136"/>
      <c r="U36" s="136"/>
    </row>
    <row r="37" spans="1:21">
      <c r="A37" s="248">
        <v>15</v>
      </c>
      <c r="B37" s="1041" t="s">
        <v>2852</v>
      </c>
      <c r="C37" s="162"/>
      <c r="D37" s="162"/>
      <c r="E37" s="162"/>
      <c r="F37" s="258" t="s">
        <v>3044</v>
      </c>
      <c r="G37" s="255">
        <f>I37+K37+M37</f>
        <v>1921521</v>
      </c>
      <c r="H37" s="254">
        <f t="shared" si="1"/>
        <v>-228562</v>
      </c>
      <c r="I37" s="1237">
        <v>1921521</v>
      </c>
      <c r="J37" s="253">
        <v>-228562</v>
      </c>
      <c r="K37" s="284"/>
      <c r="L37" s="255"/>
      <c r="M37" s="255"/>
      <c r="N37" s="253"/>
      <c r="O37" s="283">
        <v>15</v>
      </c>
      <c r="T37" s="136"/>
      <c r="U37" s="136"/>
    </row>
    <row r="38" spans="1:21">
      <c r="A38" s="248">
        <v>16</v>
      </c>
      <c r="B38" s="1041" t="s">
        <v>2853</v>
      </c>
      <c r="C38" s="162"/>
      <c r="D38" s="162"/>
      <c r="E38" s="162"/>
      <c r="F38" s="258" t="s">
        <v>2509</v>
      </c>
      <c r="G38" s="255">
        <f>I38+K38+M38</f>
        <v>4304979</v>
      </c>
      <c r="H38" s="254">
        <f t="shared" si="1"/>
        <v>-2141348</v>
      </c>
      <c r="I38" s="1237">
        <v>4304979</v>
      </c>
      <c r="J38" s="253">
        <v>-2141348</v>
      </c>
      <c r="K38" s="323"/>
      <c r="L38" s="255"/>
      <c r="M38" s="255"/>
      <c r="N38" s="253"/>
      <c r="O38" s="283">
        <v>16</v>
      </c>
      <c r="T38" s="136"/>
      <c r="U38" s="136"/>
    </row>
    <row r="39" spans="1:21">
      <c r="A39" s="248">
        <v>17</v>
      </c>
      <c r="B39" s="1041" t="s">
        <v>2854</v>
      </c>
      <c r="C39" s="162"/>
      <c r="D39" s="162"/>
      <c r="E39" s="162"/>
      <c r="F39" s="258" t="s">
        <v>2509</v>
      </c>
      <c r="G39" s="255">
        <f t="shared" si="1"/>
        <v>0</v>
      </c>
      <c r="H39" s="254">
        <f t="shared" si="1"/>
        <v>0</v>
      </c>
      <c r="I39" s="1237"/>
      <c r="J39" s="253"/>
      <c r="K39" s="284"/>
      <c r="L39" s="255"/>
      <c r="M39" s="255"/>
      <c r="N39" s="253"/>
      <c r="O39" s="283">
        <v>17</v>
      </c>
      <c r="T39" s="136"/>
      <c r="U39" s="136"/>
    </row>
    <row r="40" spans="1:21">
      <c r="A40" s="248">
        <v>18</v>
      </c>
      <c r="B40" s="1041" t="s">
        <v>2855</v>
      </c>
      <c r="C40" s="162"/>
      <c r="D40" s="162"/>
      <c r="E40" s="162"/>
      <c r="F40" s="258" t="s">
        <v>2509</v>
      </c>
      <c r="G40" s="255">
        <f t="shared" si="1"/>
        <v>-27012</v>
      </c>
      <c r="H40" s="254">
        <f t="shared" si="1"/>
        <v>-27012</v>
      </c>
      <c r="I40" s="1237">
        <v>-27012</v>
      </c>
      <c r="J40" s="253">
        <v>-27012</v>
      </c>
      <c r="K40" s="284"/>
      <c r="L40" s="255"/>
      <c r="M40" s="255"/>
      <c r="N40" s="253"/>
      <c r="O40" s="283">
        <v>18</v>
      </c>
      <c r="T40" s="136"/>
      <c r="U40" s="136"/>
    </row>
    <row r="41" spans="1:21">
      <c r="A41" s="248">
        <v>19</v>
      </c>
      <c r="B41" s="1041" t="s">
        <v>2856</v>
      </c>
      <c r="C41" s="162"/>
      <c r="D41" s="162"/>
      <c r="E41" s="162"/>
      <c r="F41" s="258" t="s">
        <v>2509</v>
      </c>
      <c r="G41" s="1228">
        <f t="shared" si="1"/>
        <v>0</v>
      </c>
      <c r="H41" s="1573">
        <f t="shared" si="1"/>
        <v>0</v>
      </c>
      <c r="I41" s="2178"/>
      <c r="J41" s="1228"/>
      <c r="K41" s="284"/>
      <c r="L41" s="255"/>
      <c r="M41" s="255"/>
      <c r="N41" s="253"/>
      <c r="O41" s="283">
        <v>19</v>
      </c>
      <c r="T41" s="136"/>
      <c r="U41" s="136"/>
    </row>
    <row r="42" spans="1:21">
      <c r="A42" s="248">
        <v>20</v>
      </c>
      <c r="B42" s="1041" t="s">
        <v>4135</v>
      </c>
      <c r="C42" s="162"/>
      <c r="D42" s="162"/>
      <c r="E42" s="162"/>
      <c r="F42" s="258" t="s">
        <v>2509</v>
      </c>
      <c r="G42" s="278">
        <f t="shared" si="1"/>
        <v>0</v>
      </c>
      <c r="H42" s="1533">
        <f>J42+L42+N42</f>
        <v>0</v>
      </c>
      <c r="I42" s="2231"/>
      <c r="J42" s="1599"/>
      <c r="K42" s="280"/>
      <c r="L42" s="281"/>
      <c r="M42" s="278"/>
      <c r="N42" s="282"/>
      <c r="O42" s="283">
        <v>20</v>
      </c>
      <c r="T42" s="136"/>
      <c r="U42" s="136"/>
    </row>
    <row r="43" spans="1:21">
      <c r="A43" s="248">
        <v>21</v>
      </c>
      <c r="B43" s="1041" t="s">
        <v>4136</v>
      </c>
      <c r="C43" s="162"/>
      <c r="D43" s="162"/>
      <c r="E43" s="162"/>
      <c r="F43" s="258" t="s">
        <v>2509</v>
      </c>
      <c r="G43" s="278">
        <f t="shared" si="1"/>
        <v>0</v>
      </c>
      <c r="H43" s="279">
        <f>J43+L43+N43</f>
        <v>0</v>
      </c>
      <c r="I43" s="2228"/>
      <c r="J43" s="282"/>
      <c r="K43" s="280"/>
      <c r="L43" s="281"/>
      <c r="M43" s="278"/>
      <c r="N43" s="282"/>
      <c r="O43" s="283">
        <v>21</v>
      </c>
      <c r="T43" s="136"/>
      <c r="U43" s="136"/>
    </row>
    <row r="44" spans="1:21">
      <c r="A44" s="248">
        <v>22</v>
      </c>
      <c r="B44" s="1041" t="s">
        <v>4137</v>
      </c>
      <c r="C44" s="162"/>
      <c r="D44" s="162"/>
      <c r="E44" s="162"/>
      <c r="F44" s="258" t="s">
        <v>2509</v>
      </c>
      <c r="G44" s="255">
        <f>SUM(G25:G33)-G34+SUM(G35:G38)-G39+G40+G41-G42+G43</f>
        <v>100021746</v>
      </c>
      <c r="H44" s="254">
        <f t="shared" ref="H44:N44" si="2">SUM(H25:H33)-H34+SUM(H35:H38)-H39+H40+H41-H42+H43</f>
        <v>88671841.359999999</v>
      </c>
      <c r="I44" s="1645">
        <f t="shared" si="2"/>
        <v>100021746</v>
      </c>
      <c r="J44" s="253">
        <f t="shared" si="2"/>
        <v>88671841.359999999</v>
      </c>
      <c r="K44" s="323">
        <f t="shared" si="2"/>
        <v>0</v>
      </c>
      <c r="L44" s="255">
        <f t="shared" si="2"/>
        <v>0</v>
      </c>
      <c r="M44" s="255">
        <f t="shared" si="2"/>
        <v>0</v>
      </c>
      <c r="N44" s="255">
        <f t="shared" si="2"/>
        <v>0</v>
      </c>
      <c r="O44" s="283">
        <v>22</v>
      </c>
      <c r="T44" s="136"/>
      <c r="U44" s="136"/>
    </row>
    <row r="45" spans="1:21">
      <c r="A45" s="247">
        <v>23</v>
      </c>
      <c r="B45" s="191" t="s">
        <v>2618</v>
      </c>
      <c r="C45" s="159"/>
      <c r="D45" s="159"/>
      <c r="E45" s="159"/>
      <c r="F45" s="259"/>
      <c r="G45" s="260"/>
      <c r="H45" s="261"/>
      <c r="I45" s="2229"/>
      <c r="J45" s="277"/>
      <c r="K45" s="159"/>
      <c r="L45" s="273"/>
      <c r="M45" s="260"/>
      <c r="N45" s="277"/>
      <c r="O45" s="285">
        <v>23</v>
      </c>
      <c r="T45" s="136"/>
      <c r="U45" s="136"/>
    </row>
    <row r="46" spans="1:21">
      <c r="A46" s="248"/>
      <c r="B46" s="1041" t="s">
        <v>2645</v>
      </c>
      <c r="C46" s="162"/>
      <c r="D46" s="162"/>
      <c r="E46" s="162"/>
      <c r="F46" s="258" t="s">
        <v>2509</v>
      </c>
      <c r="G46" s="266">
        <f>G23-G44</f>
        <v>32508088</v>
      </c>
      <c r="H46" s="252">
        <f t="shared" ref="H46:N46" si="3">H23-H44</f>
        <v>36980407.640000001</v>
      </c>
      <c r="I46" s="1645">
        <f t="shared" si="3"/>
        <v>32508088</v>
      </c>
      <c r="J46" s="251">
        <f>J23-J44</f>
        <v>36980407.640000001</v>
      </c>
      <c r="K46" s="1253">
        <f t="shared" si="3"/>
        <v>0</v>
      </c>
      <c r="L46" s="266">
        <f t="shared" si="3"/>
        <v>0</v>
      </c>
      <c r="M46" s="266">
        <f t="shared" si="3"/>
        <v>0</v>
      </c>
      <c r="N46" s="266">
        <f t="shared" si="3"/>
        <v>0</v>
      </c>
      <c r="O46" s="186"/>
      <c r="T46" s="136"/>
      <c r="U46" s="136"/>
    </row>
    <row r="47" spans="1:21">
      <c r="A47" s="165"/>
      <c r="B47" s="177"/>
      <c r="C47" s="159"/>
      <c r="D47" s="159"/>
      <c r="E47" s="159"/>
      <c r="F47" s="177"/>
      <c r="G47" s="206"/>
      <c r="H47" s="207"/>
      <c r="I47" s="1587"/>
      <c r="J47" s="1563"/>
      <c r="K47" s="159"/>
      <c r="L47" s="177"/>
      <c r="M47" s="206"/>
      <c r="N47" s="206"/>
      <c r="O47" s="271"/>
    </row>
    <row r="48" spans="1:21">
      <c r="A48" s="165"/>
      <c r="B48" s="177"/>
      <c r="C48" s="159"/>
      <c r="D48" s="159"/>
      <c r="E48" s="159"/>
      <c r="F48" s="177"/>
      <c r="G48" s="177"/>
      <c r="H48" s="207"/>
      <c r="I48" s="1586"/>
      <c r="J48" s="1563"/>
      <c r="K48" s="159"/>
      <c r="L48" s="177"/>
      <c r="M48" s="206"/>
      <c r="N48" s="206"/>
      <c r="O48" s="271"/>
    </row>
    <row r="49" spans="1:15">
      <c r="A49" s="165"/>
      <c r="B49" s="177"/>
      <c r="C49" s="159"/>
      <c r="D49" s="159"/>
      <c r="E49" s="159"/>
      <c r="F49" s="177"/>
      <c r="G49" s="1523"/>
      <c r="H49" s="1935"/>
      <c r="I49" s="2716"/>
      <c r="J49" s="1523"/>
      <c r="K49" s="159"/>
      <c r="L49" s="177"/>
      <c r="M49" s="206"/>
      <c r="N49" s="206"/>
      <c r="O49" s="271"/>
    </row>
    <row r="50" spans="1:15">
      <c r="A50" s="165"/>
      <c r="B50" s="177"/>
      <c r="C50" s="159"/>
      <c r="D50" s="159"/>
      <c r="E50" s="159"/>
      <c r="F50" s="177"/>
      <c r="G50" s="206"/>
      <c r="H50" s="207"/>
      <c r="I50" s="165"/>
      <c r="J50" s="177"/>
      <c r="K50" s="159"/>
      <c r="L50" s="177"/>
      <c r="M50" s="206"/>
      <c r="N50" s="206"/>
      <c r="O50" s="271"/>
    </row>
    <row r="51" spans="1:15">
      <c r="A51" s="165"/>
      <c r="B51" s="177"/>
      <c r="C51" s="159"/>
      <c r="D51" s="159"/>
      <c r="E51" s="159"/>
      <c r="F51" s="177"/>
      <c r="G51" s="206"/>
      <c r="H51" s="207"/>
      <c r="I51" s="165"/>
      <c r="J51" s="177"/>
      <c r="K51" s="159"/>
      <c r="L51" s="177"/>
      <c r="M51" s="206"/>
      <c r="N51" s="206"/>
      <c r="O51" s="271"/>
    </row>
    <row r="52" spans="1:15">
      <c r="A52" s="165"/>
      <c r="B52" s="177"/>
      <c r="C52" s="159"/>
      <c r="D52" s="159"/>
      <c r="E52" s="159"/>
      <c r="F52" s="177"/>
      <c r="G52" s="206"/>
      <c r="H52" s="207"/>
      <c r="I52" s="165"/>
      <c r="J52" s="177"/>
      <c r="K52" s="159"/>
      <c r="L52" s="177"/>
      <c r="M52" s="206"/>
      <c r="N52" s="206"/>
      <c r="O52" s="271"/>
    </row>
    <row r="53" spans="1:15">
      <c r="A53" s="165"/>
      <c r="B53" s="177"/>
      <c r="C53" s="159"/>
      <c r="D53" s="159"/>
      <c r="E53" s="159"/>
      <c r="F53" s="177"/>
      <c r="G53" s="206"/>
      <c r="H53" s="207"/>
      <c r="I53" s="165"/>
      <c r="J53" s="177"/>
      <c r="K53" s="159"/>
      <c r="L53" s="177"/>
      <c r="M53" s="206"/>
      <c r="N53" s="206"/>
      <c r="O53" s="271"/>
    </row>
    <row r="54" spans="1:15">
      <c r="A54" s="165"/>
      <c r="B54" s="177"/>
      <c r="C54" s="159"/>
      <c r="D54" s="159"/>
      <c r="E54" s="159"/>
      <c r="F54" s="177"/>
      <c r="G54" s="206"/>
      <c r="H54" s="207"/>
      <c r="I54" s="165"/>
      <c r="J54" s="177"/>
      <c r="K54" s="159"/>
      <c r="L54" s="177"/>
      <c r="M54" s="206"/>
      <c r="N54" s="206"/>
      <c r="O54" s="271"/>
    </row>
    <row r="55" spans="1:15">
      <c r="A55" s="165"/>
      <c r="B55" s="177"/>
      <c r="C55" s="159"/>
      <c r="D55" s="159"/>
      <c r="E55" s="159"/>
      <c r="F55" s="177"/>
      <c r="G55" s="206"/>
      <c r="H55" s="207"/>
      <c r="I55" s="165"/>
      <c r="J55" s="177"/>
      <c r="K55" s="159"/>
      <c r="L55" s="177"/>
      <c r="M55" s="206"/>
      <c r="N55" s="206"/>
      <c r="O55" s="271"/>
    </row>
    <row r="56" spans="1:15">
      <c r="A56" s="165"/>
      <c r="B56" s="177"/>
      <c r="C56" s="159"/>
      <c r="D56" s="159"/>
      <c r="E56" s="159"/>
      <c r="F56" s="177"/>
      <c r="G56" s="206"/>
      <c r="H56" s="207"/>
      <c r="I56" s="165"/>
      <c r="J56" s="177"/>
      <c r="K56" s="159"/>
      <c r="L56" s="177"/>
      <c r="M56" s="206"/>
      <c r="N56" s="206"/>
      <c r="O56" s="271"/>
    </row>
    <row r="57" spans="1:15" ht="15.75" thickBot="1">
      <c r="A57" s="208"/>
      <c r="B57" s="196"/>
      <c r="C57" s="209"/>
      <c r="D57" s="209"/>
      <c r="E57" s="209"/>
      <c r="F57" s="196"/>
      <c r="G57" s="210"/>
      <c r="H57" s="211"/>
      <c r="I57" s="1588"/>
      <c r="J57" s="196"/>
      <c r="K57" s="1589"/>
      <c r="L57" s="196"/>
      <c r="M57" s="210"/>
      <c r="N57" s="210"/>
      <c r="O57" s="290"/>
    </row>
    <row r="58" spans="1:15">
      <c r="A58" s="177" t="s">
        <v>2024</v>
      </c>
      <c r="B58" s="177"/>
      <c r="C58" s="159"/>
      <c r="D58" s="159"/>
      <c r="E58" s="159"/>
      <c r="F58" s="177"/>
      <c r="G58" s="206"/>
      <c r="H58" s="206"/>
      <c r="I58" s="177"/>
      <c r="J58" s="177"/>
      <c r="K58" s="159"/>
      <c r="L58" s="177"/>
      <c r="M58" s="206"/>
      <c r="N58" s="177" t="s">
        <v>2024</v>
      </c>
      <c r="O58" s="177"/>
    </row>
    <row r="59" spans="1:15">
      <c r="A59" s="159" t="s">
        <v>2646</v>
      </c>
      <c r="B59" s="159"/>
      <c r="C59" s="4"/>
      <c r="D59" s="4"/>
      <c r="E59" s="159"/>
      <c r="F59" s="159"/>
      <c r="G59" s="212"/>
      <c r="H59" s="4"/>
      <c r="I59" s="212" t="s">
        <v>2647</v>
      </c>
      <c r="J59" s="159"/>
      <c r="K59" s="159"/>
      <c r="L59" s="159"/>
      <c r="M59" s="212"/>
      <c r="N59" s="212"/>
      <c r="O59" s="159"/>
    </row>
    <row r="60" spans="1:15" ht="15.75" thickBot="1">
      <c r="A60" s="177" t="str">
        <f>'Data sheet'!A61</f>
        <v>Annual Report of Veolia Water New York, Inc.                                                                       Year Ended  December 31, 2023</v>
      </c>
      <c r="B60" s="159"/>
      <c r="C60" s="4"/>
      <c r="D60" s="4"/>
      <c r="E60" s="159"/>
      <c r="F60" s="159"/>
      <c r="G60" s="212"/>
      <c r="H60" s="4"/>
      <c r="I60" s="206" t="str">
        <f>'Data sheet'!A61</f>
        <v>Annual Report of Veolia Water New York, Inc.                                                                       Year Ended  December 31, 2023</v>
      </c>
      <c r="J60" s="159"/>
      <c r="K60" s="159"/>
      <c r="L60" s="159"/>
      <c r="M60" s="212"/>
      <c r="N60" s="212"/>
      <c r="O60" s="159"/>
    </row>
    <row r="61" spans="1:15">
      <c r="A61" s="155"/>
      <c r="B61" s="156"/>
      <c r="C61" s="156"/>
      <c r="D61" s="156"/>
      <c r="E61" s="156"/>
      <c r="F61" s="156"/>
      <c r="G61" s="156"/>
      <c r="H61" s="157"/>
      <c r="I61" s="155"/>
      <c r="J61" s="156"/>
      <c r="K61" s="291"/>
      <c r="L61" s="156"/>
      <c r="M61" s="292"/>
      <c r="N61" s="292"/>
      <c r="O61" s="157"/>
    </row>
    <row r="62" spans="1:15" ht="15.75">
      <c r="A62" s="158" t="s">
        <v>2242</v>
      </c>
      <c r="B62" s="159"/>
      <c r="C62" s="159"/>
      <c r="D62" s="159"/>
      <c r="E62" s="159"/>
      <c r="F62" s="159"/>
      <c r="G62" s="159"/>
      <c r="H62" s="160"/>
      <c r="I62" s="83"/>
      <c r="K62" s="177"/>
      <c r="L62" s="177"/>
      <c r="M62" s="206"/>
      <c r="N62" s="206"/>
      <c r="O62" s="271"/>
    </row>
    <row r="63" spans="1:15">
      <c r="A63" s="169"/>
      <c r="B63" s="175"/>
      <c r="C63" s="175"/>
      <c r="D63" s="175"/>
      <c r="E63" s="175"/>
      <c r="F63" s="175"/>
      <c r="G63" s="128"/>
      <c r="H63" s="225"/>
      <c r="I63" s="165"/>
      <c r="J63" s="177"/>
      <c r="K63" s="177"/>
      <c r="L63" s="177"/>
      <c r="M63" s="206"/>
      <c r="N63" s="206"/>
      <c r="O63" s="271"/>
    </row>
    <row r="64" spans="1:15">
      <c r="A64" s="173"/>
      <c r="B64" s="177"/>
      <c r="C64" s="177"/>
      <c r="D64" s="177"/>
      <c r="E64" s="177"/>
      <c r="F64" s="259" t="s">
        <v>2648</v>
      </c>
      <c r="G64" s="249" t="s">
        <v>4311</v>
      </c>
      <c r="H64" s="1596"/>
      <c r="I64" s="83"/>
      <c r="O64" s="214"/>
    </row>
    <row r="65" spans="1:15">
      <c r="A65" s="173" t="s">
        <v>1727</v>
      </c>
      <c r="B65" s="269" t="s">
        <v>2649</v>
      </c>
      <c r="C65" s="177"/>
      <c r="D65" s="177"/>
      <c r="E65" s="177"/>
      <c r="F65" s="259" t="s">
        <v>3276</v>
      </c>
      <c r="G65" s="2190" t="s">
        <v>4317</v>
      </c>
      <c r="H65" s="2189" t="s">
        <v>4320</v>
      </c>
      <c r="I65" s="83"/>
      <c r="O65" s="214"/>
    </row>
    <row r="66" spans="1:15">
      <c r="A66" s="181" t="s">
        <v>1739</v>
      </c>
      <c r="B66" s="162" t="s">
        <v>1628</v>
      </c>
      <c r="C66" s="162"/>
      <c r="D66" s="162"/>
      <c r="E66" s="162"/>
      <c r="F66" s="249" t="s">
        <v>3280</v>
      </c>
      <c r="G66" s="2191" t="s">
        <v>3281</v>
      </c>
      <c r="H66" s="183" t="s">
        <v>3282</v>
      </c>
      <c r="I66" s="83"/>
      <c r="O66" s="214"/>
    </row>
    <row r="67" spans="1:15">
      <c r="A67" s="248">
        <v>24</v>
      </c>
      <c r="B67" s="1041" t="s">
        <v>2650</v>
      </c>
      <c r="C67" s="162"/>
      <c r="D67" s="162"/>
      <c r="E67" s="162"/>
      <c r="F67" s="249" t="s">
        <v>2509</v>
      </c>
      <c r="G67" s="2226">
        <f>G46</f>
        <v>32508088</v>
      </c>
      <c r="H67" s="2030">
        <f>H46</f>
        <v>36980407.640000001</v>
      </c>
      <c r="I67" s="83"/>
      <c r="O67" s="214"/>
    </row>
    <row r="68" spans="1:15">
      <c r="A68" s="248">
        <v>25</v>
      </c>
      <c r="B68" s="1041" t="s">
        <v>1323</v>
      </c>
      <c r="C68" s="175"/>
      <c r="D68" s="175"/>
      <c r="E68" s="175"/>
      <c r="F68" s="258" t="s">
        <v>2509</v>
      </c>
      <c r="G68" s="2379"/>
      <c r="H68" s="2381"/>
      <c r="I68" s="83"/>
      <c r="O68" s="214"/>
    </row>
    <row r="69" spans="1:15">
      <c r="A69" s="248">
        <v>26</v>
      </c>
      <c r="B69" s="1041" t="s">
        <v>2651</v>
      </c>
      <c r="C69" s="162"/>
      <c r="D69" s="162"/>
      <c r="E69" s="162"/>
      <c r="F69" s="258" t="s">
        <v>2509</v>
      </c>
      <c r="G69" s="2379"/>
      <c r="H69" s="279"/>
      <c r="I69" s="83"/>
      <c r="O69" s="214"/>
    </row>
    <row r="70" spans="1:15">
      <c r="A70" s="248">
        <v>27</v>
      </c>
      <c r="B70" s="1041" t="s">
        <v>3798</v>
      </c>
      <c r="C70" s="162"/>
      <c r="D70" s="162"/>
      <c r="E70" s="162"/>
      <c r="F70" s="258" t="s">
        <v>2509</v>
      </c>
      <c r="G70" s="2379"/>
      <c r="H70" s="1530"/>
      <c r="I70" s="83"/>
      <c r="O70" s="214"/>
    </row>
    <row r="71" spans="1:15">
      <c r="A71" s="248">
        <v>28</v>
      </c>
      <c r="B71" s="1041" t="s">
        <v>801</v>
      </c>
      <c r="C71" s="162"/>
      <c r="D71" s="162"/>
      <c r="E71" s="162"/>
      <c r="F71" s="258" t="s">
        <v>2517</v>
      </c>
      <c r="G71" s="255"/>
      <c r="H71" s="254">
        <v>-6219</v>
      </c>
      <c r="I71" s="83"/>
      <c r="O71" s="214"/>
    </row>
    <row r="72" spans="1:15">
      <c r="A72" s="248">
        <v>29</v>
      </c>
      <c r="B72" s="1041" t="s">
        <v>802</v>
      </c>
      <c r="C72" s="162"/>
      <c r="D72" s="162"/>
      <c r="E72" s="162"/>
      <c r="F72" s="258" t="s">
        <v>2517</v>
      </c>
      <c r="G72" s="255"/>
      <c r="H72" s="254"/>
      <c r="I72" s="83"/>
      <c r="O72" s="214"/>
    </row>
    <row r="73" spans="1:15">
      <c r="A73" s="248">
        <v>30</v>
      </c>
      <c r="B73" s="1041" t="s">
        <v>803</v>
      </c>
      <c r="C73" s="162"/>
      <c r="D73" s="162"/>
      <c r="E73" s="162"/>
      <c r="F73" s="258" t="s">
        <v>2520</v>
      </c>
      <c r="G73" s="255"/>
      <c r="H73" s="254"/>
      <c r="I73" s="83"/>
      <c r="O73" s="214"/>
    </row>
    <row r="74" spans="1:15">
      <c r="A74" s="248">
        <v>31</v>
      </c>
      <c r="B74" s="1041" t="s">
        <v>2773</v>
      </c>
      <c r="C74" s="162"/>
      <c r="D74" s="162"/>
      <c r="E74" s="162"/>
      <c r="F74" s="258" t="s">
        <v>2520</v>
      </c>
      <c r="G74" s="255">
        <v>29376</v>
      </c>
      <c r="H74" s="254">
        <v>89763</v>
      </c>
      <c r="I74" s="83"/>
      <c r="O74" s="214"/>
    </row>
    <row r="75" spans="1:15">
      <c r="A75" s="248">
        <v>32</v>
      </c>
      <c r="B75" s="1041" t="s">
        <v>2774</v>
      </c>
      <c r="C75" s="162"/>
      <c r="D75" s="162"/>
      <c r="E75" s="162"/>
      <c r="F75" s="258" t="s">
        <v>2509</v>
      </c>
      <c r="G75" s="255"/>
      <c r="H75" s="254"/>
      <c r="I75" s="83"/>
      <c r="O75" s="214"/>
    </row>
    <row r="76" spans="1:15">
      <c r="A76" s="248">
        <v>33</v>
      </c>
      <c r="B76" s="1041" t="s">
        <v>2975</v>
      </c>
      <c r="C76" s="162"/>
      <c r="D76" s="162"/>
      <c r="E76" s="162"/>
      <c r="F76" s="258" t="s">
        <v>2509</v>
      </c>
      <c r="G76" s="278"/>
      <c r="H76" s="279"/>
      <c r="I76" s="83"/>
      <c r="O76" s="214"/>
    </row>
    <row r="77" spans="1:15">
      <c r="A77" s="248">
        <v>34</v>
      </c>
      <c r="B77" s="1041" t="s">
        <v>2976</v>
      </c>
      <c r="C77" s="162"/>
      <c r="D77" s="162"/>
      <c r="E77" s="162"/>
      <c r="F77" s="258" t="s">
        <v>2509</v>
      </c>
      <c r="G77" s="255"/>
      <c r="H77" s="254"/>
      <c r="I77" s="83"/>
      <c r="O77" s="214"/>
    </row>
    <row r="78" spans="1:15">
      <c r="A78" s="248">
        <v>35</v>
      </c>
      <c r="B78" s="1041" t="s">
        <v>1827</v>
      </c>
      <c r="C78" s="162"/>
      <c r="D78" s="162"/>
      <c r="E78" s="162"/>
      <c r="F78" s="258" t="s">
        <v>434</v>
      </c>
      <c r="G78" s="255">
        <v>4538475</v>
      </c>
      <c r="H78" s="254">
        <v>1334985</v>
      </c>
      <c r="I78" s="83"/>
      <c r="O78" s="214"/>
    </row>
    <row r="79" spans="1:15">
      <c r="A79" s="248">
        <v>36</v>
      </c>
      <c r="B79" s="1041" t="s">
        <v>1828</v>
      </c>
      <c r="C79" s="162"/>
      <c r="D79" s="162"/>
      <c r="E79" s="162"/>
      <c r="F79" s="258" t="s">
        <v>2520</v>
      </c>
      <c r="G79" s="255">
        <v>114</v>
      </c>
      <c r="H79" s="254">
        <v>42</v>
      </c>
      <c r="I79" s="83"/>
      <c r="O79" s="214"/>
    </row>
    <row r="80" spans="1:15">
      <c r="A80" s="248">
        <v>37</v>
      </c>
      <c r="B80" s="1041" t="s">
        <v>1829</v>
      </c>
      <c r="C80" s="162"/>
      <c r="D80" s="162"/>
      <c r="E80" s="162"/>
      <c r="F80" s="258" t="s">
        <v>2522</v>
      </c>
      <c r="G80" s="255"/>
      <c r="H80" s="254"/>
      <c r="I80" s="83"/>
      <c r="J80" s="4" t="s">
        <v>1836</v>
      </c>
      <c r="K80" s="4"/>
      <c r="L80" s="4"/>
      <c r="M80" s="4"/>
      <c r="O80" s="214"/>
    </row>
    <row r="81" spans="1:15">
      <c r="A81" s="248">
        <v>38</v>
      </c>
      <c r="B81" s="1041" t="s">
        <v>1830</v>
      </c>
      <c r="C81" s="162"/>
      <c r="D81" s="162"/>
      <c r="E81" s="162"/>
      <c r="F81" s="258" t="s">
        <v>2509</v>
      </c>
      <c r="G81" s="255">
        <f>G71-G72+G73-G74+SUM(G75:G80)</f>
        <v>4509213</v>
      </c>
      <c r="H81" s="254">
        <f>H71-H72+H73-H74+SUM(H75:H80)</f>
        <v>1239045</v>
      </c>
      <c r="I81" s="83"/>
      <c r="O81" s="214"/>
    </row>
    <row r="82" spans="1:15">
      <c r="A82" s="248">
        <v>39</v>
      </c>
      <c r="B82" s="1041" t="s">
        <v>1831</v>
      </c>
      <c r="C82" s="162"/>
      <c r="D82" s="162"/>
      <c r="E82" s="162"/>
      <c r="F82" s="258" t="s">
        <v>2509</v>
      </c>
      <c r="G82" s="278"/>
      <c r="H82" s="1530"/>
      <c r="I82" s="83"/>
      <c r="O82" s="214"/>
    </row>
    <row r="83" spans="1:15">
      <c r="A83" s="248">
        <v>40</v>
      </c>
      <c r="B83" s="1041" t="s">
        <v>1832</v>
      </c>
      <c r="C83" s="162"/>
      <c r="D83" s="162"/>
      <c r="E83" s="162"/>
      <c r="F83" s="258" t="s">
        <v>2522</v>
      </c>
      <c r="G83" s="255"/>
      <c r="H83" s="254"/>
      <c r="I83" s="83"/>
      <c r="O83" s="214"/>
    </row>
    <row r="84" spans="1:15">
      <c r="A84" s="248">
        <v>41</v>
      </c>
      <c r="B84" s="1041" t="s">
        <v>1833</v>
      </c>
      <c r="C84" s="162"/>
      <c r="D84" s="162"/>
      <c r="E84" s="162"/>
      <c r="F84" s="258" t="s">
        <v>4033</v>
      </c>
      <c r="G84" s="255"/>
      <c r="H84" s="254"/>
      <c r="I84" s="83"/>
      <c r="O84" s="214"/>
    </row>
    <row r="85" spans="1:15">
      <c r="A85" s="248">
        <v>42</v>
      </c>
      <c r="B85" s="1041" t="s">
        <v>1834</v>
      </c>
      <c r="C85" s="162"/>
      <c r="D85" s="162"/>
      <c r="E85" s="162"/>
      <c r="F85" s="258" t="s">
        <v>4033</v>
      </c>
      <c r="G85" s="255">
        <v>718175</v>
      </c>
      <c r="H85" s="254">
        <v>12204353</v>
      </c>
      <c r="I85" s="85"/>
      <c r="O85" s="214"/>
    </row>
    <row r="86" spans="1:15" ht="15.75">
      <c r="A86" s="248">
        <v>43</v>
      </c>
      <c r="B86" s="1041" t="s">
        <v>1835</v>
      </c>
      <c r="C86" s="162"/>
      <c r="D86" s="162"/>
      <c r="E86" s="162"/>
      <c r="F86" s="258" t="s">
        <v>2509</v>
      </c>
      <c r="G86" s="255">
        <f>SUM(G83:G85)</f>
        <v>718175</v>
      </c>
      <c r="H86" s="254">
        <f>SUM(H83:H85)</f>
        <v>12204353</v>
      </c>
      <c r="I86" s="83"/>
      <c r="J86" s="3"/>
      <c r="K86" s="3"/>
      <c r="L86" s="3"/>
      <c r="M86" s="3"/>
      <c r="N86" s="3"/>
      <c r="O86" s="84"/>
    </row>
    <row r="87" spans="1:15">
      <c r="A87" s="248">
        <v>44</v>
      </c>
      <c r="B87" s="1041" t="s">
        <v>3433</v>
      </c>
      <c r="C87" s="162"/>
      <c r="D87" s="162"/>
      <c r="E87" s="162"/>
      <c r="F87" s="258" t="s">
        <v>2509</v>
      </c>
      <c r="G87" s="2379"/>
      <c r="H87" s="1530"/>
      <c r="I87" s="83"/>
      <c r="O87" s="214"/>
    </row>
    <row r="88" spans="1:15">
      <c r="A88" s="248">
        <v>45</v>
      </c>
      <c r="B88" s="1041" t="s">
        <v>3434</v>
      </c>
      <c r="C88" s="162"/>
      <c r="D88" s="162"/>
      <c r="E88" s="162"/>
      <c r="F88" s="258" t="s">
        <v>3044</v>
      </c>
      <c r="G88" s="266"/>
      <c r="H88" s="254"/>
      <c r="I88" s="83"/>
      <c r="O88" s="214"/>
    </row>
    <row r="89" spans="1:15">
      <c r="A89" s="248">
        <v>46</v>
      </c>
      <c r="B89" s="1041" t="s">
        <v>3435</v>
      </c>
      <c r="C89" s="162"/>
      <c r="D89" s="162"/>
      <c r="E89" s="162"/>
      <c r="F89" s="258" t="s">
        <v>3044</v>
      </c>
      <c r="G89" s="266"/>
      <c r="H89" s="254"/>
      <c r="I89" s="83"/>
      <c r="O89" s="214"/>
    </row>
    <row r="90" spans="1:15">
      <c r="A90" s="248">
        <v>47</v>
      </c>
      <c r="B90" s="1041" t="s">
        <v>3436</v>
      </c>
      <c r="C90" s="162"/>
      <c r="D90" s="162"/>
      <c r="E90" s="162"/>
      <c r="F90" s="258" t="s">
        <v>3044</v>
      </c>
      <c r="G90" s="266"/>
      <c r="H90" s="254"/>
      <c r="I90" s="83"/>
      <c r="O90" s="214"/>
    </row>
    <row r="91" spans="1:15">
      <c r="A91" s="248">
        <v>48</v>
      </c>
      <c r="B91" s="1041" t="s">
        <v>2125</v>
      </c>
      <c r="C91" s="162"/>
      <c r="D91" s="162"/>
      <c r="E91" s="162"/>
      <c r="F91" s="258" t="s">
        <v>2509</v>
      </c>
      <c r="G91" s="266"/>
      <c r="H91" s="254"/>
      <c r="I91" s="83"/>
      <c r="O91" s="214"/>
    </row>
    <row r="92" spans="1:15">
      <c r="A92" s="248">
        <v>49</v>
      </c>
      <c r="B92" s="1041" t="s">
        <v>2434</v>
      </c>
      <c r="C92" s="162"/>
      <c r="D92" s="162"/>
      <c r="E92" s="162"/>
      <c r="F92" s="258" t="s">
        <v>2509</v>
      </c>
      <c r="G92" s="266"/>
      <c r="H92" s="254"/>
      <c r="I92" s="83"/>
      <c r="O92" s="214"/>
    </row>
    <row r="93" spans="1:15">
      <c r="A93" s="248">
        <v>50</v>
      </c>
      <c r="B93" s="1041" t="s">
        <v>2435</v>
      </c>
      <c r="C93" s="162"/>
      <c r="D93" s="162"/>
      <c r="E93" s="162"/>
      <c r="F93" s="258" t="s">
        <v>2509</v>
      </c>
      <c r="G93" s="266"/>
      <c r="H93" s="254"/>
      <c r="I93" s="83"/>
      <c r="O93" s="214"/>
    </row>
    <row r="94" spans="1:15">
      <c r="A94" s="248">
        <v>51</v>
      </c>
      <c r="B94" s="1041" t="s">
        <v>2436</v>
      </c>
      <c r="C94" s="162"/>
      <c r="D94" s="162"/>
      <c r="E94" s="162"/>
      <c r="F94" s="258" t="s">
        <v>2509</v>
      </c>
      <c r="G94" s="266"/>
      <c r="H94" s="254"/>
      <c r="I94" s="83"/>
      <c r="O94" s="214"/>
    </row>
    <row r="95" spans="1:15">
      <c r="A95" s="248">
        <v>52</v>
      </c>
      <c r="B95" s="1041" t="s">
        <v>2437</v>
      </c>
      <c r="C95" s="162"/>
      <c r="D95" s="162"/>
      <c r="E95" s="162"/>
      <c r="F95" s="258" t="s">
        <v>2509</v>
      </c>
      <c r="G95" s="255">
        <f>SUM(G88:G91)-G92+G93-G94</f>
        <v>0</v>
      </c>
      <c r="H95" s="254">
        <v>0</v>
      </c>
      <c r="I95" s="83"/>
      <c r="O95" s="214"/>
    </row>
    <row r="96" spans="1:15">
      <c r="A96" s="248">
        <v>53</v>
      </c>
      <c r="B96" s="1041" t="s">
        <v>152</v>
      </c>
      <c r="C96" s="162"/>
      <c r="D96" s="162"/>
      <c r="E96" s="162"/>
      <c r="F96" s="258" t="s">
        <v>2509</v>
      </c>
      <c r="G96" s="255">
        <f>G81-G86-G95</f>
        <v>3791038</v>
      </c>
      <c r="H96" s="254">
        <f>H81-H86-H95</f>
        <v>-10965308</v>
      </c>
      <c r="I96" s="83"/>
      <c r="O96" s="214"/>
    </row>
    <row r="97" spans="1:15">
      <c r="A97" s="248">
        <v>54</v>
      </c>
      <c r="B97" s="1041" t="s">
        <v>1324</v>
      </c>
      <c r="C97" s="175"/>
      <c r="D97" s="175"/>
      <c r="E97" s="175"/>
      <c r="F97" s="258" t="s">
        <v>2509</v>
      </c>
      <c r="G97" s="2379"/>
      <c r="H97" s="1530"/>
      <c r="I97" s="83"/>
      <c r="O97" s="214"/>
    </row>
    <row r="98" spans="1:15">
      <c r="A98" s="248">
        <v>55</v>
      </c>
      <c r="B98" s="1041" t="s">
        <v>153</v>
      </c>
      <c r="C98" s="162"/>
      <c r="D98" s="162"/>
      <c r="E98" s="162"/>
      <c r="F98" s="258" t="s">
        <v>3042</v>
      </c>
      <c r="G98" s="2380"/>
      <c r="H98" s="1573"/>
      <c r="I98" s="83"/>
      <c r="O98" s="214"/>
    </row>
    <row r="99" spans="1:15">
      <c r="A99" s="248">
        <v>56</v>
      </c>
      <c r="B99" s="1041" t="s">
        <v>154</v>
      </c>
      <c r="C99" s="162"/>
      <c r="D99" s="162"/>
      <c r="E99" s="162"/>
      <c r="F99" s="258" t="s">
        <v>3042</v>
      </c>
      <c r="G99" s="255"/>
      <c r="H99" s="254"/>
      <c r="I99" s="83"/>
      <c r="O99" s="214"/>
    </row>
    <row r="100" spans="1:15">
      <c r="A100" s="248">
        <v>57</v>
      </c>
      <c r="B100" s="1041" t="s">
        <v>155</v>
      </c>
      <c r="C100" s="162"/>
      <c r="D100" s="162"/>
      <c r="E100" s="162"/>
      <c r="F100" s="258" t="s">
        <v>2509</v>
      </c>
      <c r="G100" s="278"/>
      <c r="H100" s="279"/>
      <c r="I100" s="83"/>
      <c r="O100" s="214"/>
    </row>
    <row r="101" spans="1:15">
      <c r="A101" s="248">
        <v>58</v>
      </c>
      <c r="B101" s="1041" t="s">
        <v>156</v>
      </c>
      <c r="C101" s="162"/>
      <c r="D101" s="162"/>
      <c r="E101" s="162"/>
      <c r="F101" s="258" t="s">
        <v>3042</v>
      </c>
      <c r="G101" s="255"/>
      <c r="H101" s="254"/>
      <c r="I101" s="83"/>
      <c r="O101" s="214"/>
    </row>
    <row r="102" spans="1:15">
      <c r="A102" s="248">
        <v>59</v>
      </c>
      <c r="B102" s="1041" t="s">
        <v>157</v>
      </c>
      <c r="C102" s="162"/>
      <c r="D102" s="162"/>
      <c r="E102" s="162"/>
      <c r="F102" s="258" t="s">
        <v>2509</v>
      </c>
      <c r="G102" s="278"/>
      <c r="H102" s="279"/>
      <c r="I102" s="83"/>
      <c r="O102" s="214"/>
    </row>
    <row r="103" spans="1:15">
      <c r="A103" s="248">
        <v>60</v>
      </c>
      <c r="B103" s="1041" t="s">
        <v>149</v>
      </c>
      <c r="C103" s="162"/>
      <c r="D103" s="162"/>
      <c r="E103" s="162"/>
      <c r="F103" s="258" t="s">
        <v>4033</v>
      </c>
      <c r="G103" s="255"/>
      <c r="H103" s="254"/>
      <c r="I103" s="83"/>
      <c r="O103" s="214"/>
    </row>
    <row r="104" spans="1:15">
      <c r="A104" s="248">
        <v>61</v>
      </c>
      <c r="B104" s="1041" t="s">
        <v>988</v>
      </c>
      <c r="C104" s="162"/>
      <c r="D104" s="162"/>
      <c r="E104" s="162"/>
      <c r="F104" s="258" t="s">
        <v>4033</v>
      </c>
      <c r="G104" s="255">
        <v>14704564</v>
      </c>
      <c r="H104" s="254">
        <v>12107956</v>
      </c>
      <c r="I104" s="83"/>
      <c r="O104" s="214"/>
    </row>
    <row r="105" spans="1:15">
      <c r="A105" s="248">
        <v>62</v>
      </c>
      <c r="B105" s="1041" t="s">
        <v>989</v>
      </c>
      <c r="C105" s="162"/>
      <c r="D105" s="162"/>
      <c r="E105" s="162"/>
      <c r="F105" s="258" t="s">
        <v>2509</v>
      </c>
      <c r="G105" s="278"/>
      <c r="H105" s="279"/>
      <c r="I105" s="83"/>
      <c r="O105" s="214"/>
    </row>
    <row r="106" spans="1:15">
      <c r="A106" s="248">
        <v>63</v>
      </c>
      <c r="B106" s="1041" t="s">
        <v>3215</v>
      </c>
      <c r="C106" s="162"/>
      <c r="D106" s="162"/>
      <c r="E106" s="162"/>
      <c r="F106" s="258" t="s">
        <v>2509</v>
      </c>
      <c r="G106" s="2380">
        <f>SUM(G98:G100)-G101-G102+G103+G104-G105</f>
        <v>14704564</v>
      </c>
      <c r="H106" s="1573">
        <f>SUM(H98:H100)-H101-H102+H103+H104-H105</f>
        <v>12107956</v>
      </c>
      <c r="I106" s="83"/>
      <c r="O106" s="214"/>
    </row>
    <row r="107" spans="1:15">
      <c r="A107" s="248">
        <v>64</v>
      </c>
      <c r="B107" s="1041" t="s">
        <v>3216</v>
      </c>
      <c r="C107" s="162"/>
      <c r="D107" s="162"/>
      <c r="E107" s="162"/>
      <c r="F107" s="258" t="s">
        <v>2509</v>
      </c>
      <c r="G107" s="255">
        <f>G67+G96-G106</f>
        <v>21594562</v>
      </c>
      <c r="H107" s="254">
        <f>H67+H96-H106</f>
        <v>13907143.640000001</v>
      </c>
      <c r="I107" s="83"/>
      <c r="O107" s="214"/>
    </row>
    <row r="108" spans="1:15">
      <c r="A108" s="248">
        <v>65</v>
      </c>
      <c r="B108" s="1041" t="s">
        <v>4034</v>
      </c>
      <c r="C108" s="175"/>
      <c r="D108" s="175"/>
      <c r="E108" s="175"/>
      <c r="F108" s="258" t="s">
        <v>2509</v>
      </c>
      <c r="G108" s="278"/>
      <c r="H108" s="1530"/>
      <c r="I108" s="83"/>
      <c r="O108" s="214"/>
    </row>
    <row r="109" spans="1:15">
      <c r="A109" s="248">
        <v>66</v>
      </c>
      <c r="B109" s="1041" t="s">
        <v>3217</v>
      </c>
      <c r="C109" s="162"/>
      <c r="D109" s="162"/>
      <c r="E109" s="162"/>
      <c r="F109" s="258" t="s">
        <v>4035</v>
      </c>
      <c r="G109" s="255"/>
      <c r="H109" s="254"/>
      <c r="I109" s="83"/>
      <c r="O109" s="214"/>
    </row>
    <row r="110" spans="1:15">
      <c r="A110" s="248">
        <v>67</v>
      </c>
      <c r="B110" s="1041" t="s">
        <v>209</v>
      </c>
      <c r="C110" s="162"/>
      <c r="D110" s="162"/>
      <c r="E110" s="162"/>
      <c r="F110" s="258" t="s">
        <v>4035</v>
      </c>
      <c r="G110" s="255"/>
      <c r="H110" s="254"/>
      <c r="I110" s="83"/>
      <c r="O110" s="214"/>
    </row>
    <row r="111" spans="1:15">
      <c r="A111" s="248">
        <v>68</v>
      </c>
      <c r="B111" s="1041" t="s">
        <v>935</v>
      </c>
      <c r="C111" s="162"/>
      <c r="D111" s="162"/>
      <c r="E111" s="162"/>
      <c r="F111" s="258" t="s">
        <v>2509</v>
      </c>
      <c r="G111" s="253">
        <f>G109-G110</f>
        <v>0</v>
      </c>
      <c r="H111" s="254">
        <v>0</v>
      </c>
      <c r="I111" s="83"/>
      <c r="O111" s="214"/>
    </row>
    <row r="112" spans="1:15">
      <c r="A112" s="248">
        <v>69</v>
      </c>
      <c r="B112" s="1041" t="s">
        <v>936</v>
      </c>
      <c r="C112" s="162"/>
      <c r="D112" s="162"/>
      <c r="E112" s="162"/>
      <c r="F112" s="258" t="s">
        <v>2509</v>
      </c>
      <c r="G112" s="253"/>
      <c r="H112" s="254"/>
      <c r="I112" s="83"/>
      <c r="O112" s="214"/>
    </row>
    <row r="113" spans="1:16">
      <c r="A113" s="248">
        <v>70</v>
      </c>
      <c r="B113" s="1041" t="s">
        <v>937</v>
      </c>
      <c r="C113" s="162"/>
      <c r="D113" s="162"/>
      <c r="E113" s="162"/>
      <c r="F113" s="258" t="s">
        <v>2509</v>
      </c>
      <c r="G113" s="253">
        <f>G111-G112</f>
        <v>0</v>
      </c>
      <c r="H113" s="254">
        <v>0</v>
      </c>
      <c r="I113" s="83"/>
      <c r="O113" s="214"/>
    </row>
    <row r="114" spans="1:16">
      <c r="A114" s="248">
        <v>71</v>
      </c>
      <c r="B114" s="1041" t="s">
        <v>2126</v>
      </c>
      <c r="C114" s="162"/>
      <c r="D114" s="162"/>
      <c r="E114" s="162"/>
      <c r="F114" s="258" t="s">
        <v>2509</v>
      </c>
      <c r="G114" s="251">
        <f>G107-G113</f>
        <v>21594562</v>
      </c>
      <c r="H114" s="252">
        <f>H107-H113</f>
        <v>13907143.640000001</v>
      </c>
      <c r="I114" s="83"/>
      <c r="O114" s="214"/>
    </row>
    <row r="115" spans="1:16">
      <c r="A115" s="165"/>
      <c r="B115" s="177"/>
      <c r="C115" s="159"/>
      <c r="D115" s="159"/>
      <c r="E115" s="159"/>
      <c r="F115" s="177"/>
      <c r="G115" s="1563"/>
      <c r="H115" s="207"/>
      <c r="I115" s="83"/>
      <c r="O115" s="214"/>
    </row>
    <row r="116" spans="1:16">
      <c r="A116" s="165"/>
      <c r="B116" s="177"/>
      <c r="C116" s="159"/>
      <c r="D116" s="159"/>
      <c r="E116" s="159"/>
      <c r="F116" s="177"/>
      <c r="G116" s="1563"/>
      <c r="H116" s="1935"/>
      <c r="I116" s="83"/>
      <c r="O116" s="214"/>
    </row>
    <row r="117" spans="1:16" ht="15.75" thickBot="1">
      <c r="A117" s="208"/>
      <c r="B117" s="196"/>
      <c r="C117" s="209"/>
      <c r="D117" s="209"/>
      <c r="E117" s="209"/>
      <c r="F117" s="196"/>
      <c r="G117" s="210"/>
      <c r="H117" s="211"/>
      <c r="I117" s="124"/>
      <c r="J117" s="125"/>
      <c r="K117" s="125"/>
      <c r="L117" s="125"/>
      <c r="M117" s="125"/>
      <c r="N117" s="125"/>
      <c r="O117" s="217"/>
    </row>
    <row r="118" spans="1:16">
      <c r="A118" s="177" t="s">
        <v>2024</v>
      </c>
      <c r="B118" s="177"/>
      <c r="C118" s="159"/>
      <c r="D118" s="159"/>
      <c r="E118" s="159"/>
      <c r="F118" s="177"/>
      <c r="G118" s="206"/>
      <c r="H118" s="206"/>
      <c r="I118" s="177" t="s">
        <v>2024</v>
      </c>
      <c r="J118" s="177"/>
      <c r="K118" s="159"/>
      <c r="L118" s="159"/>
      <c r="M118" s="159"/>
      <c r="N118" s="177" t="s">
        <v>2024</v>
      </c>
      <c r="O118" s="206"/>
      <c r="P118" s="206"/>
    </row>
    <row r="119" spans="1:16">
      <c r="A119" s="159" t="s">
        <v>2127</v>
      </c>
      <c r="B119" s="159"/>
      <c r="C119" s="159"/>
      <c r="D119" s="4"/>
      <c r="E119" s="159"/>
      <c r="F119" s="159"/>
      <c r="G119" s="212"/>
      <c r="H119" s="212"/>
      <c r="I119" s="212" t="s">
        <v>2128</v>
      </c>
      <c r="J119" s="159"/>
      <c r="K119" s="159"/>
      <c r="L119" s="159"/>
      <c r="M119" s="212"/>
      <c r="N119" s="212"/>
      <c r="O119" s="159"/>
    </row>
    <row r="120" spans="1:16">
      <c r="A120" s="177"/>
      <c r="B120" s="177"/>
      <c r="C120" s="177"/>
      <c r="D120" s="177"/>
      <c r="E120" s="177"/>
      <c r="F120" s="177"/>
      <c r="G120" s="212"/>
      <c r="H120" s="206"/>
    </row>
    <row r="121" spans="1:16">
      <c r="A121" s="177"/>
      <c r="B121" s="177"/>
      <c r="C121" s="177"/>
      <c r="D121" s="177"/>
      <c r="E121" s="177"/>
      <c r="F121" s="177"/>
      <c r="G121" s="212"/>
      <c r="H121" s="206"/>
    </row>
    <row r="122" spans="1:16">
      <c r="A122" s="177"/>
      <c r="B122" s="177"/>
      <c r="C122" s="177"/>
      <c r="D122" s="177"/>
      <c r="E122" s="177"/>
      <c r="F122" s="177"/>
      <c r="G122" s="2780"/>
      <c r="H122" s="2780"/>
    </row>
    <row r="123" spans="1:16">
      <c r="A123" s="177"/>
      <c r="B123" s="177"/>
      <c r="C123" s="177"/>
      <c r="D123" s="177"/>
      <c r="E123" s="177"/>
      <c r="F123" s="177"/>
      <c r="G123" s="1523"/>
      <c r="H123" s="1523"/>
    </row>
    <row r="124" spans="1:16">
      <c r="A124" s="177"/>
      <c r="B124" s="177"/>
      <c r="C124" s="177"/>
      <c r="D124" s="177"/>
      <c r="E124" s="177"/>
      <c r="F124" s="177"/>
      <c r="G124" s="206"/>
      <c r="H124" s="206"/>
    </row>
    <row r="125" spans="1:16">
      <c r="A125" s="177"/>
      <c r="B125" s="177"/>
      <c r="C125" s="177"/>
      <c r="D125" s="177"/>
      <c r="E125" s="177"/>
      <c r="F125" s="177"/>
      <c r="G125" s="206"/>
      <c r="H125" s="206"/>
    </row>
    <row r="126" spans="1:16">
      <c r="A126" s="177"/>
      <c r="B126" s="177"/>
      <c r="C126" s="177"/>
      <c r="D126" s="177"/>
      <c r="E126" s="177"/>
      <c r="F126" s="177"/>
      <c r="G126" s="206"/>
      <c r="H126" s="206"/>
    </row>
    <row r="127" spans="1:16">
      <c r="A127" s="177"/>
      <c r="B127" s="177"/>
      <c r="C127" s="177"/>
      <c r="D127" s="177"/>
      <c r="E127" s="177"/>
      <c r="F127" s="177"/>
      <c r="G127" s="206"/>
      <c r="H127" s="206"/>
    </row>
    <row r="128" spans="1:16">
      <c r="A128" s="177"/>
      <c r="B128" s="177"/>
      <c r="C128" s="177"/>
      <c r="D128" s="177"/>
      <c r="E128" s="177"/>
      <c r="F128" s="177"/>
      <c r="G128" s="177"/>
      <c r="H128" s="177"/>
    </row>
    <row r="129" spans="1:8">
      <c r="A129" s="177"/>
      <c r="B129" s="177"/>
      <c r="C129" s="177"/>
      <c r="D129" s="177"/>
      <c r="E129" s="177"/>
      <c r="F129" s="177"/>
      <c r="G129" s="177"/>
      <c r="H129" s="177"/>
    </row>
    <row r="130" spans="1:8">
      <c r="A130" s="177"/>
      <c r="B130" s="177"/>
      <c r="C130" s="177"/>
      <c r="D130" s="177"/>
      <c r="E130" s="177"/>
      <c r="F130" s="177"/>
      <c r="G130" s="177"/>
      <c r="H130" s="177"/>
    </row>
    <row r="131" spans="1:8">
      <c r="A131" s="177"/>
      <c r="B131" s="177"/>
      <c r="C131" s="177"/>
      <c r="D131" s="177"/>
      <c r="E131" s="177"/>
      <c r="F131" s="177"/>
      <c r="G131" s="177"/>
      <c r="H131" s="177"/>
    </row>
    <row r="132" spans="1:8">
      <c r="A132" s="177"/>
      <c r="B132" s="177"/>
      <c r="C132" s="177"/>
      <c r="D132" s="177"/>
      <c r="E132" s="177"/>
      <c r="F132" s="177"/>
      <c r="G132" s="177"/>
      <c r="H132" s="177"/>
    </row>
    <row r="133" spans="1:8">
      <c r="B133" s="177"/>
    </row>
    <row r="134" spans="1:8">
      <c r="B134" s="177"/>
    </row>
    <row r="135" spans="1:8">
      <c r="B135" s="177"/>
    </row>
    <row r="136" spans="1:8">
      <c r="B136" s="177"/>
    </row>
    <row r="137" spans="1:8">
      <c r="B137" s="177"/>
    </row>
  </sheetData>
  <phoneticPr fontId="0" type="noConversion"/>
  <printOptions horizontalCentered="1" verticalCentered="1"/>
  <pageMargins left="0.25" right="0.25" top="0.25" bottom="0.25" header="0" footer="0"/>
  <pageSetup scale="65" fitToWidth="2" fitToHeight="2" pageOrder="overThenDown" orientation="portrait" r:id="rId1"/>
  <headerFooter alignWithMargins="0"/>
  <rowBreaks count="1" manualBreakCount="1">
    <brk id="59"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codeName="Sheet15"/>
  <dimension ref="A1:J138"/>
  <sheetViews>
    <sheetView defaultGridColor="0" colorId="22" zoomScaleNormal="100" workbookViewId="0">
      <selection activeCell="H109" sqref="H109"/>
    </sheetView>
  </sheetViews>
  <sheetFormatPr defaultColWidth="9.77734375" defaultRowHeight="15"/>
  <cols>
    <col min="1" max="1" width="4.77734375" customWidth="1"/>
    <col min="2" max="2" width="43.77734375" customWidth="1"/>
    <col min="3" max="3" width="8.109375" customWidth="1"/>
    <col min="4" max="4" width="7.33203125" customWidth="1"/>
    <col min="5" max="5" width="22.77734375" customWidth="1"/>
    <col min="6" max="6" width="12.77734375" customWidth="1"/>
    <col min="7" max="7" width="16.77734375" customWidth="1"/>
    <col min="8" max="8" width="14" bestFit="1" customWidth="1"/>
    <col min="9" max="9" width="18.77734375" bestFit="1" customWidth="1"/>
    <col min="10" max="10" width="17.77734375" bestFit="1" customWidth="1"/>
  </cols>
  <sheetData>
    <row r="1" spans="1:7" ht="15.75" thickBot="1">
      <c r="A1" t="str">
        <f>'Data sheet'!A61</f>
        <v>Annual Report of Veolia Water New York, Inc.                                                                       Year Ended  December 31, 2023</v>
      </c>
    </row>
    <row r="2" spans="1:7">
      <c r="A2" s="155"/>
      <c r="B2" s="156"/>
      <c r="C2" s="156"/>
      <c r="D2" s="156"/>
      <c r="E2" s="156"/>
      <c r="F2" s="156"/>
      <c r="G2" s="293"/>
    </row>
    <row r="3" spans="1:7" ht="15.75">
      <c r="A3" s="158"/>
      <c r="B3" s="265" t="s">
        <v>2129</v>
      </c>
      <c r="C3" s="159"/>
      <c r="D3" s="159"/>
      <c r="E3" s="159"/>
      <c r="F3" s="159"/>
      <c r="G3" s="160"/>
    </row>
    <row r="4" spans="1:7">
      <c r="A4" s="165"/>
      <c r="B4" s="177"/>
      <c r="C4" s="177"/>
      <c r="D4" s="177"/>
      <c r="E4" s="177"/>
      <c r="F4" s="270"/>
      <c r="G4" s="214"/>
    </row>
    <row r="5" spans="1:7">
      <c r="A5" s="294"/>
      <c r="B5" s="1227" t="s">
        <v>4095</v>
      </c>
      <c r="C5" s="295"/>
      <c r="D5" s="295"/>
      <c r="E5" s="1227" t="s">
        <v>4096</v>
      </c>
      <c r="F5" s="242"/>
      <c r="G5" s="296"/>
    </row>
    <row r="6" spans="1:7">
      <c r="A6" s="165"/>
      <c r="B6" s="191" t="s">
        <v>4097</v>
      </c>
      <c r="C6" s="159"/>
      <c r="D6" s="159"/>
      <c r="E6" s="191" t="s">
        <v>4098</v>
      </c>
      <c r="G6" s="160"/>
    </row>
    <row r="7" spans="1:7">
      <c r="A7" s="165"/>
      <c r="B7" s="191" t="s">
        <v>4099</v>
      </c>
      <c r="C7" s="159"/>
      <c r="D7" s="159"/>
      <c r="E7" s="191" t="s">
        <v>4100</v>
      </c>
      <c r="G7" s="160"/>
    </row>
    <row r="8" spans="1:7">
      <c r="A8" s="165"/>
      <c r="B8" s="191" t="s">
        <v>3343</v>
      </c>
      <c r="C8" s="159"/>
      <c r="D8" s="159"/>
      <c r="E8" s="191" t="s">
        <v>3344</v>
      </c>
      <c r="G8" s="297"/>
    </row>
    <row r="9" spans="1:7">
      <c r="A9" s="165"/>
      <c r="B9" s="191" t="s">
        <v>3345</v>
      </c>
      <c r="C9" s="159"/>
      <c r="D9" s="159"/>
      <c r="E9" s="191" t="s">
        <v>3346</v>
      </c>
      <c r="G9" s="160"/>
    </row>
    <row r="10" spans="1:7">
      <c r="A10" s="165"/>
      <c r="B10" s="191" t="s">
        <v>3178</v>
      </c>
      <c r="C10" s="159"/>
      <c r="D10" s="159"/>
      <c r="E10" s="191" t="s">
        <v>3179</v>
      </c>
      <c r="G10" s="160"/>
    </row>
    <row r="11" spans="1:7">
      <c r="A11" s="165"/>
      <c r="B11" s="191" t="s">
        <v>3180</v>
      </c>
      <c r="C11" s="159"/>
      <c r="D11" s="159"/>
      <c r="E11" s="191" t="s">
        <v>4173</v>
      </c>
      <c r="G11" s="272"/>
    </row>
    <row r="12" spans="1:7">
      <c r="A12" s="165"/>
      <c r="B12" s="191" t="s">
        <v>4174</v>
      </c>
      <c r="C12" s="159"/>
      <c r="D12" s="159"/>
      <c r="E12" s="191" t="s">
        <v>4175</v>
      </c>
      <c r="G12" s="272"/>
    </row>
    <row r="13" spans="1:7">
      <c r="A13" s="165"/>
      <c r="B13" s="191" t="s">
        <v>4176</v>
      </c>
      <c r="C13" s="159"/>
      <c r="D13" s="159"/>
      <c r="E13" s="191" t="s">
        <v>4177</v>
      </c>
      <c r="G13" s="272"/>
    </row>
    <row r="14" spans="1:7">
      <c r="A14" s="165"/>
      <c r="B14" s="191" t="s">
        <v>1282</v>
      </c>
      <c r="C14" s="159"/>
      <c r="D14" s="159"/>
      <c r="E14" s="191" t="s">
        <v>1283</v>
      </c>
      <c r="G14" s="272"/>
    </row>
    <row r="15" spans="1:7">
      <c r="A15" s="165"/>
      <c r="B15" s="191" t="s">
        <v>1284</v>
      </c>
      <c r="C15" s="159"/>
      <c r="D15" s="159"/>
      <c r="E15" s="191" t="s">
        <v>1285</v>
      </c>
      <c r="G15" s="272"/>
    </row>
    <row r="16" spans="1:7">
      <c r="A16" s="169"/>
      <c r="B16" s="1041" t="s">
        <v>1286</v>
      </c>
      <c r="C16" s="162"/>
      <c r="D16" s="162"/>
      <c r="E16" s="1041" t="s">
        <v>1287</v>
      </c>
      <c r="F16" s="224"/>
      <c r="G16" s="163"/>
    </row>
    <row r="17" spans="1:8">
      <c r="A17" s="165"/>
      <c r="B17" s="174"/>
      <c r="C17" s="159"/>
      <c r="D17" s="159"/>
      <c r="E17" s="159"/>
      <c r="F17" s="259" t="s">
        <v>1288</v>
      </c>
      <c r="G17" s="180"/>
    </row>
    <row r="18" spans="1:8">
      <c r="A18" s="173"/>
      <c r="B18" s="174"/>
      <c r="C18" s="159"/>
      <c r="D18" s="159"/>
      <c r="E18" s="159"/>
      <c r="F18" s="1002" t="s">
        <v>1289</v>
      </c>
      <c r="G18" s="261"/>
    </row>
    <row r="19" spans="1:8">
      <c r="A19" s="247" t="s">
        <v>1727</v>
      </c>
      <c r="B19" s="174" t="s">
        <v>1290</v>
      </c>
      <c r="C19" s="159"/>
      <c r="D19" s="159"/>
      <c r="E19" s="189"/>
      <c r="F19" s="1002" t="s">
        <v>4315</v>
      </c>
      <c r="G19" s="1007" t="s">
        <v>1291</v>
      </c>
    </row>
    <row r="20" spans="1:8">
      <c r="A20" s="247" t="s">
        <v>1739</v>
      </c>
      <c r="B20" s="174"/>
      <c r="C20" s="159"/>
      <c r="D20" s="159"/>
      <c r="E20" s="189"/>
      <c r="F20" s="1002" t="s">
        <v>3760</v>
      </c>
      <c r="G20" s="261"/>
    </row>
    <row r="21" spans="1:8">
      <c r="A21" s="181"/>
      <c r="B21" s="249" t="s">
        <v>3279</v>
      </c>
      <c r="C21" s="162"/>
      <c r="D21" s="162"/>
      <c r="E21" s="182"/>
      <c r="F21" s="1003" t="s">
        <v>3280</v>
      </c>
      <c r="G21" s="1004" t="s">
        <v>3281</v>
      </c>
    </row>
    <row r="22" spans="1:8">
      <c r="A22" s="181"/>
      <c r="B22" s="1041" t="s">
        <v>3761</v>
      </c>
      <c r="C22" s="162"/>
      <c r="D22" s="162"/>
      <c r="E22" s="182"/>
      <c r="F22" s="298"/>
      <c r="G22" s="299"/>
    </row>
    <row r="23" spans="1:8">
      <c r="A23" s="181">
        <v>1</v>
      </c>
      <c r="B23" s="1041" t="s">
        <v>3762</v>
      </c>
      <c r="C23" s="162"/>
      <c r="D23" s="162"/>
      <c r="E23" s="182"/>
      <c r="F23" s="298"/>
      <c r="G23" s="252">
        <f>+'114115'!E76</f>
        <v>164523561</v>
      </c>
    </row>
    <row r="24" spans="1:8">
      <c r="A24" s="181">
        <v>2</v>
      </c>
      <c r="B24" s="1041" t="s">
        <v>3743</v>
      </c>
      <c r="C24" s="162"/>
      <c r="D24" s="162"/>
      <c r="E24" s="182"/>
      <c r="F24" s="298"/>
      <c r="G24" s="299"/>
    </row>
    <row r="25" spans="1:8">
      <c r="A25" s="181">
        <v>3</v>
      </c>
      <c r="B25" s="1041" t="s">
        <v>2607</v>
      </c>
      <c r="C25" s="162"/>
      <c r="D25" s="162"/>
      <c r="E25" s="162"/>
      <c r="F25" s="300"/>
      <c r="G25" s="301"/>
    </row>
    <row r="26" spans="1:8">
      <c r="A26" s="181">
        <v>4</v>
      </c>
      <c r="B26" s="1041" t="s">
        <v>4998</v>
      </c>
      <c r="C26" s="162"/>
      <c r="D26" s="162"/>
      <c r="E26" s="162"/>
      <c r="F26" s="255"/>
      <c r="G26" s="254"/>
    </row>
    <row r="27" spans="1:8">
      <c r="A27" s="181">
        <v>5</v>
      </c>
      <c r="B27" s="1041" t="s">
        <v>2608</v>
      </c>
      <c r="C27" s="162"/>
      <c r="D27" s="162"/>
      <c r="E27" s="162"/>
      <c r="F27" s="255"/>
      <c r="G27" s="254"/>
    </row>
    <row r="28" spans="1:8">
      <c r="A28" s="181">
        <v>6</v>
      </c>
      <c r="B28" s="1041" t="s">
        <v>2608</v>
      </c>
      <c r="C28" s="162"/>
      <c r="D28" s="162"/>
      <c r="E28" s="162"/>
      <c r="F28" s="255"/>
      <c r="G28" s="254"/>
    </row>
    <row r="29" spans="1:8">
      <c r="A29" s="181">
        <v>7</v>
      </c>
      <c r="B29" s="1041" t="s">
        <v>2608</v>
      </c>
      <c r="C29" s="162"/>
      <c r="D29" s="162"/>
      <c r="E29" s="162"/>
      <c r="F29" s="255"/>
      <c r="G29" s="254"/>
    </row>
    <row r="30" spans="1:8">
      <c r="A30" s="181">
        <v>8</v>
      </c>
      <c r="B30" s="1041" t="s">
        <v>2608</v>
      </c>
      <c r="C30" s="162"/>
      <c r="D30" s="162"/>
      <c r="E30" s="162"/>
      <c r="F30" s="255"/>
      <c r="G30" s="254"/>
    </row>
    <row r="31" spans="1:8">
      <c r="A31" s="181">
        <v>9</v>
      </c>
      <c r="B31" s="1041" t="s">
        <v>2609</v>
      </c>
      <c r="C31" s="162"/>
      <c r="D31" s="162"/>
      <c r="E31" s="162"/>
      <c r="F31" s="255"/>
      <c r="G31" s="254">
        <f>SUM(G26:G30)</f>
        <v>0</v>
      </c>
    </row>
    <row r="32" spans="1:8">
      <c r="A32" s="181">
        <v>10</v>
      </c>
      <c r="B32" s="1041" t="s">
        <v>4999</v>
      </c>
      <c r="C32" s="162"/>
      <c r="D32" s="162"/>
      <c r="E32" s="162"/>
      <c r="F32" s="1003"/>
      <c r="G32" s="254">
        <f>+'116119'!G114</f>
        <v>21594562</v>
      </c>
      <c r="H32" t="str">
        <f>IF(ROUND(G32,0)=ROUND(+'116119'!G114,0),"ok","error")</f>
        <v>ok</v>
      </c>
    </row>
    <row r="33" spans="1:10">
      <c r="A33" s="181">
        <v>11</v>
      </c>
      <c r="B33" s="1041" t="s">
        <v>5000</v>
      </c>
      <c r="C33" s="162"/>
      <c r="D33" s="162"/>
      <c r="E33" s="162"/>
      <c r="F33" s="1003"/>
      <c r="G33" s="254"/>
    </row>
    <row r="34" spans="1:10">
      <c r="A34" s="181">
        <v>12</v>
      </c>
      <c r="B34" s="1041" t="s">
        <v>5000</v>
      </c>
      <c r="C34" s="162"/>
      <c r="D34" s="162"/>
      <c r="E34" s="162"/>
      <c r="F34" s="255"/>
      <c r="G34" s="254"/>
    </row>
    <row r="35" spans="1:10">
      <c r="A35" s="181">
        <v>13</v>
      </c>
      <c r="B35" s="1041" t="s">
        <v>2610</v>
      </c>
      <c r="C35" s="162"/>
      <c r="D35" s="162"/>
      <c r="E35" s="162"/>
      <c r="F35" s="255"/>
      <c r="G35" s="254"/>
    </row>
    <row r="36" spans="1:10">
      <c r="A36" s="181">
        <v>14</v>
      </c>
      <c r="B36" s="1041" t="s">
        <v>2610</v>
      </c>
      <c r="C36" s="162"/>
      <c r="D36" s="162"/>
      <c r="E36" s="162"/>
      <c r="F36" s="255"/>
      <c r="G36" s="254"/>
    </row>
    <row r="37" spans="1:10">
      <c r="A37" s="181">
        <v>15</v>
      </c>
      <c r="B37" s="1041" t="s">
        <v>2611</v>
      </c>
      <c r="C37" s="162"/>
      <c r="D37" s="162"/>
      <c r="E37" s="162"/>
      <c r="F37" s="255"/>
      <c r="G37" s="254">
        <f>SUM(G32:G36)</f>
        <v>21594562</v>
      </c>
    </row>
    <row r="38" spans="1:10">
      <c r="A38" s="181">
        <v>16</v>
      </c>
      <c r="B38" s="1041" t="s">
        <v>2636</v>
      </c>
      <c r="C38" s="162"/>
      <c r="D38" s="162"/>
      <c r="E38" s="162"/>
      <c r="F38" s="255"/>
      <c r="G38" s="254"/>
      <c r="I38" s="404"/>
      <c r="J38" s="572"/>
    </row>
    <row r="39" spans="1:10">
      <c r="A39" s="181">
        <v>17</v>
      </c>
      <c r="B39" s="1041" t="s">
        <v>2637</v>
      </c>
      <c r="C39" s="162"/>
      <c r="D39" s="162"/>
      <c r="E39" s="162"/>
      <c r="F39" s="302"/>
      <c r="G39" s="299"/>
    </row>
    <row r="40" spans="1:10">
      <c r="A40" s="181">
        <v>18</v>
      </c>
      <c r="B40" s="1041"/>
      <c r="C40" s="162"/>
      <c r="D40" s="162"/>
      <c r="E40" s="162"/>
      <c r="F40" s="255"/>
      <c r="G40" s="254" t="s">
        <v>218</v>
      </c>
    </row>
    <row r="41" spans="1:10">
      <c r="A41" s="181">
        <v>19</v>
      </c>
      <c r="B41" s="1041"/>
      <c r="C41" s="162"/>
      <c r="D41" s="162"/>
      <c r="E41" s="162"/>
      <c r="F41" s="255"/>
      <c r="G41" s="254"/>
    </row>
    <row r="42" spans="1:10">
      <c r="A42" s="181">
        <v>20</v>
      </c>
      <c r="B42" s="1041"/>
      <c r="C42" s="162"/>
      <c r="D42" s="162"/>
      <c r="E42" s="162"/>
      <c r="F42" s="255"/>
      <c r="G42" s="254"/>
    </row>
    <row r="43" spans="1:10">
      <c r="A43" s="181">
        <v>21</v>
      </c>
      <c r="B43" s="1041"/>
      <c r="C43" s="162"/>
      <c r="D43" s="162"/>
      <c r="E43" s="162"/>
      <c r="F43" s="255"/>
      <c r="G43" s="254"/>
    </row>
    <row r="44" spans="1:10">
      <c r="A44" s="181">
        <v>22</v>
      </c>
      <c r="B44" s="1041" t="s">
        <v>2638</v>
      </c>
      <c r="C44" s="162"/>
      <c r="D44" s="162"/>
      <c r="E44" s="162"/>
      <c r="F44" s="255"/>
      <c r="G44" s="254">
        <f>SUM(G40:G43)</f>
        <v>0</v>
      </c>
    </row>
    <row r="45" spans="1:10">
      <c r="A45" s="181">
        <v>23</v>
      </c>
      <c r="B45" s="1041" t="s">
        <v>2639</v>
      </c>
      <c r="C45" s="162"/>
      <c r="D45" s="162"/>
      <c r="E45" s="162"/>
      <c r="F45" s="303"/>
      <c r="G45" s="304"/>
    </row>
    <row r="46" spans="1:10">
      <c r="A46" s="181">
        <v>24</v>
      </c>
      <c r="B46" s="1041"/>
      <c r="C46" s="162"/>
      <c r="D46" s="162"/>
      <c r="E46" s="162"/>
      <c r="F46" s="255"/>
      <c r="G46" s="254"/>
    </row>
    <row r="47" spans="1:10">
      <c r="A47" s="181">
        <v>25</v>
      </c>
      <c r="B47" s="1041"/>
      <c r="C47" s="162"/>
      <c r="D47" s="162"/>
      <c r="E47" s="162"/>
      <c r="F47" s="255"/>
      <c r="G47" s="254"/>
    </row>
    <row r="48" spans="1:10">
      <c r="A48" s="181">
        <v>26</v>
      </c>
      <c r="B48" s="1041"/>
      <c r="C48" s="162"/>
      <c r="D48" s="162"/>
      <c r="E48" s="162"/>
      <c r="F48" s="255"/>
      <c r="G48" s="254"/>
    </row>
    <row r="49" spans="1:10">
      <c r="A49" s="181">
        <v>27</v>
      </c>
      <c r="B49" s="1041"/>
      <c r="C49" s="162"/>
      <c r="D49" s="162"/>
      <c r="E49" s="162"/>
      <c r="F49" s="255"/>
      <c r="G49" s="254"/>
    </row>
    <row r="50" spans="1:10">
      <c r="A50" s="181">
        <v>28</v>
      </c>
      <c r="B50" s="1041"/>
      <c r="C50" s="162"/>
      <c r="D50" s="162"/>
      <c r="E50" s="162"/>
      <c r="F50" s="255"/>
      <c r="G50" s="254"/>
    </row>
    <row r="51" spans="1:10">
      <c r="A51" s="181">
        <v>29</v>
      </c>
      <c r="B51" s="1041" t="s">
        <v>2427</v>
      </c>
      <c r="C51" s="162"/>
      <c r="D51" s="162"/>
      <c r="E51" s="162"/>
      <c r="F51" s="255"/>
      <c r="G51" s="254">
        <f>SUM(G46:G50)</f>
        <v>0</v>
      </c>
    </row>
    <row r="52" spans="1:10">
      <c r="A52" s="181">
        <v>30</v>
      </c>
      <c r="B52" s="1041" t="s">
        <v>2428</v>
      </c>
      <c r="C52" s="162"/>
      <c r="D52" s="162"/>
      <c r="E52" s="162"/>
      <c r="F52" s="302"/>
      <c r="G52" s="299"/>
    </row>
    <row r="53" spans="1:10">
      <c r="A53" s="181">
        <v>31</v>
      </c>
      <c r="B53" s="1041"/>
      <c r="C53" s="162"/>
      <c r="D53" s="162"/>
      <c r="E53" s="162"/>
      <c r="F53" s="255"/>
      <c r="G53" s="254"/>
    </row>
    <row r="54" spans="1:10">
      <c r="A54" s="181">
        <v>32</v>
      </c>
      <c r="B54" s="1041" t="s">
        <v>5001</v>
      </c>
      <c r="C54" s="162"/>
      <c r="D54" s="162"/>
      <c r="E54" s="162"/>
      <c r="F54" s="255"/>
      <c r="G54" s="254"/>
    </row>
    <row r="55" spans="1:10">
      <c r="A55" s="181">
        <v>33</v>
      </c>
      <c r="B55" s="1041"/>
      <c r="C55" s="162"/>
      <c r="D55" s="162"/>
      <c r="E55" s="162"/>
      <c r="F55" s="255"/>
      <c r="G55" s="254"/>
    </row>
    <row r="56" spans="1:10">
      <c r="A56" s="181">
        <v>34</v>
      </c>
      <c r="B56" s="1041"/>
      <c r="C56" s="162"/>
      <c r="D56" s="162"/>
      <c r="E56" s="162"/>
      <c r="F56" s="255"/>
      <c r="G56" s="254"/>
    </row>
    <row r="57" spans="1:10">
      <c r="A57" s="181">
        <v>35</v>
      </c>
      <c r="B57" s="1041"/>
      <c r="C57" s="162"/>
      <c r="D57" s="162"/>
      <c r="E57" s="162"/>
      <c r="F57" s="255"/>
      <c r="G57" s="254"/>
    </row>
    <row r="58" spans="1:10">
      <c r="A58" s="181">
        <v>36</v>
      </c>
      <c r="B58" s="1041" t="s">
        <v>210</v>
      </c>
      <c r="C58" s="162"/>
      <c r="D58" s="162"/>
      <c r="E58" s="162"/>
      <c r="F58" s="255"/>
      <c r="G58" s="254">
        <f>SUM(G53:G57)</f>
        <v>0</v>
      </c>
    </row>
    <row r="59" spans="1:10">
      <c r="A59" s="181">
        <v>37</v>
      </c>
      <c r="B59" s="1041" t="s">
        <v>211</v>
      </c>
      <c r="C59" s="162"/>
      <c r="D59" s="162"/>
      <c r="E59" s="162"/>
      <c r="F59" s="302"/>
      <c r="G59" s="299"/>
    </row>
    <row r="60" spans="1:10" ht="15.75" thickBot="1">
      <c r="A60" s="192">
        <v>38</v>
      </c>
      <c r="B60" s="193" t="s">
        <v>212</v>
      </c>
      <c r="C60" s="209"/>
      <c r="D60" s="209"/>
      <c r="E60" s="209"/>
      <c r="F60" s="268"/>
      <c r="G60" s="2037">
        <f>G23+G31+G37+G38+G44+G51+G58</f>
        <v>186118123</v>
      </c>
      <c r="H60" t="str">
        <f>IF(ROUND(G60,0)=ROUND('114115'!F76,0),"ok","error")</f>
        <v>ok</v>
      </c>
      <c r="I60" s="140"/>
      <c r="J60" s="140"/>
    </row>
    <row r="61" spans="1:10">
      <c r="A61" s="177" t="s">
        <v>213</v>
      </c>
      <c r="B61" s="177"/>
      <c r="C61" s="159"/>
      <c r="D61" s="159"/>
      <c r="E61" s="159"/>
      <c r="F61" s="177"/>
      <c r="G61" s="140"/>
    </row>
    <row r="62" spans="1:10">
      <c r="A62" s="159" t="s">
        <v>214</v>
      </c>
      <c r="B62" s="4"/>
      <c r="C62" s="4"/>
      <c r="D62" s="4"/>
      <c r="E62" s="159"/>
      <c r="F62" s="159"/>
      <c r="G62" s="140"/>
    </row>
    <row r="63" spans="1:10" ht="15.75" thickBot="1">
      <c r="A63" s="177" t="str">
        <f>'Data sheet'!A61</f>
        <v>Annual Report of Veolia Water New York, Inc.                                                                       Year Ended  December 31, 2023</v>
      </c>
      <c r="B63" s="177"/>
      <c r="C63" s="177"/>
      <c r="D63" s="177"/>
      <c r="E63" s="177"/>
      <c r="F63" s="177"/>
      <c r="G63" s="206"/>
    </row>
    <row r="64" spans="1:10">
      <c r="A64" s="155"/>
      <c r="B64" s="156"/>
      <c r="C64" s="156"/>
      <c r="D64" s="156"/>
      <c r="E64" s="156"/>
      <c r="F64" s="156"/>
      <c r="G64" s="293"/>
    </row>
    <row r="65" spans="1:7" ht="15.75">
      <c r="A65" s="158"/>
      <c r="B65" s="265" t="s">
        <v>2754</v>
      </c>
      <c r="C65" s="159"/>
      <c r="D65" s="159"/>
      <c r="E65" s="159"/>
      <c r="F65" s="159"/>
      <c r="G65" s="160"/>
    </row>
    <row r="66" spans="1:7">
      <c r="A66" s="165"/>
      <c r="B66" s="177"/>
      <c r="C66" s="177"/>
      <c r="D66" s="177"/>
      <c r="E66" s="177"/>
      <c r="F66" s="270"/>
      <c r="G66" s="214"/>
    </row>
    <row r="67" spans="1:7">
      <c r="A67" s="305" t="s">
        <v>1727</v>
      </c>
      <c r="B67" s="295" t="s">
        <v>1290</v>
      </c>
      <c r="C67" s="295"/>
      <c r="D67" s="295"/>
      <c r="E67" s="295"/>
      <c r="F67" s="295"/>
      <c r="G67" s="306" t="s">
        <v>1291</v>
      </c>
    </row>
    <row r="68" spans="1:7">
      <c r="A68" s="181" t="s">
        <v>1739</v>
      </c>
      <c r="B68" s="162" t="s">
        <v>2755</v>
      </c>
      <c r="C68" s="162"/>
      <c r="D68" s="162"/>
      <c r="E68" s="162"/>
      <c r="F68" s="162"/>
      <c r="G68" s="183" t="s">
        <v>3280</v>
      </c>
    </row>
    <row r="69" spans="1:7">
      <c r="A69" s="173"/>
      <c r="B69" s="177"/>
      <c r="C69" s="177"/>
      <c r="D69" s="159"/>
      <c r="E69" s="159"/>
      <c r="F69" s="159"/>
      <c r="G69" s="307"/>
    </row>
    <row r="70" spans="1:7" ht="15.75">
      <c r="A70" s="173"/>
      <c r="C70" s="308" t="s">
        <v>2756</v>
      </c>
      <c r="E70" s="159"/>
      <c r="F70" s="159"/>
      <c r="G70" s="307"/>
    </row>
    <row r="71" spans="1:7">
      <c r="A71" s="173"/>
      <c r="B71" s="191" t="s">
        <v>3715</v>
      </c>
      <c r="C71" s="159"/>
      <c r="D71" s="159"/>
      <c r="E71" s="159"/>
      <c r="F71" s="159"/>
      <c r="G71" s="307"/>
    </row>
    <row r="72" spans="1:7">
      <c r="A72" s="173"/>
      <c r="B72" s="191" t="s">
        <v>143</v>
      </c>
      <c r="C72" s="159"/>
      <c r="D72" s="159"/>
      <c r="E72" s="159"/>
      <c r="F72" s="177"/>
      <c r="G72" s="307"/>
    </row>
    <row r="73" spans="1:7">
      <c r="A73" s="181"/>
      <c r="B73" s="162"/>
      <c r="C73" s="162"/>
      <c r="D73" s="162"/>
      <c r="E73" s="162"/>
      <c r="F73" s="175"/>
      <c r="G73" s="307"/>
    </row>
    <row r="74" spans="1:7">
      <c r="A74" s="173" t="s">
        <v>144</v>
      </c>
      <c r="B74" s="159"/>
      <c r="C74" s="159"/>
      <c r="D74" s="159"/>
      <c r="E74" s="159"/>
      <c r="F74" s="177"/>
      <c r="G74" s="261"/>
    </row>
    <row r="75" spans="1:7">
      <c r="A75" s="173" t="s">
        <v>145</v>
      </c>
      <c r="B75" s="159"/>
      <c r="C75" s="159"/>
      <c r="D75" s="159"/>
      <c r="E75" s="159"/>
      <c r="F75" s="177"/>
      <c r="G75" s="261"/>
    </row>
    <row r="76" spans="1:7">
      <c r="A76" s="173" t="s">
        <v>146</v>
      </c>
      <c r="B76" s="159"/>
      <c r="C76" s="159"/>
      <c r="D76" s="159"/>
      <c r="E76" s="159"/>
      <c r="F76" s="177"/>
      <c r="G76" s="1007" t="s">
        <v>2289</v>
      </c>
    </row>
    <row r="77" spans="1:7">
      <c r="A77" s="173" t="s">
        <v>147</v>
      </c>
      <c r="B77" s="159"/>
      <c r="C77" s="159"/>
      <c r="D77" s="159"/>
      <c r="E77" s="159"/>
      <c r="F77" s="177"/>
      <c r="G77" s="261"/>
    </row>
    <row r="78" spans="1:7">
      <c r="A78" s="173" t="s">
        <v>2257</v>
      </c>
      <c r="B78" s="159"/>
      <c r="C78" s="159"/>
      <c r="D78" s="159"/>
      <c r="E78" s="159"/>
      <c r="F78" s="177"/>
      <c r="G78" s="261"/>
    </row>
    <row r="79" spans="1:7">
      <c r="A79" s="181" t="s">
        <v>2258</v>
      </c>
      <c r="B79" s="162"/>
      <c r="C79" s="162"/>
      <c r="D79" s="162"/>
      <c r="E79" s="162"/>
      <c r="F79" s="175"/>
      <c r="G79" s="254"/>
    </row>
    <row r="80" spans="1:7">
      <c r="A80" s="181" t="s">
        <v>2259</v>
      </c>
      <c r="B80" s="1041" t="s">
        <v>2260</v>
      </c>
      <c r="C80" s="162"/>
      <c r="D80" s="162"/>
      <c r="E80" s="162"/>
      <c r="F80" s="175"/>
      <c r="G80" s="254">
        <f>SUM(G74:G79)</f>
        <v>0</v>
      </c>
    </row>
    <row r="81" spans="1:8">
      <c r="A81" s="165"/>
      <c r="B81" s="159"/>
      <c r="C81" s="159"/>
      <c r="D81" s="159"/>
      <c r="E81" s="159"/>
      <c r="F81" s="177"/>
      <c r="G81" s="207"/>
    </row>
    <row r="82" spans="1:8" ht="15.75">
      <c r="A82" s="158" t="s">
        <v>2261</v>
      </c>
      <c r="B82" s="265"/>
      <c r="C82" s="265"/>
      <c r="D82" s="265"/>
      <c r="E82" s="265"/>
      <c r="F82" s="265"/>
      <c r="G82" s="309"/>
    </row>
    <row r="83" spans="1:8" ht="15.75">
      <c r="A83" s="310"/>
      <c r="B83" s="311"/>
      <c r="C83" s="311"/>
      <c r="D83" s="311"/>
      <c r="E83" s="311"/>
      <c r="F83" s="311"/>
      <c r="G83" s="312"/>
    </row>
    <row r="84" spans="1:8">
      <c r="A84" s="165"/>
      <c r="B84" s="159"/>
      <c r="C84" s="159"/>
      <c r="D84" s="159"/>
      <c r="E84" s="159"/>
      <c r="F84" s="177"/>
      <c r="G84" s="207"/>
    </row>
    <row r="85" spans="1:8">
      <c r="A85" s="165"/>
      <c r="B85" s="191" t="s">
        <v>2262</v>
      </c>
      <c r="C85" s="159"/>
      <c r="D85" s="159"/>
      <c r="E85" s="159"/>
      <c r="F85" s="177"/>
      <c r="G85" s="207"/>
    </row>
    <row r="86" spans="1:8">
      <c r="A86" s="165"/>
      <c r="B86" s="191" t="s">
        <v>938</v>
      </c>
      <c r="C86" s="159"/>
      <c r="D86" s="159"/>
      <c r="E86" s="159"/>
      <c r="F86" s="177"/>
      <c r="G86" s="207"/>
    </row>
    <row r="87" spans="1:8">
      <c r="A87" s="165"/>
      <c r="B87" s="191" t="s">
        <v>2298</v>
      </c>
      <c r="C87" s="159"/>
      <c r="D87" s="159"/>
      <c r="E87" s="159"/>
      <c r="F87" s="177"/>
      <c r="G87" s="207"/>
    </row>
    <row r="88" spans="1:8">
      <c r="A88" s="165"/>
      <c r="B88" s="191" t="s">
        <v>2299</v>
      </c>
      <c r="C88" s="159"/>
      <c r="D88" s="159"/>
      <c r="E88" s="159"/>
      <c r="F88" s="177"/>
      <c r="G88" s="207"/>
    </row>
    <row r="89" spans="1:8">
      <c r="A89" s="169"/>
      <c r="B89" s="1041"/>
      <c r="C89" s="162"/>
      <c r="D89" s="162"/>
      <c r="E89" s="162"/>
      <c r="F89" s="175"/>
      <c r="G89" s="313"/>
    </row>
    <row r="90" spans="1:8">
      <c r="A90" s="173"/>
      <c r="B90" s="159"/>
      <c r="C90" s="159"/>
      <c r="D90" s="159"/>
      <c r="E90" s="159"/>
      <c r="F90" s="314" t="s">
        <v>2300</v>
      </c>
      <c r="G90" s="315"/>
    </row>
    <row r="91" spans="1:8">
      <c r="A91" s="247" t="s">
        <v>1727</v>
      </c>
      <c r="B91" s="159" t="s">
        <v>2301</v>
      </c>
      <c r="C91" s="159"/>
      <c r="D91" s="159"/>
      <c r="E91" s="159"/>
      <c r="F91" s="314" t="s">
        <v>2302</v>
      </c>
      <c r="G91" s="315" t="s">
        <v>2303</v>
      </c>
    </row>
    <row r="92" spans="1:8">
      <c r="A92" s="248" t="s">
        <v>1739</v>
      </c>
      <c r="B92" s="162" t="s">
        <v>3279</v>
      </c>
      <c r="C92" s="162"/>
      <c r="D92" s="162"/>
      <c r="E92" s="162"/>
      <c r="F92" s="316" t="s">
        <v>3280</v>
      </c>
      <c r="G92" s="317" t="s">
        <v>3281</v>
      </c>
    </row>
    <row r="93" spans="1:8">
      <c r="A93" s="247">
        <v>1</v>
      </c>
      <c r="B93" s="191" t="s">
        <v>5328</v>
      </c>
      <c r="C93" s="159"/>
      <c r="D93" s="159"/>
      <c r="E93" s="159"/>
      <c r="F93" s="2181">
        <f>+'300'!D41-'300'!D31</f>
        <v>130603057</v>
      </c>
      <c r="G93" s="2182"/>
    </row>
    <row r="94" spans="1:8">
      <c r="A94" s="247">
        <v>2</v>
      </c>
      <c r="B94" s="159"/>
      <c r="C94" s="159"/>
      <c r="D94" s="159"/>
      <c r="E94" s="159"/>
      <c r="F94" s="277"/>
      <c r="G94" s="207"/>
    </row>
    <row r="95" spans="1:8">
      <c r="A95" s="247">
        <v>3</v>
      </c>
      <c r="B95" s="191" t="s">
        <v>1106</v>
      </c>
      <c r="C95" s="159"/>
      <c r="D95" s="159"/>
      <c r="E95" s="159"/>
      <c r="F95" s="277"/>
      <c r="G95" s="207">
        <f>+'300'!D31</f>
        <v>1926777</v>
      </c>
      <c r="H95" s="136"/>
    </row>
    <row r="96" spans="1:8">
      <c r="A96" s="247">
        <v>4</v>
      </c>
      <c r="B96" s="159"/>
      <c r="C96" s="159"/>
      <c r="D96" s="159"/>
      <c r="E96" s="159"/>
      <c r="F96" s="277"/>
      <c r="G96" s="207"/>
    </row>
    <row r="97" spans="1:8">
      <c r="A97" s="247">
        <v>5</v>
      </c>
      <c r="B97" s="159"/>
      <c r="C97" s="159"/>
      <c r="D97" s="159"/>
      <c r="E97" s="159"/>
      <c r="F97" s="277"/>
      <c r="G97" s="207"/>
    </row>
    <row r="98" spans="1:8">
      <c r="A98" s="247">
        <v>6</v>
      </c>
      <c r="B98" s="159"/>
      <c r="C98" s="159"/>
      <c r="D98" s="159"/>
      <c r="E98" s="159"/>
      <c r="F98" s="277"/>
      <c r="G98" s="207"/>
    </row>
    <row r="99" spans="1:8">
      <c r="A99" s="247">
        <v>7</v>
      </c>
      <c r="B99" s="159"/>
      <c r="C99" s="159"/>
      <c r="D99" s="159"/>
      <c r="E99" s="159"/>
      <c r="F99" s="277"/>
      <c r="G99" s="207"/>
    </row>
    <row r="100" spans="1:8">
      <c r="A100" s="247">
        <v>8</v>
      </c>
      <c r="B100" s="159"/>
      <c r="C100" s="159"/>
      <c r="D100" s="159"/>
      <c r="E100" s="159"/>
      <c r="F100" s="277"/>
      <c r="G100" s="207"/>
    </row>
    <row r="101" spans="1:8">
      <c r="A101" s="247">
        <v>9</v>
      </c>
      <c r="B101" s="159"/>
      <c r="C101" s="159"/>
      <c r="D101" s="159"/>
      <c r="E101" s="159"/>
      <c r="F101" s="277"/>
      <c r="G101" s="207"/>
    </row>
    <row r="102" spans="1:8">
      <c r="A102" s="247">
        <v>10</v>
      </c>
      <c r="B102" s="159"/>
      <c r="C102" s="159"/>
      <c r="D102" s="159"/>
      <c r="E102" s="159"/>
      <c r="F102" s="277"/>
      <c r="G102" s="207"/>
    </row>
    <row r="103" spans="1:8">
      <c r="A103" s="247">
        <v>11</v>
      </c>
      <c r="B103" s="159"/>
      <c r="C103" s="159"/>
      <c r="D103" s="159"/>
      <c r="E103" s="159"/>
      <c r="F103" s="277"/>
      <c r="G103" s="207"/>
    </row>
    <row r="104" spans="1:8">
      <c r="A104" s="247">
        <v>12</v>
      </c>
      <c r="B104" s="159"/>
      <c r="C104" s="159"/>
      <c r="D104" s="159"/>
      <c r="E104" s="159"/>
      <c r="F104" s="277"/>
      <c r="G104" s="207"/>
    </row>
    <row r="105" spans="1:8">
      <c r="A105" s="247">
        <v>13</v>
      </c>
      <c r="B105" s="159"/>
      <c r="C105" s="159"/>
      <c r="D105" s="159"/>
      <c r="E105" s="159"/>
      <c r="F105" s="277"/>
      <c r="G105" s="207"/>
    </row>
    <row r="106" spans="1:8">
      <c r="A106" s="247">
        <v>14</v>
      </c>
      <c r="B106" s="159"/>
      <c r="C106" s="159"/>
      <c r="D106" s="159"/>
      <c r="E106" s="159"/>
      <c r="F106" s="277"/>
      <c r="G106" s="207"/>
    </row>
    <row r="107" spans="1:8">
      <c r="A107" s="247">
        <v>15</v>
      </c>
      <c r="B107" s="159"/>
      <c r="C107" s="159"/>
      <c r="D107" s="159"/>
      <c r="E107" s="159"/>
      <c r="F107" s="277"/>
      <c r="G107" s="207"/>
    </row>
    <row r="108" spans="1:8">
      <c r="A108" s="247">
        <v>16</v>
      </c>
      <c r="B108" s="159"/>
      <c r="C108" s="159"/>
      <c r="D108" s="159"/>
      <c r="E108" s="159"/>
      <c r="F108" s="277"/>
      <c r="G108" s="207"/>
    </row>
    <row r="109" spans="1:8">
      <c r="A109" s="248">
        <v>17</v>
      </c>
      <c r="B109" s="1041" t="s">
        <v>4311</v>
      </c>
      <c r="C109" s="162"/>
      <c r="D109" s="162"/>
      <c r="E109" s="162"/>
      <c r="F109" s="318">
        <f>SUM(F93:F108)</f>
        <v>130603057</v>
      </c>
      <c r="G109" s="2183">
        <f>SUM(G93:G108)</f>
        <v>1926777</v>
      </c>
      <c r="H109" s="136" t="str">
        <f>IF((F109+G109)=+'300'!D41,"ok","error")</f>
        <v>ok</v>
      </c>
    </row>
    <row r="110" spans="1:8">
      <c r="A110" s="165"/>
      <c r="B110" s="159"/>
      <c r="C110" s="159"/>
      <c r="D110" s="159"/>
      <c r="E110" s="159"/>
      <c r="F110" s="177"/>
      <c r="G110" s="207"/>
    </row>
    <row r="111" spans="1:8">
      <c r="A111" s="165"/>
      <c r="B111" s="191"/>
      <c r="C111" s="159"/>
      <c r="D111" s="159"/>
      <c r="E111" s="1554"/>
      <c r="F111" s="1563"/>
      <c r="G111" s="207"/>
    </row>
    <row r="112" spans="1:8">
      <c r="A112" s="165"/>
      <c r="B112" s="191"/>
      <c r="C112" s="159"/>
      <c r="D112" s="159"/>
      <c r="E112" s="212"/>
      <c r="F112" s="1563"/>
      <c r="G112" s="207"/>
    </row>
    <row r="113" spans="1:7">
      <c r="A113" s="165"/>
      <c r="B113" s="2184"/>
      <c r="C113" s="159"/>
      <c r="D113" s="159"/>
      <c r="E113" s="159"/>
      <c r="F113" s="1563"/>
      <c r="G113" s="207"/>
    </row>
    <row r="114" spans="1:7">
      <c r="A114" s="165"/>
      <c r="B114" s="177"/>
      <c r="C114" s="159"/>
      <c r="D114" s="159"/>
      <c r="E114" s="159"/>
      <c r="F114" s="1563"/>
      <c r="G114" s="207"/>
    </row>
    <row r="115" spans="1:7">
      <c r="A115" s="165"/>
      <c r="B115" s="177"/>
      <c r="C115" s="177"/>
      <c r="D115" s="177"/>
      <c r="E115" s="177"/>
      <c r="F115" s="1563"/>
      <c r="G115" s="207"/>
    </row>
    <row r="116" spans="1:7">
      <c r="A116" s="165"/>
      <c r="B116" s="2185"/>
      <c r="C116" s="159"/>
      <c r="D116" s="159"/>
      <c r="E116" s="159"/>
      <c r="F116" s="1563"/>
      <c r="G116" s="207"/>
    </row>
    <row r="117" spans="1:7">
      <c r="A117" s="165"/>
      <c r="B117" s="177"/>
      <c r="C117" s="159"/>
      <c r="D117" s="159"/>
      <c r="E117" s="159"/>
      <c r="F117" s="159"/>
      <c r="G117" s="207"/>
    </row>
    <row r="118" spans="1:7">
      <c r="A118" s="165"/>
      <c r="B118" s="177"/>
      <c r="C118" s="159"/>
      <c r="D118" s="159"/>
      <c r="E118" s="159"/>
      <c r="F118" s="1563"/>
      <c r="G118" s="207"/>
    </row>
    <row r="119" spans="1:7">
      <c r="A119" s="165"/>
      <c r="B119" s="159"/>
      <c r="C119" s="159"/>
      <c r="D119" s="159"/>
      <c r="E119" s="1934"/>
      <c r="F119" s="1965"/>
      <c r="G119" s="207"/>
    </row>
    <row r="120" spans="1:7">
      <c r="A120" s="165"/>
      <c r="B120" s="177"/>
      <c r="C120" s="159"/>
      <c r="D120" s="159"/>
      <c r="E120" s="1934"/>
      <c r="F120" s="1934"/>
      <c r="G120" s="207"/>
    </row>
    <row r="121" spans="1:7">
      <c r="A121" s="165"/>
      <c r="B121" s="177"/>
      <c r="C121" s="159"/>
      <c r="D121" s="159"/>
      <c r="E121" s="1934"/>
      <c r="F121" s="1934"/>
      <c r="G121" s="207"/>
    </row>
    <row r="122" spans="1:7" ht="15.75" thickBot="1">
      <c r="A122" s="208"/>
      <c r="B122" s="196"/>
      <c r="C122" s="209"/>
      <c r="D122" s="209"/>
      <c r="E122" s="209"/>
      <c r="F122" s="196"/>
      <c r="G122" s="211"/>
    </row>
    <row r="123" spans="1:7">
      <c r="A123" s="177"/>
      <c r="B123" s="177"/>
      <c r="C123" s="159"/>
      <c r="D123" s="159"/>
      <c r="E123" s="159"/>
      <c r="F123" s="177"/>
      <c r="G123" s="177" t="s">
        <v>213</v>
      </c>
    </row>
    <row r="124" spans="1:7">
      <c r="A124" s="159" t="s">
        <v>2304</v>
      </c>
      <c r="B124" s="159"/>
      <c r="C124" s="159"/>
      <c r="D124" s="159"/>
      <c r="E124" s="159"/>
      <c r="F124" s="159"/>
      <c r="G124" s="212"/>
    </row>
    <row r="125" spans="1:7">
      <c r="A125" s="177"/>
      <c r="B125" s="177"/>
      <c r="C125" s="177"/>
      <c r="D125" s="177"/>
      <c r="E125" s="177"/>
      <c r="F125" s="177"/>
      <c r="G125" s="206"/>
    </row>
    <row r="126" spans="1:7">
      <c r="A126" s="177"/>
      <c r="B126" s="177"/>
      <c r="C126" s="177"/>
      <c r="D126" s="177"/>
      <c r="E126" s="177"/>
      <c r="F126" s="177"/>
      <c r="G126" s="206"/>
    </row>
    <row r="127" spans="1:7">
      <c r="A127" s="177"/>
      <c r="B127" s="177"/>
      <c r="C127" s="177"/>
      <c r="D127" s="177"/>
      <c r="E127" s="177"/>
      <c r="F127" s="177"/>
      <c r="G127" s="206"/>
    </row>
    <row r="128" spans="1:7">
      <c r="A128" s="177"/>
      <c r="B128" s="177"/>
      <c r="C128" s="177"/>
      <c r="D128" s="177"/>
      <c r="E128" s="177"/>
      <c r="F128" s="177"/>
      <c r="G128" s="206"/>
    </row>
    <row r="129" spans="1:7">
      <c r="A129" s="177"/>
      <c r="B129" s="177"/>
      <c r="C129" s="177"/>
      <c r="D129" s="177"/>
      <c r="E129" s="177"/>
      <c r="F129" s="177"/>
      <c r="G129" s="206"/>
    </row>
    <row r="130" spans="1:7">
      <c r="A130" s="177"/>
      <c r="B130" s="177"/>
      <c r="C130" s="177"/>
      <c r="D130" s="177"/>
      <c r="E130" s="177"/>
      <c r="F130" s="177"/>
      <c r="G130" s="206"/>
    </row>
    <row r="131" spans="1:7">
      <c r="A131" s="177"/>
      <c r="B131" s="177"/>
      <c r="C131" s="177"/>
      <c r="D131" s="177"/>
      <c r="E131" s="177"/>
      <c r="F131" s="177"/>
      <c r="G131" s="206"/>
    </row>
    <row r="132" spans="1:7">
      <c r="A132" s="177"/>
      <c r="B132" s="177"/>
      <c r="C132" s="177"/>
      <c r="D132" s="177"/>
      <c r="E132" s="177"/>
      <c r="F132" s="177"/>
      <c r="G132" s="206"/>
    </row>
    <row r="133" spans="1:7">
      <c r="A133" s="177"/>
      <c r="B133" s="177"/>
      <c r="C133" s="177"/>
      <c r="D133" s="177"/>
      <c r="E133" s="177"/>
      <c r="F133" s="177"/>
      <c r="G133" s="206"/>
    </row>
    <row r="134" spans="1:7">
      <c r="A134" s="177"/>
      <c r="B134" s="177"/>
      <c r="C134" s="177"/>
      <c r="D134" s="177"/>
      <c r="E134" s="177"/>
      <c r="F134" s="177"/>
      <c r="G134" s="206"/>
    </row>
    <row r="135" spans="1:7">
      <c r="A135" s="177"/>
      <c r="B135" s="177"/>
      <c r="C135" s="177"/>
      <c r="D135" s="177"/>
      <c r="E135" s="177"/>
      <c r="F135" s="177"/>
      <c r="G135" s="206"/>
    </row>
    <row r="136" spans="1:7">
      <c r="A136" s="177"/>
      <c r="B136" s="177"/>
      <c r="C136" s="177"/>
      <c r="D136" s="177"/>
      <c r="E136" s="177"/>
      <c r="F136" s="177"/>
      <c r="G136" s="206"/>
    </row>
    <row r="137" spans="1:7">
      <c r="A137" s="177"/>
      <c r="B137" s="177"/>
      <c r="C137" s="177"/>
      <c r="D137" s="177"/>
      <c r="E137" s="177"/>
      <c r="F137" s="177"/>
      <c r="G137" s="177"/>
    </row>
    <row r="138" spans="1:7">
      <c r="A138" s="177"/>
      <c r="B138" s="177"/>
      <c r="C138" s="177"/>
      <c r="D138" s="177"/>
      <c r="E138" s="177"/>
      <c r="F138" s="177"/>
      <c r="G138" s="177"/>
    </row>
  </sheetData>
  <phoneticPr fontId="0" type="noConversion"/>
  <printOptions horizontalCentered="1" verticalCentered="1"/>
  <pageMargins left="0.25" right="0.25" top="0.5" bottom="0.25" header="0.3" footer="0"/>
  <pageSetup scale="70" fitToHeight="2" orientation="portrait" r:id="rId1"/>
  <headerFooter alignWithMargins="0"/>
  <rowBreaks count="1" manualBreakCount="1">
    <brk id="62"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codeName="Sheet16"/>
  <dimension ref="A1:H138"/>
  <sheetViews>
    <sheetView defaultGridColor="0" colorId="22" zoomScaleNormal="100" workbookViewId="0">
      <selection activeCell="D127" sqref="D127"/>
    </sheetView>
  </sheetViews>
  <sheetFormatPr defaultColWidth="9.77734375" defaultRowHeight="15"/>
  <cols>
    <col min="1" max="1" width="4.77734375" customWidth="1"/>
    <col min="2" max="2" width="51.21875" customWidth="1"/>
    <col min="3" max="3" width="21.77734375" customWidth="1"/>
    <col min="4" max="4" width="12.77734375" customWidth="1"/>
    <col min="5" max="5" width="18.77734375" customWidth="1"/>
    <col min="6" max="6" width="10.33203125" bestFit="1" customWidth="1"/>
  </cols>
  <sheetData>
    <row r="1" spans="1:5" ht="15.75" thickBot="1">
      <c r="A1" s="177" t="str">
        <f>'Data sheet'!A63</f>
        <v>Annual Report of Veolia Water New York, Inc.                                                                             Year Ended  December 31, 2023</v>
      </c>
      <c r="B1" s="177"/>
      <c r="C1" s="177"/>
      <c r="D1" s="177"/>
      <c r="E1" s="177"/>
    </row>
    <row r="2" spans="1:5" ht="15.75">
      <c r="A2" s="319"/>
      <c r="B2" s="320" t="s">
        <v>2305</v>
      </c>
      <c r="C2" s="291"/>
      <c r="D2" s="291"/>
      <c r="E2" s="321"/>
    </row>
    <row r="3" spans="1:5">
      <c r="A3" s="165"/>
      <c r="B3" s="177"/>
      <c r="C3" s="177"/>
      <c r="D3" s="270"/>
      <c r="E3" s="214"/>
    </row>
    <row r="4" spans="1:5">
      <c r="A4" s="294"/>
      <c r="B4" s="1227" t="s">
        <v>860</v>
      </c>
      <c r="C4" s="1227" t="s">
        <v>861</v>
      </c>
      <c r="D4" s="242"/>
      <c r="E4" s="296"/>
    </row>
    <row r="5" spans="1:5">
      <c r="A5" s="165"/>
      <c r="B5" s="191" t="s">
        <v>862</v>
      </c>
      <c r="C5" s="191" t="s">
        <v>863</v>
      </c>
      <c r="E5" s="160"/>
    </row>
    <row r="6" spans="1:5">
      <c r="A6" s="165"/>
      <c r="B6" s="191" t="s">
        <v>1104</v>
      </c>
      <c r="C6" s="191" t="s">
        <v>1105</v>
      </c>
      <c r="E6" s="160"/>
    </row>
    <row r="7" spans="1:5">
      <c r="A7" s="165"/>
      <c r="B7" s="191" t="s">
        <v>270</v>
      </c>
      <c r="C7" s="191" t="s">
        <v>1141</v>
      </c>
      <c r="E7" s="297"/>
    </row>
    <row r="8" spans="1:5">
      <c r="A8" s="165"/>
      <c r="B8" s="191" t="s">
        <v>1142</v>
      </c>
      <c r="C8" s="191" t="s">
        <v>1143</v>
      </c>
      <c r="E8" s="160"/>
    </row>
    <row r="9" spans="1:5">
      <c r="A9" s="165"/>
      <c r="B9" s="191" t="s">
        <v>1144</v>
      </c>
      <c r="C9" s="191" t="s">
        <v>1145</v>
      </c>
      <c r="E9" s="160"/>
    </row>
    <row r="10" spans="1:5">
      <c r="A10" s="165"/>
      <c r="B10" s="191" t="s">
        <v>1146</v>
      </c>
      <c r="C10" s="191"/>
      <c r="E10" s="272"/>
    </row>
    <row r="11" spans="1:5">
      <c r="A11" s="165"/>
      <c r="B11" s="191"/>
      <c r="C11" s="191"/>
      <c r="E11" s="272"/>
    </row>
    <row r="12" spans="1:5">
      <c r="A12" s="165"/>
      <c r="B12" s="191" t="s">
        <v>1147</v>
      </c>
      <c r="C12" s="191"/>
      <c r="E12" s="272"/>
    </row>
    <row r="13" spans="1:5">
      <c r="A13" s="165"/>
      <c r="B13" s="191" t="s">
        <v>1148</v>
      </c>
      <c r="C13" s="191"/>
      <c r="E13" s="272"/>
    </row>
    <row r="14" spans="1:5">
      <c r="A14" s="165"/>
      <c r="B14" s="191"/>
      <c r="C14" s="191"/>
      <c r="E14" s="272"/>
    </row>
    <row r="15" spans="1:5">
      <c r="A15" s="1008" t="s">
        <v>1727</v>
      </c>
      <c r="B15" s="295" t="s">
        <v>1149</v>
      </c>
      <c r="C15" s="295"/>
      <c r="D15" s="322"/>
      <c r="E15" s="306" t="s">
        <v>1150</v>
      </c>
    </row>
    <row r="16" spans="1:5">
      <c r="A16" s="248" t="s">
        <v>1739</v>
      </c>
      <c r="B16" s="162" t="s">
        <v>3279</v>
      </c>
      <c r="C16" s="162"/>
      <c r="D16" s="162"/>
      <c r="E16" s="283" t="s">
        <v>3280</v>
      </c>
    </row>
    <row r="17" spans="1:5">
      <c r="A17" s="181">
        <v>1</v>
      </c>
      <c r="B17" s="1041" t="s">
        <v>1151</v>
      </c>
      <c r="C17" s="162"/>
      <c r="D17" s="323"/>
      <c r="E17" s="324"/>
    </row>
    <row r="18" spans="1:5">
      <c r="A18" s="181">
        <v>2</v>
      </c>
      <c r="B18" s="1041" t="s">
        <v>1152</v>
      </c>
      <c r="C18" s="1751"/>
      <c r="D18" s="323"/>
      <c r="E18" s="254">
        <f>ROUND(+'116119'!G114,2)</f>
        <v>21594562</v>
      </c>
    </row>
    <row r="19" spans="1:5">
      <c r="A19" s="181">
        <v>3</v>
      </c>
      <c r="B19" s="1041" t="s">
        <v>1153</v>
      </c>
      <c r="C19" s="162"/>
      <c r="D19" s="323"/>
      <c r="E19" s="324"/>
    </row>
    <row r="20" spans="1:5">
      <c r="A20" s="181">
        <v>4</v>
      </c>
      <c r="B20" s="1041" t="s">
        <v>4094</v>
      </c>
      <c r="C20" s="162"/>
      <c r="D20" s="323"/>
      <c r="E20" s="254">
        <v>16171780</v>
      </c>
    </row>
    <row r="21" spans="1:5">
      <c r="A21" s="181">
        <v>5</v>
      </c>
      <c r="B21" s="1041" t="s">
        <v>5076</v>
      </c>
      <c r="C21" s="162"/>
      <c r="D21" s="175"/>
      <c r="E21" s="254">
        <v>246468.83999999997</v>
      </c>
    </row>
    <row r="22" spans="1:5">
      <c r="A22" s="181">
        <v>6</v>
      </c>
      <c r="B22" s="1041" t="s">
        <v>5077</v>
      </c>
      <c r="C22" s="162"/>
      <c r="D22" s="175"/>
      <c r="E22" s="254">
        <v>-369741</v>
      </c>
    </row>
    <row r="23" spans="1:5">
      <c r="A23" s="181">
        <v>7</v>
      </c>
      <c r="B23" s="1041" t="s">
        <v>5233</v>
      </c>
      <c r="C23" s="162"/>
      <c r="D23" s="175"/>
      <c r="E23" s="254"/>
    </row>
    <row r="24" spans="1:5">
      <c r="A24" s="181">
        <v>8</v>
      </c>
      <c r="B24" s="1041" t="s">
        <v>1189</v>
      </c>
      <c r="C24" s="162"/>
      <c r="D24" s="175"/>
      <c r="E24" s="254">
        <v>4321367</v>
      </c>
    </row>
    <row r="25" spans="1:5">
      <c r="A25" s="181">
        <v>9</v>
      </c>
      <c r="B25" s="1041" t="s">
        <v>1190</v>
      </c>
      <c r="C25" s="162"/>
      <c r="D25" s="175"/>
      <c r="E25" s="254">
        <v>-27012</v>
      </c>
    </row>
    <row r="26" spans="1:5">
      <c r="A26" s="181">
        <v>10</v>
      </c>
      <c r="B26" s="1041" t="s">
        <v>1191</v>
      </c>
      <c r="C26" s="162"/>
      <c r="D26" s="175"/>
      <c r="E26" s="254">
        <v>-749840</v>
      </c>
    </row>
    <row r="27" spans="1:5">
      <c r="A27" s="181">
        <v>11</v>
      </c>
      <c r="B27" s="1041" t="s">
        <v>1192</v>
      </c>
      <c r="C27" s="162"/>
      <c r="D27" s="175"/>
      <c r="E27" s="254">
        <v>526749</v>
      </c>
    </row>
    <row r="28" spans="1:5">
      <c r="A28" s="181">
        <v>12</v>
      </c>
      <c r="B28" s="1041" t="s">
        <v>1193</v>
      </c>
      <c r="C28" s="162"/>
      <c r="D28" s="175"/>
      <c r="E28" s="254">
        <v>448668</v>
      </c>
    </row>
    <row r="29" spans="1:5">
      <c r="A29" s="181">
        <v>13</v>
      </c>
      <c r="B29" s="1041" t="s">
        <v>622</v>
      </c>
      <c r="C29" s="162"/>
      <c r="D29" s="175"/>
      <c r="E29" s="325"/>
    </row>
    <row r="30" spans="1:5">
      <c r="A30" s="181">
        <v>14</v>
      </c>
      <c r="B30" s="1041" t="s">
        <v>623</v>
      </c>
      <c r="C30" s="162"/>
      <c r="D30" s="175"/>
      <c r="E30" s="324"/>
    </row>
    <row r="31" spans="1:5">
      <c r="A31" s="181">
        <v>15</v>
      </c>
      <c r="B31" s="1041" t="s">
        <v>939</v>
      </c>
      <c r="C31" s="162"/>
      <c r="D31" s="175"/>
      <c r="E31" s="254">
        <v>4538475</v>
      </c>
    </row>
    <row r="32" spans="1:5">
      <c r="A32" s="181">
        <v>16</v>
      </c>
      <c r="B32" s="1041" t="s">
        <v>940</v>
      </c>
      <c r="C32" s="162"/>
      <c r="D32" s="175"/>
      <c r="E32" s="254"/>
    </row>
    <row r="33" spans="1:5">
      <c r="A33" s="181">
        <v>17</v>
      </c>
      <c r="B33" s="1041" t="s">
        <v>1218</v>
      </c>
      <c r="C33" s="162"/>
      <c r="D33" s="175"/>
      <c r="E33" s="254">
        <v>10994221.16</v>
      </c>
    </row>
    <row r="34" spans="1:5">
      <c r="A34" s="181">
        <v>18</v>
      </c>
      <c r="B34" s="1041" t="s">
        <v>2515</v>
      </c>
      <c r="C34" s="162"/>
      <c r="D34" s="175"/>
      <c r="E34" s="254">
        <v>-10904861</v>
      </c>
    </row>
    <row r="35" spans="1:5">
      <c r="A35" s="181">
        <v>19</v>
      </c>
      <c r="B35" s="1041" t="s">
        <v>2516</v>
      </c>
      <c r="C35" s="162"/>
      <c r="D35" s="175"/>
      <c r="E35" s="254">
        <v>-671304</v>
      </c>
    </row>
    <row r="36" spans="1:5">
      <c r="A36" s="181">
        <v>20</v>
      </c>
      <c r="B36" s="1041" t="s">
        <v>4143</v>
      </c>
      <c r="C36" s="162"/>
      <c r="D36" s="175"/>
      <c r="E36" s="254">
        <v>812361</v>
      </c>
    </row>
    <row r="37" spans="1:5">
      <c r="A37" s="181">
        <v>21</v>
      </c>
      <c r="B37" s="1041" t="s">
        <v>942</v>
      </c>
      <c r="C37" s="162"/>
      <c r="D37" s="175"/>
      <c r="E37" s="254">
        <f>E18+SUM(E20:E30)-E31-E32+SUM(E33:E36)</f>
        <v>37854944</v>
      </c>
    </row>
    <row r="38" spans="1:5">
      <c r="A38" s="181">
        <v>22</v>
      </c>
      <c r="B38" s="1041"/>
      <c r="C38" s="162"/>
      <c r="D38" s="175"/>
      <c r="E38" s="254"/>
    </row>
    <row r="39" spans="1:5">
      <c r="A39" s="181">
        <v>23</v>
      </c>
      <c r="B39" s="1041" t="s">
        <v>943</v>
      </c>
      <c r="C39" s="162"/>
      <c r="D39" s="175"/>
      <c r="E39" s="254"/>
    </row>
    <row r="40" spans="1:5">
      <c r="A40" s="181">
        <v>24</v>
      </c>
      <c r="B40" s="1041" t="s">
        <v>944</v>
      </c>
      <c r="C40" s="162"/>
      <c r="D40" s="175"/>
      <c r="E40" s="254"/>
    </row>
    <row r="41" spans="1:5">
      <c r="A41" s="181">
        <v>25</v>
      </c>
      <c r="B41" s="1041" t="s">
        <v>945</v>
      </c>
      <c r="C41" s="162"/>
      <c r="D41" s="175"/>
      <c r="E41" s="254">
        <v>-88040380</v>
      </c>
    </row>
    <row r="42" spans="1:5">
      <c r="A42" s="181">
        <v>26</v>
      </c>
      <c r="B42" s="1041" t="s">
        <v>946</v>
      </c>
      <c r="C42" s="162"/>
      <c r="D42" s="175"/>
      <c r="E42" s="254"/>
    </row>
    <row r="43" spans="1:5">
      <c r="A43" s="181">
        <v>27</v>
      </c>
      <c r="B43" s="1041" t="s">
        <v>947</v>
      </c>
      <c r="C43" s="162"/>
      <c r="D43" s="175"/>
      <c r="E43" s="254"/>
    </row>
    <row r="44" spans="1:5">
      <c r="A44" s="181">
        <v>28</v>
      </c>
      <c r="B44" s="1041" t="s">
        <v>939</v>
      </c>
      <c r="C44" s="162"/>
      <c r="D44" s="175"/>
      <c r="E44" s="254">
        <v>4538475</v>
      </c>
    </row>
    <row r="45" spans="1:5">
      <c r="A45" s="181">
        <v>29</v>
      </c>
      <c r="B45" s="1041" t="s">
        <v>941</v>
      </c>
      <c r="C45" s="162"/>
      <c r="D45" s="175"/>
      <c r="E45" s="254">
        <v>29376</v>
      </c>
    </row>
    <row r="46" spans="1:5">
      <c r="A46" s="181">
        <v>30</v>
      </c>
      <c r="B46" s="1041"/>
      <c r="C46" s="162"/>
      <c r="D46" s="175"/>
      <c r="E46" s="254"/>
    </row>
    <row r="47" spans="1:5">
      <c r="A47" s="181">
        <v>31</v>
      </c>
      <c r="B47" s="1041"/>
      <c r="C47" s="162"/>
      <c r="D47" s="175"/>
      <c r="E47" s="254"/>
    </row>
    <row r="48" spans="1:5">
      <c r="A48" s="181">
        <v>32</v>
      </c>
      <c r="B48" s="1041" t="s">
        <v>948</v>
      </c>
      <c r="C48" s="162"/>
      <c r="D48" s="175"/>
      <c r="E48" s="254">
        <f>SUM(E40:E47)</f>
        <v>-83472529</v>
      </c>
    </row>
    <row r="49" spans="1:5">
      <c r="A49" s="181">
        <v>33</v>
      </c>
      <c r="B49" s="1041"/>
      <c r="C49" s="162"/>
      <c r="D49" s="175"/>
      <c r="E49" s="2202"/>
    </row>
    <row r="50" spans="1:5">
      <c r="A50" s="181">
        <v>34</v>
      </c>
      <c r="B50" s="1041" t="s">
        <v>1433</v>
      </c>
      <c r="C50" s="162"/>
      <c r="D50" s="175"/>
      <c r="E50" s="2201"/>
    </row>
    <row r="51" spans="1:5">
      <c r="A51" s="181">
        <v>35</v>
      </c>
      <c r="B51" s="1041" t="s">
        <v>1434</v>
      </c>
      <c r="C51" s="162"/>
      <c r="D51" s="175"/>
      <c r="E51" s="2201"/>
    </row>
    <row r="52" spans="1:5">
      <c r="A52" s="181">
        <v>36</v>
      </c>
      <c r="B52" s="1041"/>
      <c r="C52" s="162"/>
      <c r="D52" s="175"/>
      <c r="E52" s="2201"/>
    </row>
    <row r="53" spans="1:5">
      <c r="A53" s="181">
        <v>37</v>
      </c>
      <c r="B53" s="1041" t="s">
        <v>1435</v>
      </c>
      <c r="C53" s="162"/>
      <c r="D53" s="175"/>
      <c r="E53" s="2201"/>
    </row>
    <row r="54" spans="1:5">
      <c r="A54" s="181">
        <v>38</v>
      </c>
      <c r="B54" s="1041" t="s">
        <v>1436</v>
      </c>
      <c r="C54" s="162"/>
      <c r="D54" s="175"/>
      <c r="E54" s="2201"/>
    </row>
    <row r="55" spans="1:5">
      <c r="A55" s="181">
        <v>39</v>
      </c>
      <c r="B55" s="1041" t="s">
        <v>1437</v>
      </c>
      <c r="C55" s="162"/>
      <c r="D55" s="175"/>
      <c r="E55" s="2202"/>
    </row>
    <row r="56" spans="1:5">
      <c r="A56" s="181">
        <v>40</v>
      </c>
      <c r="B56" s="1041" t="s">
        <v>1438</v>
      </c>
      <c r="C56" s="162"/>
      <c r="D56" s="175"/>
      <c r="E56" s="2201"/>
    </row>
    <row r="57" spans="1:5">
      <c r="A57" s="181">
        <v>41</v>
      </c>
      <c r="B57" s="1041"/>
      <c r="C57" s="162"/>
      <c r="D57" s="175"/>
      <c r="E57" s="2201"/>
    </row>
    <row r="58" spans="1:5">
      <c r="A58" s="181">
        <v>42</v>
      </c>
      <c r="B58" s="1041" t="s">
        <v>1439</v>
      </c>
      <c r="C58" s="162"/>
      <c r="D58" s="175"/>
      <c r="E58" s="2201"/>
    </row>
    <row r="59" spans="1:5" ht="15.75" thickBot="1">
      <c r="A59" s="192">
        <v>43</v>
      </c>
      <c r="B59" s="193" t="s">
        <v>615</v>
      </c>
      <c r="C59" s="209"/>
      <c r="D59" s="196"/>
      <c r="E59" s="2203"/>
    </row>
    <row r="60" spans="1:5">
      <c r="A60" s="177" t="s">
        <v>2024</v>
      </c>
      <c r="B60" s="177"/>
      <c r="C60" s="159"/>
      <c r="D60" s="177"/>
      <c r="E60" s="1523"/>
    </row>
    <row r="61" spans="1:5">
      <c r="A61" s="159" t="s">
        <v>616</v>
      </c>
      <c r="B61" s="4"/>
      <c r="C61" s="159"/>
      <c r="D61" s="159"/>
      <c r="E61" s="1529"/>
    </row>
    <row r="62" spans="1:5" ht="15.75" thickBot="1">
      <c r="A62" s="177" t="str">
        <f>'Data sheet'!A59</f>
        <v>Annual Report of Veolia Water New York, Inc.                                                             Year Ended  December 31, 2023</v>
      </c>
      <c r="B62" s="177"/>
      <c r="C62" s="177"/>
      <c r="D62" s="177"/>
      <c r="E62" s="1523"/>
    </row>
    <row r="63" spans="1:5">
      <c r="A63" s="155"/>
      <c r="B63" s="156"/>
      <c r="C63" s="156"/>
      <c r="D63" s="156"/>
      <c r="E63" s="2204"/>
    </row>
    <row r="64" spans="1:5" ht="15.75">
      <c r="A64" s="164"/>
      <c r="B64" s="265" t="s">
        <v>617</v>
      </c>
      <c r="C64" s="159"/>
      <c r="D64" s="159"/>
      <c r="E64" s="297"/>
    </row>
    <row r="65" spans="1:5">
      <c r="A65" s="165"/>
      <c r="B65" s="177"/>
      <c r="C65" s="177"/>
      <c r="D65" s="270"/>
      <c r="E65" s="2205"/>
    </row>
    <row r="66" spans="1:5">
      <c r="A66" s="294"/>
      <c r="B66" s="1227" t="s">
        <v>618</v>
      </c>
      <c r="C66" s="1227" t="s">
        <v>619</v>
      </c>
      <c r="D66" s="242"/>
      <c r="E66" s="2206"/>
    </row>
    <row r="67" spans="1:5">
      <c r="A67" s="165"/>
      <c r="B67" s="191" t="s">
        <v>3163</v>
      </c>
      <c r="C67" s="191" t="s">
        <v>3164</v>
      </c>
      <c r="E67" s="297"/>
    </row>
    <row r="68" spans="1:5">
      <c r="A68" s="165"/>
      <c r="B68" s="191" t="s">
        <v>3122</v>
      </c>
      <c r="C68" s="191" t="s">
        <v>1079</v>
      </c>
      <c r="E68" s="297"/>
    </row>
    <row r="69" spans="1:5">
      <c r="A69" s="165"/>
      <c r="B69" s="191" t="s">
        <v>1080</v>
      </c>
      <c r="C69" s="191" t="s">
        <v>1081</v>
      </c>
      <c r="E69" s="297"/>
    </row>
    <row r="70" spans="1:5">
      <c r="A70" s="165"/>
      <c r="B70" s="191"/>
      <c r="C70" s="191" t="s">
        <v>2602</v>
      </c>
      <c r="E70" s="297"/>
    </row>
    <row r="71" spans="1:5">
      <c r="A71" s="165"/>
      <c r="B71" s="191"/>
      <c r="C71" s="191" t="s">
        <v>2603</v>
      </c>
      <c r="E71" s="297"/>
    </row>
    <row r="72" spans="1:5">
      <c r="A72" s="165"/>
      <c r="B72" s="191"/>
      <c r="C72" s="191" t="s">
        <v>2604</v>
      </c>
      <c r="E72" s="297"/>
    </row>
    <row r="73" spans="1:5">
      <c r="A73" s="165"/>
      <c r="B73" s="191"/>
      <c r="C73" s="191"/>
      <c r="E73" s="297"/>
    </row>
    <row r="74" spans="1:5">
      <c r="A74" s="165"/>
      <c r="B74" s="191"/>
      <c r="C74" s="191"/>
      <c r="E74" s="297"/>
    </row>
    <row r="75" spans="1:5">
      <c r="A75" s="165"/>
      <c r="B75" s="191"/>
      <c r="C75" s="191"/>
      <c r="E75" s="297"/>
    </row>
    <row r="76" spans="1:5">
      <c r="A76" s="169"/>
      <c r="B76" s="1041"/>
      <c r="C76" s="1041"/>
      <c r="D76" s="224"/>
      <c r="E76" s="2207"/>
    </row>
    <row r="77" spans="1:5">
      <c r="A77" s="247" t="s">
        <v>1727</v>
      </c>
      <c r="B77" s="159" t="s">
        <v>2605</v>
      </c>
      <c r="C77" s="159"/>
      <c r="D77" s="4"/>
      <c r="E77" s="2208" t="s">
        <v>1150</v>
      </c>
    </row>
    <row r="78" spans="1:5">
      <c r="A78" s="248" t="s">
        <v>1739</v>
      </c>
      <c r="B78" s="162" t="s">
        <v>3279</v>
      </c>
      <c r="C78" s="162"/>
      <c r="D78" s="162"/>
      <c r="E78" s="2209" t="s">
        <v>3280</v>
      </c>
    </row>
    <row r="79" spans="1:5">
      <c r="A79" s="181">
        <v>44</v>
      </c>
      <c r="B79" s="1041" t="s">
        <v>2606</v>
      </c>
      <c r="C79" s="162"/>
      <c r="D79" s="323"/>
      <c r="E79" s="2201"/>
    </row>
    <row r="80" spans="1:5">
      <c r="A80" s="181">
        <v>45</v>
      </c>
      <c r="B80" s="1041" t="s">
        <v>2359</v>
      </c>
      <c r="C80" s="162"/>
      <c r="D80" s="323"/>
      <c r="E80" s="2201"/>
    </row>
    <row r="81" spans="1:5">
      <c r="A81" s="181">
        <v>46</v>
      </c>
      <c r="B81" s="1041"/>
      <c r="C81" s="162"/>
      <c r="D81" s="323"/>
      <c r="E81" s="2201"/>
    </row>
    <row r="82" spans="1:5">
      <c r="A82" s="181">
        <v>47</v>
      </c>
      <c r="B82" s="1041" t="s">
        <v>2075</v>
      </c>
      <c r="C82" s="162"/>
      <c r="D82" s="323"/>
      <c r="E82" s="2201"/>
    </row>
    <row r="83" spans="1:5">
      <c r="A83" s="181">
        <v>48</v>
      </c>
      <c r="B83" s="1041" t="s">
        <v>2076</v>
      </c>
      <c r="C83" s="162"/>
      <c r="D83" s="175"/>
      <c r="E83" s="2201"/>
    </row>
    <row r="84" spans="1:5">
      <c r="A84" s="181">
        <v>49</v>
      </c>
      <c r="B84" s="1041" t="s">
        <v>3921</v>
      </c>
      <c r="C84" s="162"/>
      <c r="D84" s="175"/>
      <c r="E84" s="2201"/>
    </row>
    <row r="85" spans="1:5">
      <c r="A85" s="181">
        <v>50</v>
      </c>
      <c r="B85" s="1041" t="s">
        <v>3922</v>
      </c>
      <c r="C85" s="162"/>
      <c r="D85" s="175"/>
      <c r="E85" s="2201"/>
    </row>
    <row r="86" spans="1:5">
      <c r="A86" s="181">
        <v>51</v>
      </c>
      <c r="B86" s="1041"/>
      <c r="C86" s="162"/>
      <c r="D86" s="175"/>
      <c r="E86" s="2201"/>
    </row>
    <row r="87" spans="1:5">
      <c r="A87" s="181">
        <v>52</v>
      </c>
      <c r="B87" s="1041"/>
      <c r="C87" s="162"/>
      <c r="D87" s="175"/>
      <c r="E87" s="2201"/>
    </row>
    <row r="88" spans="1:5">
      <c r="A88" s="181">
        <v>53</v>
      </c>
      <c r="B88" s="1041" t="s">
        <v>3923</v>
      </c>
      <c r="C88" s="162"/>
      <c r="D88" s="175"/>
      <c r="E88" s="2202"/>
    </row>
    <row r="89" spans="1:5">
      <c r="A89" s="181">
        <v>54</v>
      </c>
      <c r="B89" s="1041" t="s">
        <v>3148</v>
      </c>
      <c r="C89" s="162"/>
      <c r="D89" s="175"/>
      <c r="E89" s="254">
        <f>E48+SUM(E50:E59)+SUM(E79:E87)</f>
        <v>-83472529</v>
      </c>
    </row>
    <row r="90" spans="1:5">
      <c r="A90" s="181">
        <v>55</v>
      </c>
      <c r="B90" s="1041"/>
      <c r="C90" s="162"/>
      <c r="D90" s="175"/>
      <c r="E90" s="325"/>
    </row>
    <row r="91" spans="1:5">
      <c r="A91" s="181">
        <v>56</v>
      </c>
      <c r="B91" s="1041" t="s">
        <v>3149</v>
      </c>
      <c r="C91" s="162"/>
      <c r="D91" s="175"/>
      <c r="E91" s="325"/>
    </row>
    <row r="92" spans="1:5">
      <c r="A92" s="181">
        <v>57</v>
      </c>
      <c r="B92" s="1041" t="s">
        <v>3150</v>
      </c>
      <c r="C92" s="162"/>
      <c r="D92" s="175"/>
      <c r="E92" s="325"/>
    </row>
    <row r="93" spans="1:5">
      <c r="A93" s="181">
        <v>58</v>
      </c>
      <c r="B93" s="1041" t="s">
        <v>3151</v>
      </c>
      <c r="C93" s="162"/>
      <c r="D93" s="175"/>
      <c r="E93" s="254"/>
    </row>
    <row r="94" spans="1:5">
      <c r="A94" s="181">
        <v>59</v>
      </c>
      <c r="B94" s="1041" t="s">
        <v>3152</v>
      </c>
      <c r="C94" s="162"/>
      <c r="D94" s="175"/>
      <c r="E94" s="254"/>
    </row>
    <row r="95" spans="1:5">
      <c r="A95" s="181">
        <v>60</v>
      </c>
      <c r="B95" s="1041" t="s">
        <v>3153</v>
      </c>
      <c r="C95" s="162"/>
      <c r="D95" s="175"/>
      <c r="E95" s="254"/>
    </row>
    <row r="96" spans="1:5">
      <c r="A96" s="181">
        <v>61</v>
      </c>
      <c r="B96" s="1041" t="s">
        <v>4764</v>
      </c>
      <c r="C96" s="162"/>
      <c r="D96" s="175"/>
      <c r="E96" s="254">
        <v>45889956</v>
      </c>
    </row>
    <row r="97" spans="1:5">
      <c r="A97" s="181">
        <v>62</v>
      </c>
      <c r="B97" s="1041" t="s">
        <v>2460</v>
      </c>
      <c r="C97" s="162"/>
      <c r="D97" s="175"/>
      <c r="E97" s="254">
        <v>-272571</v>
      </c>
    </row>
    <row r="98" spans="1:5">
      <c r="A98" s="181">
        <v>63</v>
      </c>
      <c r="B98" s="1041" t="s">
        <v>3154</v>
      </c>
      <c r="C98" s="162"/>
      <c r="D98" s="175"/>
      <c r="E98" s="254"/>
    </row>
    <row r="99" spans="1:5">
      <c r="A99" s="181">
        <v>64</v>
      </c>
      <c r="B99" s="1041" t="s">
        <v>941</v>
      </c>
      <c r="C99" s="162"/>
      <c r="D99" s="175"/>
      <c r="E99" s="254"/>
    </row>
    <row r="100" spans="1:5">
      <c r="A100" s="181">
        <v>65</v>
      </c>
      <c r="B100" s="1041" t="s">
        <v>4420</v>
      </c>
      <c r="C100" s="162"/>
      <c r="D100" s="175"/>
      <c r="E100" s="254"/>
    </row>
    <row r="101" spans="1:5">
      <c r="A101" s="181">
        <v>66</v>
      </c>
      <c r="B101" s="1041"/>
      <c r="C101" s="162"/>
      <c r="D101" s="175"/>
      <c r="E101" s="254"/>
    </row>
    <row r="102" spans="1:5">
      <c r="A102" s="181">
        <v>67</v>
      </c>
      <c r="B102" s="1041" t="s">
        <v>3854</v>
      </c>
      <c r="C102" s="162"/>
      <c r="D102" s="175"/>
      <c r="E102" s="254">
        <f>SUM(E93:E101)</f>
        <v>45617385</v>
      </c>
    </row>
    <row r="103" spans="1:5">
      <c r="A103" s="181">
        <v>68</v>
      </c>
      <c r="B103" s="1041"/>
      <c r="C103" s="162"/>
      <c r="D103" s="175"/>
      <c r="E103" s="254"/>
    </row>
    <row r="104" spans="1:5">
      <c r="A104" s="181">
        <v>69</v>
      </c>
      <c r="B104" s="1041" t="s">
        <v>3855</v>
      </c>
      <c r="C104" s="162"/>
      <c r="D104" s="175"/>
      <c r="E104" s="324"/>
    </row>
    <row r="105" spans="1:5">
      <c r="A105" s="181">
        <v>70</v>
      </c>
      <c r="B105" s="1041" t="s">
        <v>3856</v>
      </c>
      <c r="C105" s="162"/>
      <c r="D105" s="175"/>
      <c r="E105" s="254"/>
    </row>
    <row r="106" spans="1:5">
      <c r="A106" s="181">
        <v>71</v>
      </c>
      <c r="B106" s="1041" t="s">
        <v>3152</v>
      </c>
      <c r="C106" s="162"/>
      <c r="D106" s="175"/>
      <c r="E106" s="254"/>
    </row>
    <row r="107" spans="1:5">
      <c r="A107" s="181">
        <v>72</v>
      </c>
      <c r="B107" s="1041" t="s">
        <v>3153</v>
      </c>
      <c r="C107" s="162"/>
      <c r="D107" s="175"/>
      <c r="E107" s="254"/>
    </row>
    <row r="108" spans="1:5">
      <c r="A108" s="181">
        <v>73</v>
      </c>
      <c r="B108" s="1041" t="s">
        <v>2460</v>
      </c>
      <c r="C108" s="162"/>
      <c r="D108" s="175"/>
      <c r="E108" s="254"/>
    </row>
    <row r="109" spans="1:5">
      <c r="A109" s="181">
        <v>74</v>
      </c>
      <c r="B109" s="1041"/>
      <c r="C109" s="162"/>
      <c r="D109" s="175"/>
      <c r="E109" s="254"/>
    </row>
    <row r="110" spans="1:5">
      <c r="A110" s="181">
        <v>75</v>
      </c>
      <c r="B110" s="1041" t="s">
        <v>1237</v>
      </c>
      <c r="C110" s="162"/>
      <c r="D110" s="175"/>
      <c r="E110" s="254"/>
    </row>
    <row r="111" spans="1:5">
      <c r="A111" s="181">
        <v>76</v>
      </c>
      <c r="B111" s="1041"/>
      <c r="C111" s="162"/>
      <c r="D111" s="175"/>
      <c r="E111" s="254"/>
    </row>
    <row r="112" spans="1:5">
      <c r="A112" s="181">
        <v>77</v>
      </c>
      <c r="B112" s="1041" t="s">
        <v>1238</v>
      </c>
      <c r="C112" s="162"/>
      <c r="D112" s="175"/>
      <c r="E112" s="254"/>
    </row>
    <row r="113" spans="1:8">
      <c r="A113" s="181">
        <v>78</v>
      </c>
      <c r="B113" s="1041" t="s">
        <v>1239</v>
      </c>
      <c r="C113" s="162"/>
      <c r="D113" s="175"/>
      <c r="E113" s="254"/>
    </row>
    <row r="114" spans="1:8">
      <c r="A114" s="181">
        <v>79</v>
      </c>
      <c r="B114" s="1041" t="s">
        <v>1240</v>
      </c>
      <c r="C114" s="162"/>
      <c r="D114" s="175"/>
      <c r="E114" s="324"/>
    </row>
    <row r="115" spans="1:8">
      <c r="A115" s="181">
        <v>80</v>
      </c>
      <c r="B115" s="1041" t="s">
        <v>1242</v>
      </c>
      <c r="C115" s="162"/>
      <c r="D115" s="175"/>
      <c r="E115" s="254">
        <f>SUM(E102:E113)</f>
        <v>45617385</v>
      </c>
    </row>
    <row r="116" spans="1:8">
      <c r="A116" s="181">
        <v>81</v>
      </c>
      <c r="B116" s="1041"/>
      <c r="C116" s="162"/>
      <c r="D116" s="175"/>
      <c r="E116" s="254"/>
    </row>
    <row r="117" spans="1:8">
      <c r="A117" s="181">
        <v>82</v>
      </c>
      <c r="B117" s="1041" t="s">
        <v>1243</v>
      </c>
      <c r="C117" s="162"/>
      <c r="D117" s="175"/>
      <c r="E117" s="324"/>
    </row>
    <row r="118" spans="1:8">
      <c r="A118" s="181">
        <v>83</v>
      </c>
      <c r="B118" s="1041" t="s">
        <v>1244</v>
      </c>
      <c r="C118" s="162"/>
      <c r="D118" s="175"/>
      <c r="E118" s="254">
        <f>E37+E89+E115</f>
        <v>-200</v>
      </c>
    </row>
    <row r="119" spans="1:8">
      <c r="A119" s="181">
        <v>84</v>
      </c>
      <c r="B119" s="1041"/>
      <c r="C119" s="162"/>
      <c r="D119" s="175"/>
      <c r="E119" s="324"/>
    </row>
    <row r="120" spans="1:8">
      <c r="A120" s="181">
        <v>85</v>
      </c>
      <c r="B120" s="1041" t="s">
        <v>1245</v>
      </c>
      <c r="C120" s="162"/>
      <c r="D120" s="175"/>
      <c r="E120" s="254">
        <f>+'114115'!E23+'114115'!E27</f>
        <v>10320</v>
      </c>
    </row>
    <row r="121" spans="1:8">
      <c r="A121" s="181">
        <v>86</v>
      </c>
      <c r="B121" s="1041"/>
      <c r="C121" s="162"/>
      <c r="D121" s="175"/>
      <c r="E121" s="324"/>
    </row>
    <row r="122" spans="1:8" ht="15.75" thickBot="1">
      <c r="A122" s="192">
        <v>87</v>
      </c>
      <c r="B122" s="193" t="s">
        <v>1246</v>
      </c>
      <c r="C122" s="209"/>
      <c r="D122" s="196"/>
      <c r="E122" s="2210">
        <f>E118+E120</f>
        <v>10120</v>
      </c>
      <c r="F122" t="str">
        <f>IF(ROUND(E122,0)=ROUND(('114115'!F23+'114115'!F26+'114115'!F27),0),"ok","error")</f>
        <v>ok</v>
      </c>
      <c r="G122" s="140"/>
      <c r="H122" s="140"/>
    </row>
    <row r="123" spans="1:8">
      <c r="A123" s="177"/>
      <c r="B123" s="177"/>
      <c r="C123" s="159"/>
      <c r="D123" s="177"/>
      <c r="E123" s="177" t="s">
        <v>2024</v>
      </c>
    </row>
    <row r="124" spans="1:8">
      <c r="A124" s="159" t="s">
        <v>1247</v>
      </c>
      <c r="B124" s="159"/>
      <c r="C124" s="159"/>
      <c r="D124" s="159"/>
      <c r="E124" s="212"/>
    </row>
    <row r="125" spans="1:8">
      <c r="B125" s="159"/>
      <c r="C125" s="177"/>
      <c r="D125" s="177"/>
      <c r="E125" s="206">
        <f>+'114115'!F23+'114115'!F26+'114115'!F27</f>
        <v>10120</v>
      </c>
      <c r="F125" t="s">
        <v>4417</v>
      </c>
    </row>
    <row r="126" spans="1:8">
      <c r="B126" s="159"/>
      <c r="C126" s="177"/>
      <c r="D126" s="177"/>
      <c r="E126" s="206"/>
    </row>
    <row r="127" spans="1:8">
      <c r="B127" s="159"/>
      <c r="C127" s="177"/>
      <c r="D127" s="177"/>
      <c r="E127" s="206">
        <f>+E122-E125</f>
        <v>0</v>
      </c>
      <c r="F127" t="s">
        <v>4418</v>
      </c>
    </row>
    <row r="128" spans="1:8">
      <c r="B128" s="159"/>
      <c r="C128" s="177"/>
      <c r="D128" s="177"/>
      <c r="E128" s="206"/>
    </row>
    <row r="129" spans="1:5">
      <c r="B129" s="159"/>
      <c r="C129" s="177"/>
      <c r="D129" s="177"/>
      <c r="E129" s="206"/>
    </row>
    <row r="130" spans="1:5">
      <c r="B130" s="159"/>
      <c r="C130" s="177"/>
      <c r="D130" s="177"/>
      <c r="E130" s="206"/>
    </row>
    <row r="131" spans="1:5">
      <c r="A131" s="177"/>
      <c r="B131" s="177"/>
      <c r="C131" s="177"/>
      <c r="D131" s="177"/>
      <c r="E131" s="206"/>
    </row>
    <row r="132" spans="1:5">
      <c r="A132" s="177"/>
      <c r="B132" s="177"/>
      <c r="C132" s="177"/>
      <c r="D132" s="177"/>
      <c r="E132" s="206"/>
    </row>
    <row r="133" spans="1:5">
      <c r="A133" s="177"/>
      <c r="B133" s="177"/>
      <c r="C133" s="177"/>
      <c r="D133" s="177"/>
      <c r="E133" s="206"/>
    </row>
    <row r="134" spans="1:5">
      <c r="A134" s="177"/>
      <c r="B134" s="177"/>
      <c r="C134" s="177"/>
      <c r="D134" s="177"/>
      <c r="E134" s="206"/>
    </row>
    <row r="135" spans="1:5">
      <c r="A135" s="177"/>
      <c r="B135" s="177"/>
      <c r="C135" s="177"/>
      <c r="D135" s="177"/>
      <c r="E135" s="206"/>
    </row>
    <row r="136" spans="1:5">
      <c r="A136" s="177"/>
      <c r="B136" s="177"/>
      <c r="C136" s="177"/>
      <c r="D136" s="177"/>
      <c r="E136" s="206"/>
    </row>
    <row r="137" spans="1:5">
      <c r="A137" s="177"/>
      <c r="B137" s="177"/>
      <c r="C137" s="177"/>
      <c r="D137" s="177"/>
      <c r="E137" s="206"/>
    </row>
    <row r="138" spans="1:5">
      <c r="A138" s="177"/>
      <c r="B138" s="177"/>
      <c r="C138" s="177"/>
      <c r="D138" s="177"/>
      <c r="E138" s="206"/>
    </row>
  </sheetData>
  <phoneticPr fontId="0" type="noConversion"/>
  <printOptions horizontalCentered="1" verticalCentered="1"/>
  <pageMargins left="0.2" right="0.2" top="0.5" bottom="0.3" header="0.3" footer="0"/>
  <pageSetup scale="75" fitToHeight="2" orientation="portrait" r:id="rId1"/>
  <headerFooter alignWithMargins="0"/>
  <rowBreaks count="1" manualBreakCount="1">
    <brk id="61"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codeName="Sheet17"/>
  <dimension ref="A1:G152"/>
  <sheetViews>
    <sheetView defaultGridColor="0" colorId="22" zoomScaleNormal="100" workbookViewId="0">
      <selection activeCell="F30" sqref="F30"/>
    </sheetView>
  </sheetViews>
  <sheetFormatPr defaultColWidth="9.77734375" defaultRowHeight="15"/>
  <cols>
    <col min="1" max="1" width="4.77734375" customWidth="1"/>
    <col min="2" max="2" width="43.77734375" customWidth="1"/>
    <col min="3" max="3" width="9.33203125" customWidth="1"/>
    <col min="4" max="4" width="3.77734375" customWidth="1"/>
    <col min="5" max="5" width="13.77734375" customWidth="1"/>
    <col min="6" max="6" width="15.77734375" customWidth="1"/>
    <col min="7" max="7" width="16.77734375" customWidth="1"/>
  </cols>
  <sheetData>
    <row r="1" spans="1:7" ht="15.75" thickBot="1">
      <c r="A1" t="str">
        <f>'Data sheet'!A59</f>
        <v>Annual Report of Veolia Water New York, Inc.                                                             Year Ended  December 31, 2023</v>
      </c>
    </row>
    <row r="2" spans="1:7">
      <c r="A2" s="155"/>
      <c r="B2" s="156"/>
      <c r="C2" s="156"/>
      <c r="D2" s="156"/>
      <c r="E2" s="156"/>
      <c r="F2" s="156"/>
      <c r="G2" s="157"/>
    </row>
    <row r="3" spans="1:7" ht="15.75">
      <c r="A3" s="158" t="s">
        <v>1248</v>
      </c>
      <c r="B3" s="159"/>
      <c r="C3" s="159"/>
      <c r="D3" s="159"/>
      <c r="E3" s="159"/>
      <c r="F3" s="159"/>
      <c r="G3" s="160"/>
    </row>
    <row r="4" spans="1:7">
      <c r="A4" s="169"/>
      <c r="B4" s="175"/>
      <c r="C4" s="326"/>
      <c r="D4" s="175"/>
      <c r="E4" s="175"/>
      <c r="F4" s="128"/>
      <c r="G4" s="225"/>
    </row>
    <row r="5" spans="1:7">
      <c r="A5" s="165"/>
      <c r="B5" s="191" t="s">
        <v>274</v>
      </c>
      <c r="C5" s="159"/>
      <c r="D5" s="191" t="s">
        <v>275</v>
      </c>
      <c r="F5" s="159"/>
      <c r="G5" s="160"/>
    </row>
    <row r="6" spans="1:7">
      <c r="A6" s="165"/>
      <c r="B6" s="191" t="s">
        <v>276</v>
      </c>
      <c r="C6" s="159"/>
      <c r="D6" s="191" t="s">
        <v>277</v>
      </c>
      <c r="F6" s="159"/>
      <c r="G6" s="160"/>
    </row>
    <row r="7" spans="1:7">
      <c r="A7" s="165"/>
      <c r="B7" s="191" t="s">
        <v>3852</v>
      </c>
      <c r="C7" s="159"/>
      <c r="D7" s="191" t="s">
        <v>3853</v>
      </c>
      <c r="F7" s="159"/>
      <c r="G7" s="160"/>
    </row>
    <row r="8" spans="1:7">
      <c r="A8" s="165"/>
      <c r="B8" s="191" t="s">
        <v>2173</v>
      </c>
      <c r="C8" s="159"/>
      <c r="D8" s="191" t="s">
        <v>2174</v>
      </c>
      <c r="F8" s="159"/>
      <c r="G8" s="297"/>
    </row>
    <row r="9" spans="1:7">
      <c r="A9" s="165"/>
      <c r="B9" s="191" t="s">
        <v>45</v>
      </c>
      <c r="C9" s="159"/>
      <c r="D9" s="191" t="s">
        <v>3138</v>
      </c>
      <c r="F9" s="212"/>
      <c r="G9" s="160"/>
    </row>
    <row r="10" spans="1:7">
      <c r="A10" s="165"/>
      <c r="B10" s="191" t="s">
        <v>3139</v>
      </c>
      <c r="C10" s="159"/>
      <c r="D10" s="191" t="s">
        <v>3140</v>
      </c>
      <c r="F10" s="212"/>
      <c r="G10" s="160"/>
    </row>
    <row r="11" spans="1:7">
      <c r="A11" s="165"/>
      <c r="B11" s="191" t="s">
        <v>3141</v>
      </c>
      <c r="C11" s="159"/>
      <c r="D11" s="191" t="s">
        <v>3142</v>
      </c>
      <c r="F11" s="159"/>
      <c r="G11" s="272"/>
    </row>
    <row r="12" spans="1:7">
      <c r="A12" s="165"/>
      <c r="B12" s="191" t="s">
        <v>3121</v>
      </c>
      <c r="C12" s="159"/>
      <c r="D12" s="191" t="s">
        <v>2388</v>
      </c>
      <c r="F12" s="212"/>
      <c r="G12" s="272"/>
    </row>
    <row r="13" spans="1:7">
      <c r="A13" s="165"/>
      <c r="B13" s="191" t="s">
        <v>2389</v>
      </c>
      <c r="C13" s="159"/>
      <c r="D13" s="191" t="s">
        <v>1908</v>
      </c>
      <c r="F13" s="212"/>
      <c r="G13" s="272"/>
    </row>
    <row r="14" spans="1:7">
      <c r="A14" s="165"/>
      <c r="B14" s="191" t="s">
        <v>2220</v>
      </c>
      <c r="C14" s="1554"/>
      <c r="D14" s="191" t="s">
        <v>2221</v>
      </c>
      <c r="G14" s="1555"/>
    </row>
    <row r="15" spans="1:7">
      <c r="A15" s="165"/>
      <c r="B15" s="191" t="s">
        <v>2222</v>
      </c>
      <c r="C15" s="159"/>
      <c r="D15" s="191" t="s">
        <v>2223</v>
      </c>
      <c r="G15" s="272"/>
    </row>
    <row r="16" spans="1:7">
      <c r="A16" s="165"/>
      <c r="B16" s="191" t="s">
        <v>2224</v>
      </c>
      <c r="C16" s="159"/>
      <c r="D16" s="191" t="s">
        <v>2225</v>
      </c>
      <c r="E16" s="159"/>
      <c r="G16" s="160"/>
    </row>
    <row r="17" spans="1:7">
      <c r="A17" s="165"/>
      <c r="B17" s="191" t="s">
        <v>3201</v>
      </c>
      <c r="C17" s="159"/>
      <c r="D17" s="191"/>
      <c r="F17" s="159"/>
      <c r="G17" s="160"/>
    </row>
    <row r="18" spans="1:7">
      <c r="A18" s="165"/>
      <c r="B18" s="191" t="s">
        <v>3202</v>
      </c>
      <c r="C18" s="159"/>
      <c r="D18" s="191"/>
      <c r="F18" s="159"/>
      <c r="G18" s="160"/>
    </row>
    <row r="19" spans="1:7">
      <c r="A19" s="165"/>
      <c r="B19" s="191" t="s">
        <v>3203</v>
      </c>
      <c r="C19" s="159"/>
      <c r="D19" s="191"/>
      <c r="F19" s="159"/>
      <c r="G19" s="160"/>
    </row>
    <row r="20" spans="1:7">
      <c r="A20" s="165"/>
      <c r="B20" s="191" t="s">
        <v>1797</v>
      </c>
      <c r="C20" s="159"/>
      <c r="D20" s="191"/>
      <c r="F20" s="159"/>
      <c r="G20" s="160"/>
    </row>
    <row r="21" spans="1:7">
      <c r="A21" s="169"/>
      <c r="B21" s="1041" t="s">
        <v>1798</v>
      </c>
      <c r="C21" s="162"/>
      <c r="D21" s="1041"/>
      <c r="E21" s="162"/>
      <c r="F21" s="162"/>
      <c r="G21" s="163"/>
    </row>
    <row r="22" spans="1:7">
      <c r="A22" s="165"/>
      <c r="B22" s="159"/>
      <c r="C22" s="159"/>
      <c r="D22" s="159"/>
      <c r="E22" s="177"/>
      <c r="F22" s="206"/>
      <c r="G22" s="207"/>
    </row>
    <row r="23" spans="1:7">
      <c r="A23" s="165"/>
      <c r="B23" s="177"/>
      <c r="C23" s="159"/>
      <c r="D23" s="159"/>
      <c r="E23" s="177"/>
      <c r="F23" s="206"/>
      <c r="G23" s="207"/>
    </row>
    <row r="24" spans="1:7">
      <c r="A24" s="165"/>
      <c r="B24" s="191"/>
      <c r="C24" s="159"/>
      <c r="D24" s="159"/>
      <c r="E24" s="177"/>
      <c r="F24" s="206"/>
      <c r="G24" s="207"/>
    </row>
    <row r="25" spans="1:7">
      <c r="A25" s="165"/>
      <c r="B25" s="177"/>
      <c r="C25" s="159"/>
      <c r="D25" s="159"/>
      <c r="E25" s="177"/>
      <c r="F25" s="206"/>
      <c r="G25" s="207"/>
    </row>
    <row r="26" spans="1:7">
      <c r="A26" s="165"/>
      <c r="B26" s="159"/>
      <c r="C26" s="159"/>
      <c r="D26" s="159"/>
      <c r="E26" s="177"/>
      <c r="F26" s="206"/>
      <c r="G26" s="207"/>
    </row>
    <row r="27" spans="1:7">
      <c r="A27" s="165"/>
      <c r="B27" s="159"/>
      <c r="C27" s="159"/>
      <c r="D27" s="159"/>
      <c r="E27" s="177"/>
      <c r="F27" s="206"/>
      <c r="G27" s="207"/>
    </row>
    <row r="28" spans="1:7">
      <c r="A28" s="165"/>
      <c r="B28" s="159"/>
      <c r="C28" s="159"/>
      <c r="D28" s="159"/>
      <c r="E28" s="177"/>
      <c r="F28" s="206"/>
      <c r="G28" s="207"/>
    </row>
    <row r="29" spans="1:7">
      <c r="A29" s="165"/>
      <c r="B29" s="159"/>
      <c r="C29" s="159"/>
      <c r="D29" s="159"/>
      <c r="E29" s="177"/>
      <c r="F29" s="206"/>
      <c r="G29" s="207"/>
    </row>
    <row r="30" spans="1:7">
      <c r="A30" s="165"/>
      <c r="B30" s="159"/>
      <c r="C30" s="159"/>
      <c r="D30" s="159"/>
      <c r="E30" s="177"/>
      <c r="F30" s="206"/>
      <c r="G30" s="207"/>
    </row>
    <row r="31" spans="1:7">
      <c r="A31" s="165"/>
      <c r="B31" s="159"/>
      <c r="C31" s="159"/>
      <c r="D31" s="159"/>
      <c r="E31" s="177"/>
      <c r="F31" s="206"/>
      <c r="G31" s="207"/>
    </row>
    <row r="32" spans="1:7">
      <c r="A32" s="165"/>
      <c r="B32" s="159"/>
      <c r="C32" s="159"/>
      <c r="D32" s="159"/>
      <c r="E32" s="177"/>
      <c r="F32" s="206"/>
      <c r="G32" s="207"/>
    </row>
    <row r="33" spans="1:7">
      <c r="A33" s="165"/>
      <c r="B33" s="159"/>
      <c r="C33" s="159"/>
      <c r="D33" s="159"/>
      <c r="E33" s="177"/>
      <c r="F33" s="206"/>
      <c r="G33" s="207"/>
    </row>
    <row r="34" spans="1:7">
      <c r="A34" s="165"/>
      <c r="B34" s="159"/>
      <c r="C34" s="159"/>
      <c r="D34" s="159"/>
      <c r="E34" s="177"/>
      <c r="F34" s="206"/>
      <c r="G34" s="207"/>
    </row>
    <row r="35" spans="1:7">
      <c r="A35" s="165"/>
      <c r="B35" s="159"/>
      <c r="C35" s="159"/>
      <c r="D35" s="159"/>
      <c r="E35" s="177"/>
      <c r="F35" s="206"/>
      <c r="G35" s="207"/>
    </row>
    <row r="36" spans="1:7">
      <c r="A36" s="165"/>
      <c r="B36" s="159"/>
      <c r="C36" s="159"/>
      <c r="D36" s="159"/>
      <c r="E36" s="177"/>
      <c r="F36" s="206"/>
      <c r="G36" s="207"/>
    </row>
    <row r="37" spans="1:7">
      <c r="A37" s="165"/>
      <c r="B37" s="159"/>
      <c r="C37" s="159"/>
      <c r="D37" s="159"/>
      <c r="E37" s="177"/>
      <c r="F37" s="206"/>
      <c r="G37" s="207"/>
    </row>
    <row r="38" spans="1:7">
      <c r="A38" s="165"/>
      <c r="B38" s="159"/>
      <c r="C38" s="159"/>
      <c r="D38" s="159"/>
      <c r="E38" s="177"/>
      <c r="F38" s="206"/>
      <c r="G38" s="207"/>
    </row>
    <row r="39" spans="1:7">
      <c r="A39" s="165"/>
      <c r="B39" s="159"/>
      <c r="C39" s="159"/>
      <c r="D39" s="159"/>
      <c r="E39" s="177"/>
      <c r="F39" s="206"/>
      <c r="G39" s="207"/>
    </row>
    <row r="40" spans="1:7">
      <c r="A40" s="165"/>
      <c r="B40" s="159"/>
      <c r="C40" s="159"/>
      <c r="D40" s="159"/>
      <c r="E40" s="177"/>
      <c r="F40" s="206"/>
      <c r="G40" s="207"/>
    </row>
    <row r="41" spans="1:7">
      <c r="A41" s="165"/>
      <c r="B41" s="159"/>
      <c r="C41" s="159"/>
      <c r="D41" s="159"/>
      <c r="E41" s="177"/>
      <c r="F41" s="206"/>
      <c r="G41" s="207"/>
    </row>
    <row r="42" spans="1:7">
      <c r="A42" s="165"/>
      <c r="B42" s="159"/>
      <c r="C42" s="159"/>
      <c r="D42" s="159"/>
      <c r="E42" s="177"/>
      <c r="F42" s="206"/>
      <c r="G42" s="207"/>
    </row>
    <row r="43" spans="1:7">
      <c r="A43" s="165"/>
      <c r="B43" s="159"/>
      <c r="C43" s="159"/>
      <c r="D43" s="159"/>
      <c r="E43" s="177"/>
      <c r="F43" s="206"/>
      <c r="G43" s="207"/>
    </row>
    <row r="44" spans="1:7">
      <c r="A44" s="165"/>
      <c r="B44" s="159"/>
      <c r="C44" s="159"/>
      <c r="D44" s="159"/>
      <c r="E44" s="177"/>
      <c r="F44" s="206"/>
      <c r="G44" s="207"/>
    </row>
    <row r="45" spans="1:7">
      <c r="A45" s="165"/>
      <c r="B45" s="159"/>
      <c r="C45" s="159"/>
      <c r="D45" s="159"/>
      <c r="E45" s="177"/>
      <c r="F45" s="206"/>
      <c r="G45" s="207"/>
    </row>
    <row r="46" spans="1:7">
      <c r="A46" s="165"/>
      <c r="B46" s="159"/>
      <c r="C46" s="159"/>
      <c r="D46" s="159"/>
      <c r="E46" s="177"/>
      <c r="F46" s="206"/>
      <c r="G46" s="207"/>
    </row>
    <row r="47" spans="1:7">
      <c r="A47" s="165"/>
      <c r="B47" s="159"/>
      <c r="C47" s="159"/>
      <c r="D47" s="159"/>
      <c r="E47" s="177"/>
      <c r="F47" s="206"/>
      <c r="G47" s="207"/>
    </row>
    <row r="48" spans="1:7">
      <c r="A48" s="165"/>
      <c r="B48" s="159"/>
      <c r="C48" s="159"/>
      <c r="D48" s="159"/>
      <c r="E48" s="177"/>
      <c r="F48" s="206"/>
      <c r="G48" s="207"/>
    </row>
    <row r="49" spans="1:7">
      <c r="A49" s="165"/>
      <c r="B49" s="159"/>
      <c r="C49" s="159"/>
      <c r="D49" s="159"/>
      <c r="E49" s="177"/>
      <c r="F49" s="206"/>
      <c r="G49" s="207"/>
    </row>
    <row r="50" spans="1:7">
      <c r="A50" s="165"/>
      <c r="B50" s="159"/>
      <c r="C50" s="159"/>
      <c r="D50" s="159"/>
      <c r="E50" s="177"/>
      <c r="F50" s="206"/>
      <c r="G50" s="207"/>
    </row>
    <row r="51" spans="1:7">
      <c r="A51" s="165"/>
      <c r="B51" s="159"/>
      <c r="C51" s="159"/>
      <c r="D51" s="159"/>
      <c r="E51" s="177"/>
      <c r="F51" s="206"/>
      <c r="G51" s="207"/>
    </row>
    <row r="52" spans="1:7">
      <c r="A52" s="165"/>
      <c r="B52" s="177"/>
      <c r="C52" s="159"/>
      <c r="D52" s="159"/>
      <c r="E52" s="177"/>
      <c r="F52" s="206"/>
      <c r="G52" s="207"/>
    </row>
    <row r="53" spans="1:7">
      <c r="A53" s="165"/>
      <c r="B53" s="159"/>
      <c r="C53" s="159"/>
      <c r="D53" s="159"/>
      <c r="E53" s="177"/>
      <c r="F53" s="206"/>
      <c r="G53" s="207"/>
    </row>
    <row r="54" spans="1:7">
      <c r="A54" s="165"/>
      <c r="B54" s="177"/>
      <c r="C54" s="159"/>
      <c r="D54" s="159"/>
      <c r="E54" s="177"/>
      <c r="F54" s="206"/>
      <c r="G54" s="207"/>
    </row>
    <row r="55" spans="1:7">
      <c r="A55" s="165"/>
      <c r="B55" s="177"/>
      <c r="C55" s="159"/>
      <c r="D55" s="159"/>
      <c r="E55" s="177"/>
      <c r="F55" s="206"/>
      <c r="G55" s="207"/>
    </row>
    <row r="56" spans="1:7">
      <c r="A56" s="165"/>
      <c r="B56" s="177"/>
      <c r="C56" s="159"/>
      <c r="D56" s="159"/>
      <c r="E56" s="177"/>
      <c r="F56" s="206"/>
      <c r="G56" s="207"/>
    </row>
    <row r="57" spans="1:7">
      <c r="A57" s="165"/>
      <c r="B57" s="177"/>
      <c r="C57" s="159"/>
      <c r="D57" s="159"/>
      <c r="E57" s="177"/>
      <c r="F57" s="206"/>
      <c r="G57" s="207"/>
    </row>
    <row r="58" spans="1:7">
      <c r="A58" s="165"/>
      <c r="B58" s="177"/>
      <c r="C58" s="159"/>
      <c r="D58" s="159"/>
      <c r="E58" s="177"/>
      <c r="F58" s="206"/>
      <c r="G58" s="207"/>
    </row>
    <row r="59" spans="1:7">
      <c r="A59" s="165"/>
      <c r="B59" s="177"/>
      <c r="C59" s="159"/>
      <c r="D59" s="159"/>
      <c r="E59" s="177"/>
      <c r="F59" s="206"/>
      <c r="G59" s="207"/>
    </row>
    <row r="60" spans="1:7">
      <c r="A60" s="165"/>
      <c r="B60" s="177"/>
      <c r="C60" s="159"/>
      <c r="D60" s="159"/>
      <c r="E60" s="177"/>
      <c r="F60" s="206"/>
      <c r="G60" s="207"/>
    </row>
    <row r="61" spans="1:7">
      <c r="A61" s="165"/>
      <c r="B61" s="177"/>
      <c r="C61" s="159"/>
      <c r="D61" s="159"/>
      <c r="E61" s="177"/>
      <c r="F61" s="206"/>
      <c r="G61" s="207"/>
    </row>
    <row r="62" spans="1:7">
      <c r="A62" s="165"/>
      <c r="B62" s="177"/>
      <c r="C62" s="159"/>
      <c r="D62" s="159"/>
      <c r="E62" s="177"/>
      <c r="F62" s="206"/>
      <c r="G62" s="207"/>
    </row>
    <row r="63" spans="1:7" ht="15.75" thickBot="1">
      <c r="A63" s="208"/>
      <c r="B63" s="196"/>
      <c r="C63" s="209"/>
      <c r="D63" s="209"/>
      <c r="E63" s="196"/>
      <c r="F63" s="210"/>
      <c r="G63" s="211"/>
    </row>
    <row r="64" spans="1:7">
      <c r="A64" s="177" t="s">
        <v>2024</v>
      </c>
      <c r="B64" s="177"/>
      <c r="C64" s="159"/>
      <c r="D64" s="159"/>
      <c r="E64" s="177"/>
      <c r="F64" s="206"/>
      <c r="G64" s="206"/>
    </row>
    <row r="65" spans="1:7">
      <c r="A65" s="159" t="s">
        <v>1799</v>
      </c>
      <c r="B65" s="159"/>
      <c r="C65" s="4"/>
      <c r="D65" s="4"/>
      <c r="E65" s="159"/>
      <c r="F65" s="212"/>
      <c r="G65" s="212"/>
    </row>
    <row r="66" spans="1:7" ht="15.75" thickBot="1">
      <c r="A66" s="177" t="str">
        <f>'Data sheet'!A59</f>
        <v>Annual Report of Veolia Water New York, Inc.                                                             Year Ended  December 31, 2023</v>
      </c>
      <c r="B66" s="159"/>
      <c r="C66" s="159"/>
      <c r="D66" s="159"/>
      <c r="E66" s="159"/>
      <c r="F66" s="212"/>
      <c r="G66" s="212"/>
    </row>
    <row r="67" spans="1:7">
      <c r="A67" s="155"/>
      <c r="B67" s="156"/>
      <c r="C67" s="156"/>
      <c r="D67" s="156"/>
      <c r="E67" s="156"/>
      <c r="F67" s="156"/>
      <c r="G67" s="157"/>
    </row>
    <row r="68" spans="1:7" ht="15.75">
      <c r="A68" s="158" t="s">
        <v>1800</v>
      </c>
      <c r="B68" s="159"/>
      <c r="C68" s="159"/>
      <c r="D68" s="159"/>
      <c r="E68" s="159"/>
      <c r="F68" s="159"/>
      <c r="G68" s="160"/>
    </row>
    <row r="69" spans="1:7">
      <c r="A69" s="169"/>
      <c r="B69" s="175"/>
      <c r="C69" s="326"/>
      <c r="D69" s="175"/>
      <c r="E69" s="175"/>
      <c r="F69" s="128"/>
      <c r="G69" s="225"/>
    </row>
    <row r="70" spans="1:7">
      <c r="A70" s="165"/>
      <c r="B70" s="159"/>
      <c r="C70" s="159"/>
      <c r="D70" s="159"/>
      <c r="F70" s="159"/>
      <c r="G70" s="160"/>
    </row>
    <row r="71" spans="1:7">
      <c r="A71" s="165"/>
      <c r="B71" s="159"/>
      <c r="C71" s="159"/>
      <c r="D71" s="159"/>
      <c r="F71" s="159"/>
      <c r="G71" s="160"/>
    </row>
    <row r="72" spans="1:7">
      <c r="A72" s="165"/>
      <c r="B72" s="159"/>
      <c r="C72" s="159"/>
      <c r="D72" s="159"/>
      <c r="F72" s="159"/>
      <c r="G72" s="160"/>
    </row>
    <row r="73" spans="1:7">
      <c r="A73" s="165"/>
      <c r="B73" s="159"/>
      <c r="C73" s="159"/>
      <c r="D73" s="159"/>
      <c r="F73" s="159"/>
      <c r="G73" s="297"/>
    </row>
    <row r="74" spans="1:7">
      <c r="A74" s="165"/>
      <c r="B74" s="159"/>
      <c r="C74" s="159"/>
      <c r="D74" s="159"/>
      <c r="F74" s="159"/>
      <c r="G74" s="160"/>
    </row>
    <row r="75" spans="1:7">
      <c r="A75" s="165"/>
      <c r="B75" s="159"/>
      <c r="C75" s="159"/>
      <c r="D75" s="159"/>
      <c r="F75" s="159"/>
      <c r="G75" s="160"/>
    </row>
    <row r="76" spans="1:7">
      <c r="A76" s="165"/>
      <c r="B76" s="159"/>
      <c r="C76" s="159"/>
      <c r="D76" s="159"/>
      <c r="F76" s="212"/>
      <c r="G76" s="272"/>
    </row>
    <row r="77" spans="1:7">
      <c r="A77" s="165"/>
      <c r="B77" s="159"/>
      <c r="C77" s="159"/>
      <c r="D77" s="159"/>
      <c r="F77" s="212"/>
      <c r="G77" s="272"/>
    </row>
    <row r="78" spans="1:7">
      <c r="A78" s="165"/>
      <c r="B78" s="177"/>
      <c r="C78" s="159"/>
      <c r="D78" s="159"/>
      <c r="F78" s="212"/>
      <c r="G78" s="272"/>
    </row>
    <row r="79" spans="1:7">
      <c r="A79" s="165"/>
      <c r="B79" s="159"/>
      <c r="C79" s="159"/>
      <c r="D79" s="159"/>
      <c r="F79" s="212"/>
      <c r="G79" s="272"/>
    </row>
    <row r="80" spans="1:7">
      <c r="A80" s="165"/>
      <c r="B80" s="159"/>
      <c r="C80" s="159"/>
      <c r="D80" s="159"/>
      <c r="F80" s="212"/>
      <c r="G80" s="272"/>
    </row>
    <row r="81" spans="1:7">
      <c r="A81" s="165"/>
      <c r="B81" s="159"/>
      <c r="C81" s="159"/>
      <c r="D81" s="159"/>
      <c r="F81" s="159"/>
      <c r="G81" s="160"/>
    </row>
    <row r="82" spans="1:7">
      <c r="A82" s="165"/>
      <c r="B82" s="159"/>
      <c r="C82" s="159"/>
      <c r="D82" s="159"/>
      <c r="F82" s="159"/>
      <c r="G82" s="160"/>
    </row>
    <row r="83" spans="1:7">
      <c r="A83" s="165"/>
      <c r="B83" s="159"/>
      <c r="C83" s="159"/>
      <c r="D83" s="159"/>
      <c r="F83" s="159"/>
      <c r="G83" s="160"/>
    </row>
    <row r="84" spans="1:7">
      <c r="A84" s="165"/>
      <c r="B84" s="4" t="s">
        <v>1836</v>
      </c>
      <c r="C84" s="159"/>
      <c r="D84" s="159"/>
      <c r="E84" s="4"/>
      <c r="F84" s="159"/>
      <c r="G84" s="160"/>
    </row>
    <row r="85" spans="1:7">
      <c r="A85" s="165"/>
      <c r="B85" s="159"/>
      <c r="C85" s="159"/>
      <c r="D85" s="159"/>
      <c r="F85" s="159"/>
      <c r="G85" s="160"/>
    </row>
    <row r="86" spans="1:7">
      <c r="A86" s="165"/>
      <c r="B86" s="159"/>
      <c r="C86" s="159"/>
      <c r="D86" s="159"/>
      <c r="E86" s="159"/>
      <c r="F86" s="159"/>
      <c r="G86" s="160"/>
    </row>
    <row r="87" spans="1:7">
      <c r="A87" s="165"/>
      <c r="B87" s="159"/>
      <c r="C87" s="159"/>
      <c r="D87" s="159"/>
      <c r="E87" s="177"/>
      <c r="F87" s="206"/>
      <c r="G87" s="207"/>
    </row>
    <row r="88" spans="1:7">
      <c r="A88" s="165"/>
      <c r="B88" s="177"/>
      <c r="C88" s="159"/>
      <c r="D88" s="159"/>
      <c r="E88" s="177"/>
      <c r="F88" s="206"/>
      <c r="G88" s="207"/>
    </row>
    <row r="89" spans="1:7">
      <c r="A89" s="165"/>
      <c r="B89" s="159"/>
      <c r="C89" s="159"/>
      <c r="D89" s="159"/>
      <c r="E89" s="177"/>
      <c r="F89" s="206"/>
      <c r="G89" s="207"/>
    </row>
    <row r="90" spans="1:7">
      <c r="A90" s="165"/>
      <c r="B90" s="177"/>
      <c r="C90" s="159"/>
      <c r="D90" s="159"/>
      <c r="E90" s="177"/>
      <c r="F90" s="206"/>
      <c r="G90" s="207"/>
    </row>
    <row r="91" spans="1:7">
      <c r="A91" s="165"/>
      <c r="B91" s="159"/>
      <c r="C91" s="159"/>
      <c r="D91" s="159"/>
      <c r="E91" s="177"/>
      <c r="F91" s="206"/>
      <c r="G91" s="207"/>
    </row>
    <row r="92" spans="1:7">
      <c r="A92" s="165"/>
      <c r="B92" s="159"/>
      <c r="C92" s="159"/>
      <c r="D92" s="159"/>
      <c r="E92" s="177"/>
      <c r="F92" s="206"/>
      <c r="G92" s="207"/>
    </row>
    <row r="93" spans="1:7">
      <c r="A93" s="165"/>
      <c r="B93" s="159"/>
      <c r="C93" s="159"/>
      <c r="D93" s="159"/>
      <c r="E93" s="177"/>
      <c r="F93" s="206"/>
      <c r="G93" s="207"/>
    </row>
    <row r="94" spans="1:7">
      <c r="A94" s="165"/>
      <c r="B94" s="159"/>
      <c r="C94" s="159"/>
      <c r="D94" s="159"/>
      <c r="E94" s="177"/>
      <c r="F94" s="206"/>
      <c r="G94" s="207"/>
    </row>
    <row r="95" spans="1:7">
      <c r="A95" s="165"/>
      <c r="B95" s="159"/>
      <c r="C95" s="159"/>
      <c r="D95" s="159"/>
      <c r="E95" s="177"/>
      <c r="F95" s="206"/>
      <c r="G95" s="207"/>
    </row>
    <row r="96" spans="1:7">
      <c r="A96" s="165"/>
      <c r="B96" s="159"/>
      <c r="C96" s="159"/>
      <c r="D96" s="159"/>
      <c r="E96" s="177"/>
      <c r="F96" s="206"/>
      <c r="G96" s="207"/>
    </row>
    <row r="97" spans="1:7">
      <c r="A97" s="165"/>
      <c r="B97" s="159"/>
      <c r="C97" s="159"/>
      <c r="D97" s="159"/>
      <c r="E97" s="177"/>
      <c r="F97" s="206"/>
      <c r="G97" s="207"/>
    </row>
    <row r="98" spans="1:7">
      <c r="A98" s="165"/>
      <c r="B98" s="159"/>
      <c r="C98" s="159"/>
      <c r="D98" s="159"/>
      <c r="E98" s="177"/>
      <c r="F98" s="206"/>
      <c r="G98" s="207"/>
    </row>
    <row r="99" spans="1:7">
      <c r="A99" s="165"/>
      <c r="B99" s="159"/>
      <c r="C99" s="159"/>
      <c r="D99" s="159"/>
      <c r="E99" s="177"/>
      <c r="F99" s="206"/>
      <c r="G99" s="207"/>
    </row>
    <row r="100" spans="1:7">
      <c r="A100" s="165"/>
      <c r="B100" s="159"/>
      <c r="C100" s="159"/>
      <c r="D100" s="159"/>
      <c r="E100" s="177"/>
      <c r="F100" s="206"/>
      <c r="G100" s="207"/>
    </row>
    <row r="101" spans="1:7">
      <c r="A101" s="165"/>
      <c r="B101" s="159"/>
      <c r="C101" s="159"/>
      <c r="D101" s="159"/>
      <c r="E101" s="177"/>
      <c r="F101" s="206"/>
      <c r="G101" s="207"/>
    </row>
    <row r="102" spans="1:7">
      <c r="A102" s="165"/>
      <c r="B102" s="159"/>
      <c r="C102" s="159"/>
      <c r="D102" s="159"/>
      <c r="E102" s="177"/>
      <c r="F102" s="206"/>
      <c r="G102" s="207"/>
    </row>
    <row r="103" spans="1:7">
      <c r="A103" s="165"/>
      <c r="B103" s="159"/>
      <c r="C103" s="159"/>
      <c r="D103" s="159"/>
      <c r="E103" s="177"/>
      <c r="F103" s="206"/>
      <c r="G103" s="207"/>
    </row>
    <row r="104" spans="1:7">
      <c r="A104" s="165"/>
      <c r="B104" s="159"/>
      <c r="C104" s="159"/>
      <c r="D104" s="159"/>
      <c r="E104" s="177"/>
      <c r="F104" s="206"/>
      <c r="G104" s="207"/>
    </row>
    <row r="105" spans="1:7">
      <c r="A105" s="165"/>
      <c r="B105" s="159"/>
      <c r="C105" s="159"/>
      <c r="D105" s="159"/>
      <c r="E105" s="177"/>
      <c r="F105" s="206"/>
      <c r="G105" s="207"/>
    </row>
    <row r="106" spans="1:7">
      <c r="A106" s="165"/>
      <c r="B106" s="159"/>
      <c r="C106" s="159"/>
      <c r="D106" s="159"/>
      <c r="E106" s="177"/>
      <c r="F106" s="206"/>
      <c r="G106" s="207"/>
    </row>
    <row r="107" spans="1:7">
      <c r="A107" s="165"/>
      <c r="B107" s="159"/>
      <c r="C107" s="159"/>
      <c r="D107" s="159"/>
      <c r="E107" s="177"/>
      <c r="F107" s="206"/>
      <c r="G107" s="207"/>
    </row>
    <row r="108" spans="1:7">
      <c r="A108" s="165"/>
      <c r="B108" s="159"/>
      <c r="C108" s="159"/>
      <c r="D108" s="159"/>
      <c r="E108" s="177"/>
      <c r="F108" s="206"/>
      <c r="G108" s="207"/>
    </row>
    <row r="109" spans="1:7">
      <c r="A109" s="165"/>
      <c r="B109" s="159"/>
      <c r="C109" s="159"/>
      <c r="D109" s="159"/>
      <c r="E109" s="177"/>
      <c r="F109" s="206"/>
      <c r="G109" s="207"/>
    </row>
    <row r="110" spans="1:7">
      <c r="A110" s="165"/>
      <c r="B110" s="159"/>
      <c r="C110" s="159"/>
      <c r="D110" s="159"/>
      <c r="E110" s="177"/>
      <c r="F110" s="206"/>
      <c r="G110" s="207"/>
    </row>
    <row r="111" spans="1:7">
      <c r="A111" s="165"/>
      <c r="B111" s="159"/>
      <c r="C111" s="159"/>
      <c r="D111" s="159"/>
      <c r="E111" s="177"/>
      <c r="F111" s="206"/>
      <c r="G111" s="207"/>
    </row>
    <row r="112" spans="1:7">
      <c r="A112" s="165"/>
      <c r="B112" s="159"/>
      <c r="C112" s="159"/>
      <c r="D112" s="159"/>
      <c r="E112" s="177"/>
      <c r="F112" s="206"/>
      <c r="G112" s="207"/>
    </row>
    <row r="113" spans="1:7">
      <c r="A113" s="165"/>
      <c r="B113" s="159"/>
      <c r="C113" s="159"/>
      <c r="D113" s="159"/>
      <c r="E113" s="177"/>
      <c r="F113" s="206"/>
      <c r="G113" s="207"/>
    </row>
    <row r="114" spans="1:7">
      <c r="A114" s="165"/>
      <c r="B114" s="159"/>
      <c r="C114" s="159"/>
      <c r="D114" s="159"/>
      <c r="E114" s="177"/>
      <c r="F114" s="206"/>
      <c r="G114" s="207"/>
    </row>
    <row r="115" spans="1:7">
      <c r="A115" s="165"/>
      <c r="B115" s="159"/>
      <c r="C115" s="159"/>
      <c r="D115" s="159"/>
      <c r="E115" s="177"/>
      <c r="F115" s="206"/>
      <c r="G115" s="207"/>
    </row>
    <row r="116" spans="1:7">
      <c r="A116" s="165"/>
      <c r="B116" s="177"/>
      <c r="C116" s="159"/>
      <c r="D116" s="159"/>
      <c r="E116" s="177"/>
      <c r="F116" s="206"/>
      <c r="G116" s="207"/>
    </row>
    <row r="117" spans="1:7">
      <c r="A117" s="165"/>
      <c r="B117" s="159"/>
      <c r="C117" s="159"/>
      <c r="D117" s="159"/>
      <c r="E117" s="177"/>
      <c r="F117" s="206"/>
      <c r="G117" s="207"/>
    </row>
    <row r="118" spans="1:7">
      <c r="A118" s="165"/>
      <c r="B118" s="177"/>
      <c r="C118" s="159"/>
      <c r="D118" s="159"/>
      <c r="E118" s="177"/>
      <c r="F118" s="206"/>
      <c r="G118" s="207"/>
    </row>
    <row r="119" spans="1:7">
      <c r="A119" s="165"/>
      <c r="B119" s="177"/>
      <c r="C119" s="159"/>
      <c r="D119" s="159"/>
      <c r="E119" s="177"/>
      <c r="F119" s="206"/>
      <c r="G119" s="207"/>
    </row>
    <row r="120" spans="1:7">
      <c r="A120" s="165"/>
      <c r="B120" s="177"/>
      <c r="C120" s="159"/>
      <c r="D120" s="159"/>
      <c r="E120" s="177"/>
      <c r="F120" s="206"/>
      <c r="G120" s="207"/>
    </row>
    <row r="121" spans="1:7">
      <c r="A121" s="165"/>
      <c r="B121" s="177"/>
      <c r="C121" s="159"/>
      <c r="D121" s="159"/>
      <c r="E121" s="177"/>
      <c r="F121" s="206"/>
      <c r="G121" s="207"/>
    </row>
    <row r="122" spans="1:7">
      <c r="A122" s="165"/>
      <c r="B122" s="177"/>
      <c r="C122" s="159"/>
      <c r="D122" s="159"/>
      <c r="E122" s="177"/>
      <c r="F122" s="206"/>
      <c r="G122" s="207"/>
    </row>
    <row r="123" spans="1:7">
      <c r="A123" s="165"/>
      <c r="B123" s="177"/>
      <c r="C123" s="159"/>
      <c r="D123" s="159"/>
      <c r="E123" s="177"/>
      <c r="F123" s="206"/>
      <c r="G123" s="207"/>
    </row>
    <row r="124" spans="1:7">
      <c r="A124" s="165"/>
      <c r="B124" s="177"/>
      <c r="C124" s="159"/>
      <c r="D124" s="159"/>
      <c r="E124" s="177"/>
      <c r="F124" s="206"/>
      <c r="G124" s="207"/>
    </row>
    <row r="125" spans="1:7">
      <c r="A125" s="165"/>
      <c r="B125" s="177"/>
      <c r="C125" s="159"/>
      <c r="D125" s="159"/>
      <c r="E125" s="177"/>
      <c r="F125" s="206"/>
      <c r="G125" s="207"/>
    </row>
    <row r="126" spans="1:7">
      <c r="A126" s="165"/>
      <c r="B126" s="177"/>
      <c r="C126" s="159"/>
      <c r="D126" s="159"/>
      <c r="E126" s="177"/>
      <c r="F126" s="206"/>
      <c r="G126" s="207"/>
    </row>
    <row r="127" spans="1:7">
      <c r="A127" s="165"/>
      <c r="B127" s="177"/>
      <c r="C127" s="159"/>
      <c r="D127" s="159"/>
      <c r="E127" s="177"/>
      <c r="F127" s="206"/>
      <c r="G127" s="207"/>
    </row>
    <row r="128" spans="1:7" ht="15.75" thickBot="1">
      <c r="A128" s="208"/>
      <c r="B128" s="196"/>
      <c r="C128" s="209"/>
      <c r="D128" s="209"/>
      <c r="E128" s="196"/>
      <c r="F128" s="210"/>
      <c r="G128" s="211"/>
    </row>
    <row r="129" spans="1:7">
      <c r="A129" s="177"/>
      <c r="B129" s="177"/>
      <c r="C129" s="159"/>
      <c r="D129" s="159"/>
      <c r="E129" s="177"/>
      <c r="F129" s="206"/>
      <c r="G129" s="206" t="s">
        <v>2024</v>
      </c>
    </row>
    <row r="130" spans="1:7">
      <c r="A130" s="177"/>
      <c r="B130" s="177"/>
      <c r="C130" s="159"/>
      <c r="D130" s="159"/>
      <c r="E130" s="177"/>
      <c r="F130" s="206"/>
      <c r="G130" s="206"/>
    </row>
    <row r="131" spans="1:7">
      <c r="A131" s="177"/>
      <c r="B131" s="177"/>
      <c r="C131" s="159"/>
      <c r="D131" s="159"/>
      <c r="E131" s="177"/>
      <c r="F131" s="206"/>
      <c r="G131" s="327"/>
    </row>
    <row r="132" spans="1:7">
      <c r="A132" s="159" t="s">
        <v>1801</v>
      </c>
      <c r="B132" s="159"/>
      <c r="C132" s="159"/>
      <c r="D132" s="159"/>
      <c r="E132" s="159"/>
      <c r="F132" s="212"/>
      <c r="G132" s="4"/>
    </row>
    <row r="133" spans="1:7">
      <c r="A133" s="177"/>
      <c r="B133" s="177"/>
      <c r="C133" s="177"/>
      <c r="D133" s="177"/>
      <c r="E133" s="177"/>
      <c r="F133" s="206"/>
      <c r="G133" s="206"/>
    </row>
    <row r="134" spans="1:7">
      <c r="A134" s="177"/>
      <c r="B134" s="177"/>
      <c r="C134" s="177"/>
      <c r="D134" s="177"/>
      <c r="E134" s="177"/>
      <c r="F134" s="206"/>
      <c r="G134" s="206"/>
    </row>
    <row r="135" spans="1:7">
      <c r="A135" s="177"/>
      <c r="B135" s="177"/>
      <c r="C135" s="177"/>
      <c r="D135" s="177"/>
      <c r="E135" s="177"/>
      <c r="F135" s="206"/>
      <c r="G135" s="206"/>
    </row>
    <row r="136" spans="1:7">
      <c r="A136" s="177"/>
      <c r="B136" s="177"/>
      <c r="C136" s="177"/>
      <c r="D136" s="177"/>
      <c r="E136" s="177"/>
      <c r="F136" s="206"/>
      <c r="G136" s="206"/>
    </row>
    <row r="137" spans="1:7">
      <c r="A137" s="177"/>
      <c r="B137" s="177"/>
      <c r="C137" s="177"/>
      <c r="D137" s="177"/>
      <c r="E137" s="177"/>
      <c r="F137" s="206"/>
      <c r="G137" s="206"/>
    </row>
    <row r="138" spans="1:7">
      <c r="A138" s="177"/>
      <c r="B138" s="177"/>
      <c r="C138" s="177"/>
      <c r="D138" s="177"/>
      <c r="E138" s="177"/>
      <c r="F138" s="206"/>
      <c r="G138" s="206"/>
    </row>
    <row r="139" spans="1:7">
      <c r="A139" s="177"/>
      <c r="B139" s="177"/>
      <c r="C139" s="177"/>
      <c r="D139" s="177"/>
      <c r="E139" s="177"/>
      <c r="F139" s="206"/>
      <c r="G139" s="206"/>
    </row>
    <row r="140" spans="1:7">
      <c r="A140" s="177"/>
      <c r="B140" s="177"/>
      <c r="C140" s="177"/>
      <c r="D140" s="177"/>
      <c r="E140" s="177"/>
      <c r="F140" s="206"/>
      <c r="G140" s="206"/>
    </row>
    <row r="141" spans="1:7">
      <c r="A141" s="177"/>
      <c r="B141" s="177"/>
      <c r="C141" s="177"/>
      <c r="D141" s="177"/>
      <c r="E141" s="177"/>
      <c r="F141" s="206"/>
      <c r="G141" s="206"/>
    </row>
    <row r="142" spans="1:7">
      <c r="A142" s="177"/>
      <c r="B142" s="177"/>
      <c r="C142" s="177"/>
      <c r="D142" s="177"/>
      <c r="E142" s="177"/>
      <c r="F142" s="206"/>
      <c r="G142" s="206"/>
    </row>
    <row r="143" spans="1:7">
      <c r="A143" s="177"/>
      <c r="B143" s="177"/>
      <c r="C143" s="177"/>
      <c r="D143" s="177"/>
      <c r="E143" s="177"/>
      <c r="F143" s="206"/>
      <c r="G143" s="206"/>
    </row>
    <row r="144" spans="1:7">
      <c r="A144" s="177"/>
      <c r="B144" s="177"/>
      <c r="C144" s="177"/>
      <c r="D144" s="177"/>
      <c r="E144" s="177"/>
      <c r="F144" s="206"/>
      <c r="G144" s="206"/>
    </row>
    <row r="145" spans="1:7">
      <c r="A145" s="177"/>
      <c r="B145" s="177"/>
      <c r="C145" s="177"/>
      <c r="D145" s="177"/>
      <c r="E145" s="177"/>
      <c r="F145" s="206"/>
      <c r="G145" s="206"/>
    </row>
    <row r="146" spans="1:7">
      <c r="A146" s="177"/>
      <c r="B146" s="177"/>
      <c r="C146" s="177"/>
      <c r="D146" s="177"/>
      <c r="E146" s="177"/>
      <c r="F146" s="206"/>
      <c r="G146" s="206"/>
    </row>
    <row r="147" spans="1:7">
      <c r="A147" s="177"/>
      <c r="B147" s="177"/>
      <c r="C147" s="177"/>
      <c r="D147" s="177"/>
      <c r="E147" s="177"/>
      <c r="F147" s="206"/>
      <c r="G147" s="206"/>
    </row>
    <row r="148" spans="1:7">
      <c r="A148" s="177"/>
      <c r="B148" s="177"/>
      <c r="C148" s="177"/>
      <c r="D148" s="177"/>
      <c r="E148" s="177"/>
      <c r="F148" s="177"/>
      <c r="G148" s="177"/>
    </row>
    <row r="149" spans="1:7">
      <c r="A149" s="177"/>
      <c r="B149" s="177"/>
      <c r="C149" s="177"/>
      <c r="D149" s="177"/>
      <c r="E149" s="177"/>
      <c r="F149" s="177"/>
      <c r="G149" s="177"/>
    </row>
    <row r="150" spans="1:7">
      <c r="A150" s="177"/>
      <c r="B150" s="177"/>
      <c r="C150" s="177"/>
      <c r="D150" s="177"/>
      <c r="E150" s="177"/>
      <c r="F150" s="177"/>
      <c r="G150" s="177"/>
    </row>
    <row r="151" spans="1:7">
      <c r="A151" s="177"/>
      <c r="B151" s="177"/>
      <c r="C151" s="177"/>
      <c r="D151" s="177"/>
      <c r="E151" s="177"/>
      <c r="F151" s="177"/>
      <c r="G151" s="177"/>
    </row>
    <row r="152" spans="1:7">
      <c r="A152" s="177"/>
      <c r="B152" s="177"/>
      <c r="C152" s="177"/>
      <c r="D152" s="177"/>
      <c r="E152" s="177"/>
      <c r="F152" s="177"/>
      <c r="G152" s="177"/>
    </row>
  </sheetData>
  <phoneticPr fontId="0" type="noConversion"/>
  <printOptions horizontalCentered="1" verticalCentered="1"/>
  <pageMargins left="0.4" right="0.4" top="0.3" bottom="0.3" header="0" footer="0"/>
  <pageSetup scale="73" fitToHeight="2" orientation="portrait" r:id="rId1"/>
  <headerFooter alignWithMargins="0"/>
  <rowBreaks count="1" manualBreakCount="1">
    <brk id="6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codeName="Sheet18">
    <pageSetUpPr fitToPage="1"/>
  </sheetPr>
  <dimension ref="A1:O76"/>
  <sheetViews>
    <sheetView defaultGridColor="0" colorId="22" zoomScale="90" zoomScaleNormal="90" workbookViewId="0">
      <pane xSplit="5" ySplit="10" topLeftCell="I11" activePane="bottomRight" state="frozen"/>
      <selection activeCell="R36" sqref="R36"/>
      <selection pane="topRight" activeCell="R36" sqref="R36"/>
      <selection pane="bottomLeft" activeCell="R36" sqref="R36"/>
      <selection pane="bottomRight" activeCell="E53" sqref="E53"/>
    </sheetView>
  </sheetViews>
  <sheetFormatPr defaultColWidth="9.77734375" defaultRowHeight="15"/>
  <cols>
    <col min="1" max="1" width="4.77734375" customWidth="1"/>
    <col min="2" max="2" width="45.6640625" customWidth="1"/>
    <col min="3" max="3" width="25.44140625" customWidth="1"/>
    <col min="4" max="5" width="18.77734375" customWidth="1"/>
    <col min="6" max="10" width="19.77734375" customWidth="1"/>
    <col min="11" max="11" width="4.77734375" customWidth="1"/>
    <col min="13" max="13" width="15" bestFit="1" customWidth="1"/>
    <col min="14" max="14" width="16.109375" bestFit="1" customWidth="1"/>
    <col min="15" max="15" width="18.21875" bestFit="1" customWidth="1"/>
  </cols>
  <sheetData>
    <row r="1" spans="1:11" ht="15.75" thickBot="1">
      <c r="A1" t="str">
        <f>'Data sheet'!A61</f>
        <v>Annual Report of Veolia Water New York, Inc.                                                                       Year Ended  December 31, 2023</v>
      </c>
      <c r="F1" t="str">
        <f>'Data sheet'!A57</f>
        <v>Annual Report of Veolia Water New York, Inc.                                              Year Ended  December 31, 2023</v>
      </c>
    </row>
    <row r="2" spans="1:11">
      <c r="A2" s="155"/>
      <c r="B2" s="156"/>
      <c r="C2" s="156"/>
      <c r="D2" s="156"/>
      <c r="E2" s="157"/>
      <c r="F2" s="155"/>
      <c r="G2" s="156"/>
      <c r="H2" s="156"/>
      <c r="I2" s="156"/>
      <c r="J2" s="156"/>
      <c r="K2" s="157"/>
    </row>
    <row r="3" spans="1:11" ht="15.75">
      <c r="A3" s="164"/>
      <c r="B3" s="265" t="s">
        <v>1802</v>
      </c>
      <c r="C3" s="159"/>
      <c r="D3" s="159"/>
      <c r="E3" s="160"/>
      <c r="F3" s="328" t="s">
        <v>1005</v>
      </c>
      <c r="G3" s="159"/>
      <c r="H3" s="159"/>
      <c r="I3" s="159"/>
      <c r="J3" s="159"/>
      <c r="K3" s="160"/>
    </row>
    <row r="4" spans="1:11" ht="15.75">
      <c r="A4" s="164"/>
      <c r="B4" s="265" t="s">
        <v>1006</v>
      </c>
      <c r="C4" s="159"/>
      <c r="D4" s="159"/>
      <c r="E4" s="160"/>
      <c r="F4" s="328" t="s">
        <v>1006</v>
      </c>
      <c r="G4" s="159"/>
      <c r="H4" s="159"/>
      <c r="I4" s="159"/>
      <c r="J4" s="159"/>
      <c r="K4" s="160"/>
    </row>
    <row r="5" spans="1:11" ht="15.75">
      <c r="A5" s="161"/>
      <c r="B5" s="311"/>
      <c r="C5" s="162"/>
      <c r="D5" s="162"/>
      <c r="E5" s="163"/>
      <c r="F5" s="329"/>
      <c r="G5" s="162"/>
      <c r="H5" s="162"/>
      <c r="I5" s="162"/>
      <c r="J5" s="162"/>
      <c r="K5" s="163"/>
    </row>
    <row r="6" spans="1:11">
      <c r="A6" s="247"/>
      <c r="B6" s="177"/>
      <c r="C6" s="177"/>
      <c r="D6" s="273"/>
      <c r="E6" s="180"/>
      <c r="F6" s="828" t="s">
        <v>1007</v>
      </c>
      <c r="G6" s="999" t="s">
        <v>1007</v>
      </c>
      <c r="H6" s="999" t="s">
        <v>1007</v>
      </c>
      <c r="I6" s="999" t="s">
        <v>1007</v>
      </c>
      <c r="J6" s="179"/>
      <c r="K6" s="285"/>
    </row>
    <row r="7" spans="1:11">
      <c r="A7" s="247" t="s">
        <v>1727</v>
      </c>
      <c r="B7" s="159" t="s">
        <v>1290</v>
      </c>
      <c r="C7" s="159"/>
      <c r="D7" s="259" t="s">
        <v>1738</v>
      </c>
      <c r="E7" s="285" t="s">
        <v>1008</v>
      </c>
      <c r="F7" s="828" t="s">
        <v>1009</v>
      </c>
      <c r="G7" s="999" t="s">
        <v>1009</v>
      </c>
      <c r="H7" s="999" t="s">
        <v>1009</v>
      </c>
      <c r="I7" s="999" t="s">
        <v>1009</v>
      </c>
      <c r="J7" s="999" t="s">
        <v>2152</v>
      </c>
      <c r="K7" s="285" t="s">
        <v>1727</v>
      </c>
    </row>
    <row r="8" spans="1:11">
      <c r="A8" s="248" t="s">
        <v>1739</v>
      </c>
      <c r="B8" s="162" t="s">
        <v>3279</v>
      </c>
      <c r="C8" s="162"/>
      <c r="D8" s="258" t="s">
        <v>3280</v>
      </c>
      <c r="E8" s="283" t="s">
        <v>3281</v>
      </c>
      <c r="F8" s="828" t="s">
        <v>3282</v>
      </c>
      <c r="G8" s="1005" t="s">
        <v>721</v>
      </c>
      <c r="H8" s="1005" t="s">
        <v>722</v>
      </c>
      <c r="I8" s="1005" t="s">
        <v>723</v>
      </c>
      <c r="J8" s="1005" t="s">
        <v>335</v>
      </c>
      <c r="K8" s="283" t="s">
        <v>1739</v>
      </c>
    </row>
    <row r="9" spans="1:11">
      <c r="A9" s="248" t="s">
        <v>340</v>
      </c>
      <c r="B9" s="162" t="s">
        <v>1629</v>
      </c>
      <c r="C9" s="162"/>
      <c r="D9" s="1564"/>
      <c r="E9" s="331"/>
      <c r="F9" s="1565"/>
      <c r="G9" s="332"/>
      <c r="H9" s="332"/>
      <c r="I9" s="332"/>
      <c r="J9" s="333"/>
      <c r="K9" s="283" t="s">
        <v>340</v>
      </c>
    </row>
    <row r="10" spans="1:11">
      <c r="A10" s="248" t="s">
        <v>341</v>
      </c>
      <c r="B10" s="1041" t="s">
        <v>1010</v>
      </c>
      <c r="C10" s="162"/>
      <c r="D10" s="334"/>
      <c r="E10" s="1566"/>
      <c r="F10" s="1565"/>
      <c r="G10" s="336"/>
      <c r="H10" s="336"/>
      <c r="I10" s="336"/>
      <c r="J10" s="337"/>
      <c r="K10" s="283" t="s">
        <v>341</v>
      </c>
    </row>
    <row r="11" spans="1:11">
      <c r="A11" s="248" t="s">
        <v>342</v>
      </c>
      <c r="B11" s="1041" t="s">
        <v>1011</v>
      </c>
      <c r="C11" s="182"/>
      <c r="D11" s="266">
        <f>SUM(E11:J11)</f>
        <v>687417761</v>
      </c>
      <c r="E11" s="1232">
        <v>687417761</v>
      </c>
      <c r="F11" s="1233"/>
      <c r="G11" s="1234"/>
      <c r="H11" s="1234"/>
      <c r="I11" s="1234"/>
      <c r="J11" s="1234"/>
      <c r="K11" s="283" t="s">
        <v>342</v>
      </c>
    </row>
    <row r="12" spans="1:11">
      <c r="A12" s="248" t="s">
        <v>343</v>
      </c>
      <c r="B12" s="1041" t="s">
        <v>4020</v>
      </c>
      <c r="C12" s="162"/>
      <c r="D12" s="2808"/>
      <c r="E12" s="2809"/>
      <c r="F12" s="335"/>
      <c r="G12" s="336"/>
      <c r="H12" s="336"/>
      <c r="I12" s="336"/>
      <c r="J12" s="337"/>
      <c r="K12" s="283" t="s">
        <v>343</v>
      </c>
    </row>
    <row r="13" spans="1:11">
      <c r="A13" s="248" t="s">
        <v>344</v>
      </c>
      <c r="B13" s="1041" t="s">
        <v>2747</v>
      </c>
      <c r="C13" s="162"/>
      <c r="D13" s="318">
        <f>SUM(E13:J13)</f>
        <v>0</v>
      </c>
      <c r="E13" s="1232"/>
      <c r="F13" s="1230"/>
      <c r="G13" s="1231"/>
      <c r="H13" s="1231"/>
      <c r="I13" s="1231"/>
      <c r="J13" s="1231"/>
      <c r="K13" s="283" t="s">
        <v>344</v>
      </c>
    </row>
    <row r="14" spans="1:11">
      <c r="A14" s="248" t="s">
        <v>345</v>
      </c>
      <c r="B14" s="1041" t="s">
        <v>2748</v>
      </c>
      <c r="C14" s="162"/>
      <c r="D14" s="318">
        <f>SUM(E14:J14)</f>
        <v>0</v>
      </c>
      <c r="E14" s="1232"/>
      <c r="F14" s="1235"/>
      <c r="G14" s="1231"/>
      <c r="H14" s="1231"/>
      <c r="I14" s="1231"/>
      <c r="J14" s="1231"/>
      <c r="K14" s="283" t="s">
        <v>345</v>
      </c>
    </row>
    <row r="15" spans="1:11">
      <c r="A15" s="248" t="s">
        <v>346</v>
      </c>
      <c r="B15" s="1041" t="s">
        <v>2749</v>
      </c>
      <c r="C15" s="162"/>
      <c r="D15" s="251">
        <f>SUM(E15:J15)</f>
        <v>67034305</v>
      </c>
      <c r="E15" s="1232">
        <v>67034305</v>
      </c>
      <c r="F15" s="1235"/>
      <c r="G15" s="1231"/>
      <c r="H15" s="1231"/>
      <c r="I15" s="1231"/>
      <c r="J15" s="1231"/>
      <c r="K15" s="283" t="s">
        <v>346</v>
      </c>
    </row>
    <row r="16" spans="1:11">
      <c r="A16" s="248" t="s">
        <v>347</v>
      </c>
      <c r="B16" s="1041" t="s">
        <v>2431</v>
      </c>
      <c r="C16" s="162"/>
      <c r="D16" s="251">
        <f t="shared" ref="D16:J16" si="0">SUM(D11:D15)</f>
        <v>754452066</v>
      </c>
      <c r="E16" s="252">
        <f>SUM(E11:E15)</f>
        <v>754452066</v>
      </c>
      <c r="F16" s="1254">
        <f t="shared" si="0"/>
        <v>0</v>
      </c>
      <c r="G16" s="1238">
        <f t="shared" si="0"/>
        <v>0</v>
      </c>
      <c r="H16" s="1238">
        <f t="shared" si="0"/>
        <v>0</v>
      </c>
      <c r="I16" s="1238">
        <f t="shared" si="0"/>
        <v>0</v>
      </c>
      <c r="J16" s="1238">
        <f t="shared" si="0"/>
        <v>0</v>
      </c>
      <c r="K16" s="283" t="s">
        <v>347</v>
      </c>
    </row>
    <row r="17" spans="1:15">
      <c r="A17" s="248" t="s">
        <v>348</v>
      </c>
      <c r="B17" s="1041" t="s">
        <v>2432</v>
      </c>
      <c r="C17" s="162"/>
      <c r="D17" s="251">
        <f t="shared" ref="D17:D22" si="1">SUM(E17:J17)</f>
        <v>0</v>
      </c>
      <c r="E17" s="252"/>
      <c r="F17" s="1235"/>
      <c r="G17" s="1231"/>
      <c r="H17" s="1231"/>
      <c r="I17" s="1231"/>
      <c r="J17" s="1231"/>
      <c r="K17" s="283" t="s">
        <v>348</v>
      </c>
    </row>
    <row r="18" spans="1:15">
      <c r="A18" s="248" t="s">
        <v>349</v>
      </c>
      <c r="B18" s="1041" t="s">
        <v>2433</v>
      </c>
      <c r="C18" s="162"/>
      <c r="D18" s="251">
        <f t="shared" si="1"/>
        <v>8794537</v>
      </c>
      <c r="E18" s="1232">
        <v>8794537</v>
      </c>
      <c r="F18" s="1235"/>
      <c r="G18" s="1231"/>
      <c r="H18" s="1231"/>
      <c r="I18" s="1231"/>
      <c r="J18" s="1231"/>
      <c r="K18" s="283" t="s">
        <v>349</v>
      </c>
    </row>
    <row r="19" spans="1:15">
      <c r="A19" s="248" t="s">
        <v>350</v>
      </c>
      <c r="B19" s="1041" t="s">
        <v>3860</v>
      </c>
      <c r="C19" s="162"/>
      <c r="D19" s="251">
        <f t="shared" si="1"/>
        <v>69210814</v>
      </c>
      <c r="E19" s="1232">
        <v>69210814</v>
      </c>
      <c r="F19" s="1235"/>
      <c r="G19" s="1231"/>
      <c r="H19" s="1231"/>
      <c r="I19" s="1231"/>
      <c r="J19" s="1231"/>
      <c r="K19" s="283" t="s">
        <v>350</v>
      </c>
    </row>
    <row r="20" spans="1:15">
      <c r="A20" s="248" t="s">
        <v>351</v>
      </c>
      <c r="B20" s="1041" t="s">
        <v>3861</v>
      </c>
      <c r="C20" s="162"/>
      <c r="D20" s="251">
        <f t="shared" si="1"/>
        <v>-11393</v>
      </c>
      <c r="E20" s="252">
        <v>-11393</v>
      </c>
      <c r="F20" s="1235"/>
      <c r="G20" s="1231"/>
      <c r="H20" s="1231"/>
      <c r="I20" s="1231"/>
      <c r="J20" s="1231"/>
      <c r="K20" s="283" t="s">
        <v>351</v>
      </c>
    </row>
    <row r="21" spans="1:15">
      <c r="A21" s="248" t="s">
        <v>352</v>
      </c>
      <c r="B21" s="1041" t="s">
        <v>3862</v>
      </c>
      <c r="C21" s="162"/>
      <c r="D21" s="251">
        <f t="shared" si="1"/>
        <v>0</v>
      </c>
      <c r="E21" s="252"/>
      <c r="F21" s="1235"/>
      <c r="G21" s="1231"/>
      <c r="H21" s="1231"/>
      <c r="I21" s="1231"/>
      <c r="J21" s="1231"/>
      <c r="K21" s="283" t="s">
        <v>352</v>
      </c>
    </row>
    <row r="22" spans="1:15">
      <c r="A22" s="248" t="s">
        <v>353</v>
      </c>
      <c r="B22" s="1041" t="s">
        <v>3863</v>
      </c>
      <c r="C22" s="162"/>
      <c r="D22" s="251">
        <f t="shared" si="1"/>
        <v>-1214356</v>
      </c>
      <c r="E22" s="1232">
        <v>-1214356</v>
      </c>
      <c r="F22" s="1235"/>
      <c r="G22" s="1231"/>
      <c r="H22" s="1231"/>
      <c r="I22" s="1231"/>
      <c r="J22" s="1231"/>
      <c r="K22" s="283" t="s">
        <v>353</v>
      </c>
    </row>
    <row r="23" spans="1:15">
      <c r="A23" s="248" t="s">
        <v>354</v>
      </c>
      <c r="B23" s="1041" t="s">
        <v>1052</v>
      </c>
      <c r="C23" s="162"/>
      <c r="D23" s="251">
        <f t="shared" ref="D23:J23" si="2">SUM(D16:D22)</f>
        <v>831231668</v>
      </c>
      <c r="E23" s="252">
        <f>SUM(E16:E22)</f>
        <v>831231668</v>
      </c>
      <c r="F23" s="1254">
        <f t="shared" si="2"/>
        <v>0</v>
      </c>
      <c r="G23" s="253">
        <f t="shared" si="2"/>
        <v>0</v>
      </c>
      <c r="H23" s="253">
        <f t="shared" si="2"/>
        <v>0</v>
      </c>
      <c r="I23" s="253">
        <f t="shared" si="2"/>
        <v>0</v>
      </c>
      <c r="J23" s="253">
        <f t="shared" si="2"/>
        <v>0</v>
      </c>
      <c r="K23" s="283" t="s">
        <v>354</v>
      </c>
      <c r="L23" s="1563" t="str">
        <f>IF(E23+E46=+'114115'!F9,"ok","error")</f>
        <v>ok</v>
      </c>
      <c r="M23" s="572"/>
      <c r="N23" s="572"/>
      <c r="O23" s="2258"/>
    </row>
    <row r="24" spans="1:15">
      <c r="A24" s="248" t="s">
        <v>355</v>
      </c>
      <c r="B24" s="1041" t="s">
        <v>1053</v>
      </c>
      <c r="C24" s="162"/>
      <c r="D24" s="251">
        <f t="shared" ref="D24:J24" si="3">D41</f>
        <v>117608294</v>
      </c>
      <c r="E24" s="252">
        <v>117608294</v>
      </c>
      <c r="F24" s="1254">
        <f t="shared" si="3"/>
        <v>0</v>
      </c>
      <c r="G24" s="1238">
        <f t="shared" si="3"/>
        <v>0</v>
      </c>
      <c r="H24" s="1238">
        <f t="shared" si="3"/>
        <v>0</v>
      </c>
      <c r="I24" s="1238">
        <f t="shared" si="3"/>
        <v>0</v>
      </c>
      <c r="J24" s="1238">
        <f t="shared" si="3"/>
        <v>0</v>
      </c>
      <c r="K24" s="283" t="s">
        <v>355</v>
      </c>
      <c r="L24" s="1563" t="str">
        <f>IF(E24+D48=+'114115'!F10,"ok","error")</f>
        <v>ok</v>
      </c>
      <c r="M24" s="572"/>
      <c r="N24" s="572"/>
      <c r="O24" s="2258"/>
    </row>
    <row r="25" spans="1:15">
      <c r="A25" s="248" t="s">
        <v>356</v>
      </c>
      <c r="B25" s="1041" t="s">
        <v>1646</v>
      </c>
      <c r="C25" s="162"/>
      <c r="D25" s="251">
        <f t="shared" ref="D25:J25" si="4">D23-D24</f>
        <v>713623374</v>
      </c>
      <c r="E25" s="252">
        <f>E23-E24</f>
        <v>713623374</v>
      </c>
      <c r="F25" s="1255">
        <f t="shared" si="4"/>
        <v>0</v>
      </c>
      <c r="G25" s="1252">
        <f t="shared" si="4"/>
        <v>0</v>
      </c>
      <c r="H25" s="1252">
        <f t="shared" si="4"/>
        <v>0</v>
      </c>
      <c r="I25" s="1252">
        <f t="shared" si="4"/>
        <v>0</v>
      </c>
      <c r="J25" s="1252">
        <f t="shared" si="4"/>
        <v>0</v>
      </c>
      <c r="K25" s="283" t="s">
        <v>356</v>
      </c>
      <c r="L25" s="1563" t="str">
        <f>IF(E25+D46-D48='114115'!F11,"ok","error")</f>
        <v>ok</v>
      </c>
      <c r="M25" s="572"/>
      <c r="N25" s="572"/>
      <c r="O25" s="2258"/>
    </row>
    <row r="26" spans="1:15">
      <c r="A26" s="248" t="s">
        <v>357</v>
      </c>
      <c r="B26" s="191" t="s">
        <v>3155</v>
      </c>
      <c r="C26" s="177"/>
      <c r="D26" s="338"/>
      <c r="E26" s="339"/>
      <c r="F26" s="340"/>
      <c r="G26" s="341"/>
      <c r="H26" s="341"/>
      <c r="I26" s="341"/>
      <c r="J26" s="342"/>
      <c r="K26" s="283" t="s">
        <v>357</v>
      </c>
      <c r="M26" s="572"/>
      <c r="N26" s="572"/>
    </row>
    <row r="27" spans="1:15">
      <c r="A27" s="248" t="s">
        <v>358</v>
      </c>
      <c r="B27" s="1042" t="s">
        <v>3156</v>
      </c>
      <c r="C27" s="175"/>
      <c r="D27" s="338"/>
      <c r="E27" s="339"/>
      <c r="F27" s="340"/>
      <c r="G27" s="341"/>
      <c r="H27" s="341"/>
      <c r="I27" s="341"/>
      <c r="J27" s="342"/>
      <c r="K27" s="283" t="s">
        <v>358</v>
      </c>
    </row>
    <row r="28" spans="1:15">
      <c r="A28" s="248" t="s">
        <v>359</v>
      </c>
      <c r="B28" s="1041" t="s">
        <v>43</v>
      </c>
      <c r="C28" s="162"/>
      <c r="D28" s="343"/>
      <c r="E28" s="344"/>
      <c r="F28" s="345"/>
      <c r="G28" s="346"/>
      <c r="H28" s="346"/>
      <c r="I28" s="346"/>
      <c r="J28" s="347"/>
      <c r="K28" s="283" t="s">
        <v>359</v>
      </c>
    </row>
    <row r="29" spans="1:15">
      <c r="A29" s="248" t="s">
        <v>360</v>
      </c>
      <c r="B29" s="1041" t="s">
        <v>483</v>
      </c>
      <c r="C29" s="162"/>
      <c r="D29" s="266">
        <f>SUM(E29:J29)</f>
        <v>113634820</v>
      </c>
      <c r="E29" s="1232">
        <v>113634820</v>
      </c>
      <c r="F29" s="1233"/>
      <c r="G29" s="1234"/>
      <c r="H29" s="1234"/>
      <c r="I29" s="1234"/>
      <c r="J29" s="1234"/>
      <c r="K29" s="283" t="s">
        <v>360</v>
      </c>
    </row>
    <row r="30" spans="1:15">
      <c r="A30" s="248" t="s">
        <v>361</v>
      </c>
      <c r="B30" s="1041" t="s">
        <v>484</v>
      </c>
      <c r="C30" s="162"/>
      <c r="D30" s="255">
        <f>SUM(E30:J30)</f>
        <v>3973474</v>
      </c>
      <c r="E30" s="1229">
        <v>3973474</v>
      </c>
      <c r="F30" s="1236"/>
      <c r="G30" s="1231"/>
      <c r="H30" s="1231"/>
      <c r="I30" s="1231"/>
      <c r="J30" s="1231"/>
      <c r="K30" s="283" t="s">
        <v>361</v>
      </c>
    </row>
    <row r="31" spans="1:15">
      <c r="A31" s="248" t="s">
        <v>362</v>
      </c>
      <c r="B31" s="1041" t="s">
        <v>2924</v>
      </c>
      <c r="C31" s="162"/>
      <c r="D31" s="253">
        <f t="shared" ref="D31:J31" si="5">SUM(D29:D30)</f>
        <v>117608294</v>
      </c>
      <c r="E31" s="254">
        <f t="shared" si="5"/>
        <v>117608294</v>
      </c>
      <c r="F31" s="1237">
        <f t="shared" si="5"/>
        <v>0</v>
      </c>
      <c r="G31" s="1238">
        <f t="shared" si="5"/>
        <v>0</v>
      </c>
      <c r="H31" s="1238">
        <f t="shared" si="5"/>
        <v>0</v>
      </c>
      <c r="I31" s="1238">
        <f t="shared" si="5"/>
        <v>0</v>
      </c>
      <c r="J31" s="1238">
        <f t="shared" si="5"/>
        <v>0</v>
      </c>
      <c r="K31" s="283" t="s">
        <v>362</v>
      </c>
    </row>
    <row r="32" spans="1:15">
      <c r="A32" s="248" t="s">
        <v>363</v>
      </c>
      <c r="B32" s="1041" t="s">
        <v>2925</v>
      </c>
      <c r="C32" s="162"/>
      <c r="D32" s="343"/>
      <c r="E32" s="344"/>
      <c r="F32" s="348"/>
      <c r="G32" s="346"/>
      <c r="H32" s="346"/>
      <c r="I32" s="346"/>
      <c r="J32" s="347"/>
      <c r="K32" s="283" t="s">
        <v>363</v>
      </c>
    </row>
    <row r="33" spans="1:12">
      <c r="A33" s="248" t="s">
        <v>364</v>
      </c>
      <c r="B33" s="1041" t="s">
        <v>2926</v>
      </c>
      <c r="C33" s="162"/>
      <c r="D33" s="255">
        <f>SUM(E33:J33)</f>
        <v>0</v>
      </c>
      <c r="E33" s="1229">
        <v>0</v>
      </c>
      <c r="F33" s="1236"/>
      <c r="G33" s="1231"/>
      <c r="H33" s="1231"/>
      <c r="I33" s="1231"/>
      <c r="J33" s="1231"/>
      <c r="K33" s="283" t="s">
        <v>364</v>
      </c>
    </row>
    <row r="34" spans="1:12">
      <c r="A34" s="248" t="s">
        <v>3238</v>
      </c>
      <c r="B34" s="1041" t="s">
        <v>2927</v>
      </c>
      <c r="C34" s="162"/>
      <c r="D34" s="255">
        <f>SUM(E34:J34)</f>
        <v>0</v>
      </c>
      <c r="E34" s="1229"/>
      <c r="F34" s="1236"/>
      <c r="G34" s="1231"/>
      <c r="H34" s="1231"/>
      <c r="I34" s="1231"/>
      <c r="J34" s="1231"/>
      <c r="K34" s="283" t="s">
        <v>3238</v>
      </c>
    </row>
    <row r="35" spans="1:12">
      <c r="A35" s="248" t="s">
        <v>3239</v>
      </c>
      <c r="B35" s="1041" t="s">
        <v>2928</v>
      </c>
      <c r="C35" s="162"/>
      <c r="D35" s="253">
        <f t="shared" ref="D35:J35" si="6">SUM(D33:D34)</f>
        <v>0</v>
      </c>
      <c r="E35" s="254">
        <f t="shared" si="6"/>
        <v>0</v>
      </c>
      <c r="F35" s="1237">
        <f t="shared" si="6"/>
        <v>0</v>
      </c>
      <c r="G35" s="1238">
        <f t="shared" si="6"/>
        <v>0</v>
      </c>
      <c r="H35" s="1238">
        <f t="shared" si="6"/>
        <v>0</v>
      </c>
      <c r="I35" s="1238">
        <f t="shared" si="6"/>
        <v>0</v>
      </c>
      <c r="J35" s="1238">
        <f t="shared" si="6"/>
        <v>0</v>
      </c>
      <c r="K35" s="283" t="s">
        <v>3239</v>
      </c>
    </row>
    <row r="36" spans="1:12">
      <c r="A36" s="248" t="s">
        <v>3240</v>
      </c>
      <c r="B36" s="1041" t="s">
        <v>2929</v>
      </c>
      <c r="C36" s="162"/>
      <c r="D36" s="1239"/>
      <c r="E36" s="1240"/>
      <c r="F36" s="1241"/>
      <c r="G36" s="1242"/>
      <c r="H36" s="1242"/>
      <c r="I36" s="1242"/>
      <c r="J36" s="1243"/>
      <c r="K36" s="283" t="s">
        <v>3240</v>
      </c>
    </row>
    <row r="37" spans="1:12">
      <c r="A37" s="248" t="s">
        <v>3241</v>
      </c>
      <c r="B37" s="1041" t="s">
        <v>2930</v>
      </c>
      <c r="C37" s="162"/>
      <c r="D37" s="255">
        <f>SUM(E37:J37)</f>
        <v>0</v>
      </c>
      <c r="E37" s="1229"/>
      <c r="F37" s="1244"/>
      <c r="G37" s="1245"/>
      <c r="H37" s="1231"/>
      <c r="I37" s="1231"/>
      <c r="J37" s="1231"/>
      <c r="K37" s="283" t="s">
        <v>3241</v>
      </c>
    </row>
    <row r="38" spans="1:12">
      <c r="A38" s="248" t="s">
        <v>3242</v>
      </c>
      <c r="B38" s="1041" t="s">
        <v>2931</v>
      </c>
      <c r="C38" s="162"/>
      <c r="D38" s="255">
        <f>SUM(E38:J38)</f>
        <v>0</v>
      </c>
      <c r="E38" s="1229"/>
      <c r="F38" s="1244"/>
      <c r="G38" s="1245"/>
      <c r="H38" s="1231"/>
      <c r="I38" s="1231"/>
      <c r="J38" s="1231"/>
      <c r="K38" s="283" t="s">
        <v>3242</v>
      </c>
    </row>
    <row r="39" spans="1:12">
      <c r="A39" s="248" t="s">
        <v>3243</v>
      </c>
      <c r="B39" s="1041" t="s">
        <v>2932</v>
      </c>
      <c r="C39" s="162"/>
      <c r="D39" s="253">
        <f t="shared" ref="D39:J39" si="7">SUM(D37:D38)</f>
        <v>0</v>
      </c>
      <c r="E39" s="254"/>
      <c r="F39" s="1246">
        <f t="shared" si="7"/>
        <v>0</v>
      </c>
      <c r="G39" s="253">
        <f t="shared" si="7"/>
        <v>0</v>
      </c>
      <c r="H39" s="1238">
        <f t="shared" si="7"/>
        <v>0</v>
      </c>
      <c r="I39" s="1238">
        <f t="shared" si="7"/>
        <v>0</v>
      </c>
      <c r="J39" s="1238">
        <f t="shared" si="7"/>
        <v>0</v>
      </c>
      <c r="K39" s="283" t="s">
        <v>3243</v>
      </c>
    </row>
    <row r="40" spans="1:12">
      <c r="A40" s="248" t="s">
        <v>3244</v>
      </c>
      <c r="B40" s="1041" t="s">
        <v>2933</v>
      </c>
      <c r="C40" s="162"/>
      <c r="D40" s="255">
        <f>SUM(E40:J40)</f>
        <v>0</v>
      </c>
      <c r="E40" s="1229"/>
      <c r="F40" s="1244"/>
      <c r="G40" s="1245"/>
      <c r="H40" s="1231"/>
      <c r="I40" s="1231"/>
      <c r="J40" s="1231"/>
      <c r="K40" s="283" t="s">
        <v>3244</v>
      </c>
    </row>
    <row r="41" spans="1:12">
      <c r="A41" s="248" t="s">
        <v>3245</v>
      </c>
      <c r="B41" s="191" t="s">
        <v>542</v>
      </c>
      <c r="C41" s="159"/>
      <c r="D41" s="266">
        <f>D31+D35+D39+D40</f>
        <v>117608294</v>
      </c>
      <c r="E41" s="252">
        <f t="shared" ref="E41:J41" si="8">E31+E35+E39+E40</f>
        <v>117608294</v>
      </c>
      <c r="F41" s="1247">
        <f t="shared" si="8"/>
        <v>0</v>
      </c>
      <c r="G41" s="266">
        <f t="shared" si="8"/>
        <v>0</v>
      </c>
      <c r="H41" s="266">
        <f t="shared" si="8"/>
        <v>0</v>
      </c>
      <c r="I41" s="266">
        <f t="shared" si="8"/>
        <v>0</v>
      </c>
      <c r="J41" s="266">
        <f t="shared" si="8"/>
        <v>0</v>
      </c>
      <c r="K41" s="283" t="s">
        <v>3245</v>
      </c>
      <c r="L41" s="1563" t="str">
        <f>IF(E41+D48=+'114115'!F10,"ok","error")</f>
        <v>ok</v>
      </c>
    </row>
    <row r="42" spans="1:12">
      <c r="A42" s="248" t="s">
        <v>3246</v>
      </c>
      <c r="B42" s="1041" t="s">
        <v>543</v>
      </c>
      <c r="C42" s="326"/>
      <c r="D42" s="343"/>
      <c r="E42" s="344"/>
      <c r="F42" s="349"/>
      <c r="G42" s="346"/>
      <c r="H42" s="346"/>
      <c r="I42" s="346"/>
      <c r="J42" s="347"/>
      <c r="K42" s="283" t="s">
        <v>3246</v>
      </c>
    </row>
    <row r="43" spans="1:12">
      <c r="A43" s="350"/>
      <c r="B43" s="159"/>
      <c r="C43" s="159"/>
      <c r="D43" s="212"/>
      <c r="E43" s="272"/>
      <c r="F43" s="165"/>
      <c r="G43" s="159"/>
      <c r="H43" s="159"/>
      <c r="I43" s="159"/>
      <c r="J43" s="212"/>
      <c r="K43" s="352"/>
    </row>
    <row r="44" spans="1:12">
      <c r="A44" s="350"/>
      <c r="B44" s="159"/>
      <c r="C44" s="159"/>
      <c r="D44" s="212"/>
      <c r="E44" s="272"/>
      <c r="F44" s="165"/>
      <c r="G44" s="159"/>
      <c r="H44" s="159"/>
      <c r="I44" s="159"/>
      <c r="J44" s="212"/>
      <c r="K44" s="352"/>
    </row>
    <row r="45" spans="1:12">
      <c r="A45" s="350"/>
      <c r="B45" s="2371" t="s">
        <v>4743</v>
      </c>
      <c r="C45" s="159"/>
      <c r="D45" s="212"/>
      <c r="E45" s="272"/>
      <c r="F45" s="165"/>
      <c r="G45" s="177"/>
      <c r="H45" s="159"/>
      <c r="I45" s="159"/>
      <c r="J45" s="212"/>
      <c r="K45" s="352"/>
    </row>
    <row r="46" spans="1:12">
      <c r="A46" s="350"/>
      <c r="B46" s="177" t="s">
        <v>4742</v>
      </c>
      <c r="C46" s="159"/>
      <c r="D46" s="2384">
        <f>+E46</f>
        <v>13200635</v>
      </c>
      <c r="E46" s="2590">
        <v>13200635</v>
      </c>
      <c r="F46" s="165"/>
      <c r="G46" s="177"/>
      <c r="H46" s="159"/>
      <c r="I46" s="159"/>
      <c r="J46" s="212"/>
      <c r="K46" s="2383"/>
    </row>
    <row r="47" spans="1:12">
      <c r="A47" s="350"/>
      <c r="B47" s="177"/>
      <c r="C47" s="159"/>
      <c r="D47" s="327"/>
      <c r="E47" s="207"/>
      <c r="F47" s="165"/>
      <c r="G47" s="177"/>
      <c r="H47" s="159"/>
      <c r="I47" s="159"/>
      <c r="J47" s="212"/>
      <c r="K47" s="2383"/>
    </row>
    <row r="48" spans="1:12">
      <c r="A48" s="350"/>
      <c r="B48" s="177" t="s">
        <v>4741</v>
      </c>
      <c r="C48" s="159"/>
      <c r="D48" s="2384">
        <f>+E48</f>
        <v>-256425</v>
      </c>
      <c r="E48" s="2590">
        <v>-256425</v>
      </c>
      <c r="F48" s="165"/>
      <c r="G48" s="177"/>
      <c r="H48" s="159"/>
      <c r="I48" s="159"/>
      <c r="J48" s="212"/>
      <c r="K48" s="2383"/>
    </row>
    <row r="49" spans="1:11">
      <c r="A49" s="350"/>
      <c r="B49" s="177"/>
      <c r="C49" s="159"/>
      <c r="D49" s="212"/>
      <c r="E49" s="207"/>
      <c r="F49" s="165"/>
      <c r="G49" s="177"/>
      <c r="H49" s="159"/>
      <c r="I49" s="159"/>
      <c r="J49" s="212"/>
      <c r="K49" s="2383"/>
    </row>
    <row r="50" spans="1:11">
      <c r="A50" s="350"/>
      <c r="B50" s="177"/>
      <c r="C50" s="159"/>
      <c r="D50" s="327" t="s">
        <v>4994</v>
      </c>
      <c r="E50" s="207">
        <f>+E23+E46</f>
        <v>844432303</v>
      </c>
      <c r="F50" s="165"/>
      <c r="G50" s="177"/>
      <c r="H50" s="159"/>
      <c r="I50" s="159"/>
      <c r="J50" s="212"/>
      <c r="K50" s="352"/>
    </row>
    <row r="51" spans="1:11">
      <c r="A51" s="350"/>
      <c r="B51" s="177"/>
      <c r="C51" s="159"/>
      <c r="D51" s="327" t="s">
        <v>4995</v>
      </c>
      <c r="E51" s="207">
        <f>+'114115'!F9</f>
        <v>844432303</v>
      </c>
      <c r="F51" s="165"/>
      <c r="G51" s="177"/>
      <c r="H51" s="159"/>
      <c r="I51" s="159"/>
      <c r="J51" s="212"/>
      <c r="K51" s="352"/>
    </row>
    <row r="52" spans="1:11">
      <c r="A52" s="350"/>
      <c r="B52" s="177"/>
      <c r="C52" s="159"/>
      <c r="D52" s="212"/>
      <c r="E52" s="207"/>
      <c r="F52" s="165"/>
      <c r="G52" s="177"/>
      <c r="H52" s="159"/>
      <c r="I52" s="159"/>
      <c r="J52" s="212"/>
      <c r="K52" s="352"/>
    </row>
    <row r="53" spans="1:11">
      <c r="A53" s="350"/>
      <c r="B53" s="177"/>
      <c r="C53" s="159"/>
      <c r="D53" s="327" t="s">
        <v>4996</v>
      </c>
      <c r="E53" s="207">
        <f>+E31+E48</f>
        <v>117351869</v>
      </c>
      <c r="F53" s="165"/>
      <c r="G53" s="177"/>
      <c r="H53" s="159"/>
      <c r="I53" s="159"/>
      <c r="J53" s="212"/>
      <c r="K53" s="352"/>
    </row>
    <row r="54" spans="1:11">
      <c r="A54" s="350"/>
      <c r="B54" s="177"/>
      <c r="C54" s="159"/>
      <c r="D54" s="327" t="s">
        <v>4997</v>
      </c>
      <c r="E54" s="207">
        <f>+'114115'!F10</f>
        <v>117351869</v>
      </c>
      <c r="F54" s="165"/>
      <c r="G54" s="177"/>
      <c r="H54" s="159"/>
      <c r="I54" s="159"/>
      <c r="J54" s="212"/>
      <c r="K54" s="352"/>
    </row>
    <row r="55" spans="1:11">
      <c r="A55" s="350"/>
      <c r="B55" s="177"/>
      <c r="C55" s="159"/>
      <c r="D55" s="212"/>
      <c r="E55" s="272"/>
      <c r="F55" s="165"/>
      <c r="G55" s="177"/>
      <c r="H55" s="159"/>
      <c r="I55" s="159"/>
      <c r="J55" s="212"/>
      <c r="K55" s="352"/>
    </row>
    <row r="56" spans="1:11">
      <c r="A56" s="350"/>
      <c r="B56" s="177"/>
      <c r="C56" s="159"/>
      <c r="D56" s="212"/>
      <c r="E56" s="272"/>
      <c r="F56" s="165"/>
      <c r="G56" s="177"/>
      <c r="H56" s="159"/>
      <c r="I56" s="159"/>
      <c r="J56" s="212"/>
      <c r="K56" s="352"/>
    </row>
    <row r="57" spans="1:11">
      <c r="A57" s="350"/>
      <c r="B57" s="177"/>
      <c r="C57" s="159"/>
      <c r="D57" s="212"/>
      <c r="E57" s="272"/>
      <c r="F57" s="165"/>
      <c r="G57" s="177"/>
      <c r="H57" s="159"/>
      <c r="I57" s="159"/>
      <c r="J57" s="212"/>
      <c r="K57" s="352"/>
    </row>
    <row r="58" spans="1:11">
      <c r="A58" s="350"/>
      <c r="B58" s="177"/>
      <c r="C58" s="159"/>
      <c r="D58" s="212"/>
      <c r="E58" s="272"/>
      <c r="F58" s="165"/>
      <c r="G58" s="177"/>
      <c r="H58" s="159"/>
      <c r="I58" s="159"/>
      <c r="J58" s="212"/>
      <c r="K58" s="352"/>
    </row>
    <row r="59" spans="1:11">
      <c r="A59" s="350"/>
      <c r="B59" s="177"/>
      <c r="C59" s="159"/>
      <c r="D59" s="212"/>
      <c r="E59" s="272"/>
      <c r="F59" s="165"/>
      <c r="G59" s="177"/>
      <c r="H59" s="159"/>
      <c r="I59" s="159"/>
      <c r="J59" s="212"/>
      <c r="K59" s="352"/>
    </row>
    <row r="60" spans="1:11" ht="15.75" thickBot="1">
      <c r="A60" s="353"/>
      <c r="B60" s="196"/>
      <c r="C60" s="209"/>
      <c r="D60" s="354"/>
      <c r="E60" s="355"/>
      <c r="F60" s="208"/>
      <c r="G60" s="196"/>
      <c r="H60" s="209"/>
      <c r="I60" s="209"/>
      <c r="J60" s="354"/>
      <c r="K60" s="356"/>
    </row>
    <row r="61" spans="1:11">
      <c r="A61" s="191" t="s">
        <v>544</v>
      </c>
      <c r="B61" s="177"/>
      <c r="C61" s="159"/>
      <c r="D61" s="212"/>
      <c r="E61" s="212"/>
      <c r="F61" s="159"/>
      <c r="G61" s="177"/>
      <c r="H61" s="159"/>
      <c r="I61" s="159"/>
      <c r="J61" s="159" t="s">
        <v>544</v>
      </c>
      <c r="K61" s="357"/>
    </row>
    <row r="62" spans="1:11">
      <c r="A62" s="159" t="s">
        <v>3502</v>
      </c>
      <c r="B62" s="159"/>
      <c r="C62" s="4"/>
      <c r="D62" s="212"/>
      <c r="E62" s="212"/>
      <c r="F62" s="159" t="s">
        <v>3503</v>
      </c>
      <c r="G62" s="159"/>
      <c r="H62" s="4"/>
      <c r="I62" s="159"/>
      <c r="J62" s="212"/>
      <c r="K62" s="357"/>
    </row>
    <row r="63" spans="1:11">
      <c r="A63" s="269"/>
      <c r="B63" s="177"/>
      <c r="C63" s="177"/>
      <c r="D63" s="206"/>
      <c r="E63" s="206"/>
      <c r="F63" s="177"/>
      <c r="G63" s="177"/>
      <c r="H63" s="177"/>
      <c r="I63" s="177"/>
      <c r="J63" s="206"/>
      <c r="K63" s="177"/>
    </row>
    <row r="64" spans="1:11">
      <c r="A64" s="350"/>
      <c r="B64" s="177"/>
      <c r="C64" s="177"/>
      <c r="D64" s="206"/>
      <c r="E64" s="206"/>
      <c r="F64" s="177"/>
      <c r="G64" s="177"/>
      <c r="H64" s="177"/>
      <c r="I64" s="177"/>
      <c r="J64" s="206"/>
      <c r="K64" s="177"/>
    </row>
    <row r="65" spans="1:11">
      <c r="A65" s="350"/>
      <c r="B65" s="177"/>
      <c r="C65" s="177"/>
      <c r="D65" s="206"/>
      <c r="E65" s="206"/>
      <c r="F65" s="177"/>
      <c r="G65" s="177"/>
      <c r="H65" s="177"/>
      <c r="I65" s="177"/>
      <c r="J65" s="206"/>
      <c r="K65" s="177"/>
    </row>
    <row r="66" spans="1:11">
      <c r="A66" s="350"/>
      <c r="B66" s="177"/>
      <c r="C66" s="177"/>
      <c r="D66" s="206"/>
      <c r="E66" s="206"/>
      <c r="F66" s="177"/>
      <c r="G66" s="177"/>
      <c r="H66" s="177"/>
      <c r="I66" s="177"/>
      <c r="J66" s="206"/>
      <c r="K66" s="177"/>
    </row>
    <row r="67" spans="1:11">
      <c r="A67" s="350"/>
      <c r="B67" s="177"/>
      <c r="C67" s="177"/>
      <c r="D67" s="206"/>
      <c r="E67" s="206"/>
      <c r="F67" s="177"/>
      <c r="G67" s="177"/>
      <c r="H67" s="177"/>
      <c r="I67" s="177"/>
      <c r="J67" s="206"/>
      <c r="K67" s="177"/>
    </row>
    <row r="68" spans="1:11">
      <c r="A68" s="350"/>
      <c r="B68" s="177"/>
      <c r="C68" s="177"/>
      <c r="D68" s="206"/>
      <c r="E68" s="206"/>
      <c r="F68" s="177"/>
      <c r="G68" s="177"/>
      <c r="H68" s="177"/>
      <c r="I68" s="177"/>
      <c r="J68" s="206"/>
      <c r="K68" s="177"/>
    </row>
    <row r="69" spans="1:11">
      <c r="A69" s="350"/>
      <c r="B69" s="177"/>
      <c r="C69" s="177"/>
      <c r="D69" s="206"/>
      <c r="E69" s="206"/>
      <c r="F69" s="177"/>
      <c r="G69" s="177"/>
      <c r="H69" s="177"/>
      <c r="I69" s="177"/>
      <c r="J69" s="206"/>
      <c r="K69" s="177"/>
    </row>
    <row r="70" spans="1:11">
      <c r="A70" s="350"/>
      <c r="B70" s="177"/>
      <c r="C70" s="177"/>
      <c r="D70" s="206"/>
      <c r="E70" s="206"/>
      <c r="F70" s="177"/>
      <c r="G70" s="177"/>
      <c r="H70" s="177"/>
      <c r="I70" s="177"/>
      <c r="J70" s="206"/>
      <c r="K70" s="177"/>
    </row>
    <row r="71" spans="1:11">
      <c r="A71" s="177"/>
      <c r="B71" s="177"/>
      <c r="C71" s="177"/>
      <c r="D71" s="206"/>
      <c r="E71" s="206"/>
      <c r="F71" s="177"/>
      <c r="G71" s="177"/>
      <c r="H71" s="177"/>
      <c r="I71" s="177"/>
      <c r="J71" s="206"/>
      <c r="K71" s="206"/>
    </row>
    <row r="72" spans="1:11">
      <c r="A72" s="177"/>
      <c r="B72" s="177"/>
      <c r="C72" s="177"/>
      <c r="D72" s="206"/>
      <c r="E72" s="206"/>
      <c r="F72" s="177"/>
      <c r="G72" s="177"/>
      <c r="H72" s="177"/>
      <c r="I72" s="177"/>
      <c r="J72" s="206"/>
      <c r="K72" s="206"/>
    </row>
    <row r="73" spans="1:11">
      <c r="A73" s="177"/>
      <c r="B73" s="177"/>
      <c r="C73" s="177"/>
      <c r="D73" s="177"/>
      <c r="E73" s="177"/>
      <c r="F73" s="177"/>
      <c r="G73" s="177"/>
      <c r="H73" s="177"/>
      <c r="I73" s="177"/>
      <c r="J73" s="177"/>
      <c r="K73" s="177"/>
    </row>
    <row r="74" spans="1:11">
      <c r="A74" s="177"/>
      <c r="B74" s="177"/>
      <c r="C74" s="177"/>
      <c r="D74" s="177"/>
      <c r="E74" s="177"/>
      <c r="F74" s="177"/>
      <c r="G74" s="177"/>
      <c r="H74" s="177"/>
      <c r="I74" s="177"/>
      <c r="J74" s="177"/>
      <c r="K74" s="177"/>
    </row>
    <row r="75" spans="1:11">
      <c r="A75" s="177"/>
      <c r="B75" s="177"/>
      <c r="C75" s="177"/>
      <c r="D75" s="177"/>
      <c r="E75" s="177"/>
      <c r="F75" s="177"/>
      <c r="G75" s="177"/>
      <c r="H75" s="177"/>
      <c r="I75" s="177"/>
      <c r="J75" s="177"/>
      <c r="K75" s="177"/>
    </row>
    <row r="76" spans="1:11">
      <c r="A76" s="177"/>
      <c r="B76" s="177"/>
      <c r="C76" s="177"/>
      <c r="D76" s="177"/>
      <c r="E76" s="177"/>
      <c r="F76" s="177"/>
      <c r="G76" s="177"/>
      <c r="H76" s="177"/>
      <c r="I76" s="177"/>
      <c r="J76" s="177"/>
      <c r="K76" s="177"/>
    </row>
  </sheetData>
  <phoneticPr fontId="0" type="noConversion"/>
  <printOptions horizontalCentered="1" verticalCentered="1"/>
  <pageMargins left="0.4" right="0.4" top="0.3" bottom="0.3" header="0" footer="0"/>
  <pageSetup scale="71" fitToWidth="2" orientation="portrait" r:id="rId1"/>
  <headerFooter alignWithMargins="0"/>
  <colBreaks count="1" manualBreakCount="1">
    <brk id="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codeName="Sheet19"/>
  <dimension ref="A1:Q153"/>
  <sheetViews>
    <sheetView defaultGridColor="0" colorId="22" zoomScaleNormal="100" workbookViewId="0">
      <pane xSplit="5" ySplit="19" topLeftCell="G20" activePane="bottomRight" state="frozen"/>
      <selection activeCell="R36" sqref="R36"/>
      <selection pane="topRight" activeCell="R36" sqref="R36"/>
      <selection pane="bottomLeft" activeCell="R36" sqref="R36"/>
      <selection pane="bottomRight" activeCell="G123" sqref="G123"/>
    </sheetView>
  </sheetViews>
  <sheetFormatPr defaultColWidth="9.77734375" defaultRowHeight="15"/>
  <cols>
    <col min="1" max="1" width="4.77734375" customWidth="1"/>
    <col min="2" max="2" width="38.88671875" customWidth="1"/>
    <col min="3" max="3" width="25.77734375" customWidth="1"/>
    <col min="4" max="5" width="20.77734375" customWidth="1"/>
    <col min="6" max="9" width="23.77734375" customWidth="1"/>
    <col min="10" max="10" width="5.77734375" customWidth="1"/>
    <col min="11" max="11" width="4.77734375" customWidth="1"/>
    <col min="12" max="12" width="15" style="1940" hidden="1" customWidth="1"/>
    <col min="13" max="13" width="0" hidden="1" customWidth="1"/>
    <col min="14" max="15" width="11.44140625" bestFit="1" customWidth="1"/>
    <col min="16" max="16" width="6.109375" bestFit="1" customWidth="1"/>
    <col min="17" max="17" width="5" bestFit="1" customWidth="1"/>
  </cols>
  <sheetData>
    <row r="1" spans="1:11" ht="15.75" thickBot="1">
      <c r="A1" t="str">
        <f>'Data sheet'!A61</f>
        <v>Annual Report of Veolia Water New York, Inc.                                                                       Year Ended  December 31, 2023</v>
      </c>
      <c r="F1" t="str">
        <f>'Data sheet'!A59</f>
        <v>Annual Report of Veolia Water New York, Inc.                                                             Year Ended  December 31, 2023</v>
      </c>
    </row>
    <row r="2" spans="1:11">
      <c r="A2" s="129"/>
      <c r="B2" s="130"/>
      <c r="C2" s="130"/>
      <c r="D2" s="130"/>
      <c r="E2" s="131"/>
      <c r="F2" s="129"/>
      <c r="G2" s="130"/>
      <c r="H2" s="130"/>
      <c r="I2" s="130"/>
      <c r="J2" s="130"/>
      <c r="K2" s="131"/>
    </row>
    <row r="3" spans="1:11" ht="15.75">
      <c r="A3" s="118" t="s">
        <v>3504</v>
      </c>
      <c r="B3" s="5"/>
      <c r="C3" s="5"/>
      <c r="D3" s="5"/>
      <c r="E3" s="132"/>
      <c r="F3" s="118" t="s">
        <v>3504</v>
      </c>
      <c r="G3" s="5"/>
      <c r="H3" s="5"/>
      <c r="I3" s="5"/>
      <c r="J3" s="5"/>
      <c r="K3" s="132"/>
    </row>
    <row r="4" spans="1:11">
      <c r="A4" s="97"/>
      <c r="B4" s="98"/>
      <c r="C4" s="98"/>
      <c r="D4" s="128"/>
      <c r="E4" s="225"/>
      <c r="F4" s="97"/>
      <c r="G4" s="98"/>
      <c r="H4" s="128"/>
      <c r="I4" s="224"/>
      <c r="J4" s="98"/>
      <c r="K4" s="101"/>
    </row>
    <row r="5" spans="1:11">
      <c r="A5" s="85"/>
      <c r="B5" s="86"/>
      <c r="C5" s="86"/>
      <c r="D5" s="86"/>
      <c r="E5" s="87"/>
      <c r="F5" s="85"/>
      <c r="G5" s="86"/>
      <c r="H5" s="86"/>
      <c r="I5" s="86"/>
      <c r="J5" s="86"/>
      <c r="K5" s="87"/>
    </row>
    <row r="6" spans="1:11">
      <c r="A6" s="358" t="s">
        <v>4</v>
      </c>
      <c r="B6" s="359"/>
      <c r="C6" s="359"/>
      <c r="D6" s="359"/>
      <c r="E6" s="360"/>
      <c r="F6" s="358" t="s">
        <v>4115</v>
      </c>
      <c r="G6" s="359"/>
      <c r="H6" s="359"/>
      <c r="I6" s="359"/>
      <c r="J6" s="359"/>
      <c r="K6" s="87"/>
    </row>
    <row r="7" spans="1:11">
      <c r="A7" s="358"/>
      <c r="B7" s="359"/>
      <c r="C7" s="359"/>
      <c r="D7" s="359"/>
      <c r="E7" s="360"/>
      <c r="F7" s="358" t="s">
        <v>4116</v>
      </c>
      <c r="G7" s="359"/>
      <c r="H7" s="359"/>
      <c r="I7" s="359"/>
      <c r="J7" s="359"/>
      <c r="K7" s="87"/>
    </row>
    <row r="8" spans="1:11">
      <c r="A8" s="358" t="s">
        <v>4117</v>
      </c>
      <c r="B8" s="359"/>
      <c r="C8" s="359"/>
      <c r="D8" s="359"/>
      <c r="E8" s="360"/>
      <c r="F8" s="358" t="s">
        <v>2750</v>
      </c>
      <c r="G8" s="359"/>
      <c r="H8" s="359"/>
      <c r="I8" s="359"/>
      <c r="J8" s="359"/>
      <c r="K8" s="87"/>
    </row>
    <row r="9" spans="1:11">
      <c r="A9" s="358" t="s">
        <v>3501</v>
      </c>
      <c r="B9" s="359"/>
      <c r="C9" s="359"/>
      <c r="D9" s="359"/>
      <c r="E9" s="360"/>
      <c r="F9" s="358" t="s">
        <v>3131</v>
      </c>
      <c r="G9" s="359"/>
      <c r="H9" s="359"/>
      <c r="I9" s="359"/>
      <c r="J9" s="359"/>
      <c r="K9" s="87"/>
    </row>
    <row r="10" spans="1:11">
      <c r="A10" s="358"/>
      <c r="B10" s="359"/>
      <c r="C10" s="359"/>
      <c r="D10" s="359"/>
      <c r="E10" s="360"/>
      <c r="F10" s="358"/>
      <c r="G10" s="359"/>
      <c r="H10" s="359"/>
      <c r="I10" s="359"/>
      <c r="J10" s="359"/>
      <c r="K10" s="87"/>
    </row>
    <row r="11" spans="1:11">
      <c r="A11" s="358" t="s">
        <v>3591</v>
      </c>
      <c r="B11" s="359"/>
      <c r="C11" s="359"/>
      <c r="D11" s="359"/>
      <c r="E11" s="360"/>
      <c r="F11" s="358" t="s">
        <v>2665</v>
      </c>
      <c r="G11" s="359"/>
      <c r="H11" s="359"/>
      <c r="I11" s="359"/>
      <c r="J11" s="359"/>
      <c r="K11" s="87"/>
    </row>
    <row r="12" spans="1:11">
      <c r="A12" s="358"/>
      <c r="B12" s="359"/>
      <c r="C12" s="359"/>
      <c r="D12" s="359"/>
      <c r="E12" s="360"/>
      <c r="F12" s="358" t="s">
        <v>1383</v>
      </c>
      <c r="G12" s="359"/>
      <c r="H12" s="359"/>
      <c r="I12" s="359"/>
      <c r="J12" s="359"/>
      <c r="K12" s="87"/>
    </row>
    <row r="13" spans="1:11">
      <c r="A13" s="358" t="s">
        <v>3797</v>
      </c>
      <c r="B13" s="359"/>
      <c r="C13" s="359"/>
      <c r="D13" s="359"/>
      <c r="E13" s="360"/>
      <c r="F13" s="358"/>
      <c r="G13" s="359"/>
      <c r="H13" s="359"/>
      <c r="I13" s="359"/>
      <c r="J13" s="359"/>
      <c r="K13" s="87"/>
    </row>
    <row r="14" spans="1:11" ht="15.75">
      <c r="A14" s="358"/>
      <c r="B14" s="361"/>
      <c r="C14" s="359"/>
      <c r="D14" s="359"/>
      <c r="E14" s="360"/>
      <c r="F14" s="358" t="s">
        <v>1952</v>
      </c>
      <c r="G14" s="359"/>
      <c r="H14" s="359"/>
      <c r="I14" s="359"/>
      <c r="J14" s="359"/>
      <c r="K14" s="87"/>
    </row>
    <row r="15" spans="1:11">
      <c r="A15" s="358" t="s">
        <v>1953</v>
      </c>
      <c r="B15" s="359"/>
      <c r="C15" s="359"/>
      <c r="D15" s="359"/>
      <c r="E15" s="360"/>
      <c r="F15" s="358" t="s">
        <v>1954</v>
      </c>
      <c r="G15" s="359"/>
      <c r="H15" s="359"/>
      <c r="I15" s="359"/>
      <c r="J15" s="359"/>
      <c r="K15" s="87"/>
    </row>
    <row r="16" spans="1:11">
      <c r="A16" s="85"/>
      <c r="B16" s="86"/>
      <c r="C16" s="86"/>
      <c r="D16" s="86"/>
      <c r="E16" s="87"/>
      <c r="F16" s="97" t="s">
        <v>1955</v>
      </c>
      <c r="G16" s="98"/>
      <c r="H16" s="98"/>
      <c r="I16" s="98"/>
      <c r="J16" s="98"/>
      <c r="K16" s="101"/>
    </row>
    <row r="17" spans="1:15">
      <c r="A17" s="362"/>
      <c r="B17" s="137"/>
      <c r="C17" s="91"/>
      <c r="D17" s="995" t="s">
        <v>1625</v>
      </c>
      <c r="E17" s="93"/>
      <c r="F17" s="85"/>
      <c r="G17" s="96"/>
      <c r="H17" s="86"/>
      <c r="I17" s="109" t="s">
        <v>1625</v>
      </c>
      <c r="J17" s="95"/>
      <c r="K17" s="363"/>
    </row>
    <row r="18" spans="1:15">
      <c r="A18" s="110" t="s">
        <v>1727</v>
      </c>
      <c r="B18" s="134" t="s">
        <v>4315</v>
      </c>
      <c r="C18" s="117"/>
      <c r="D18" s="109" t="s">
        <v>1956</v>
      </c>
      <c r="E18" s="428" t="s">
        <v>1957</v>
      </c>
      <c r="F18" s="110" t="s">
        <v>1958</v>
      </c>
      <c r="G18" s="109" t="s">
        <v>5003</v>
      </c>
      <c r="H18" s="94" t="s">
        <v>1959</v>
      </c>
      <c r="I18" s="109" t="s">
        <v>1627</v>
      </c>
      <c r="J18" s="95"/>
      <c r="K18" s="363" t="s">
        <v>1727</v>
      </c>
    </row>
    <row r="19" spans="1:15">
      <c r="A19" s="364" t="s">
        <v>1739</v>
      </c>
      <c r="B19" s="365" t="s">
        <v>3279</v>
      </c>
      <c r="C19" s="366"/>
      <c r="D19" s="997" t="s">
        <v>3280</v>
      </c>
      <c r="E19" s="424" t="s">
        <v>3281</v>
      </c>
      <c r="F19" s="364" t="s">
        <v>3282</v>
      </c>
      <c r="G19" s="997" t="s">
        <v>721</v>
      </c>
      <c r="H19" s="996" t="s">
        <v>722</v>
      </c>
      <c r="I19" s="997" t="s">
        <v>723</v>
      </c>
      <c r="J19" s="99"/>
      <c r="K19" s="367" t="s">
        <v>1739</v>
      </c>
    </row>
    <row r="20" spans="1:15" ht="15.75">
      <c r="A20" s="368" t="s">
        <v>340</v>
      </c>
      <c r="B20" s="369" t="s">
        <v>1960</v>
      </c>
      <c r="C20" s="370"/>
      <c r="D20" s="371"/>
      <c r="E20" s="372"/>
      <c r="F20" s="373"/>
      <c r="G20" s="374"/>
      <c r="H20" s="374"/>
      <c r="I20" s="375"/>
      <c r="J20" s="99"/>
      <c r="K20" s="376" t="s">
        <v>340</v>
      </c>
    </row>
    <row r="21" spans="1:15">
      <c r="A21" s="368">
        <v>2</v>
      </c>
      <c r="B21" s="377" t="s">
        <v>1961</v>
      </c>
      <c r="C21" s="370"/>
      <c r="D21" s="1625">
        <v>1022.5</v>
      </c>
      <c r="E21" s="2022"/>
      <c r="F21" s="1626"/>
      <c r="G21" s="1627"/>
      <c r="H21" s="1627"/>
      <c r="I21" s="381">
        <f>D21+E21-F21+G21+H21</f>
        <v>1022.5</v>
      </c>
      <c r="J21" s="1000" t="s">
        <v>1962</v>
      </c>
      <c r="K21" s="376">
        <v>2</v>
      </c>
      <c r="L21" s="1574">
        <v>772.5</v>
      </c>
      <c r="M21" s="1594">
        <f>+I21-L21</f>
        <v>250</v>
      </c>
      <c r="O21" s="1592"/>
    </row>
    <row r="22" spans="1:15">
      <c r="A22" s="368">
        <v>3</v>
      </c>
      <c r="B22" s="377" t="s">
        <v>1963</v>
      </c>
      <c r="C22" s="370"/>
      <c r="D22" s="1628">
        <v>79230.55</v>
      </c>
      <c r="E22" s="2023"/>
      <c r="F22" s="1630"/>
      <c r="G22" s="1631"/>
      <c r="H22" s="1631"/>
      <c r="I22" s="385">
        <f>D22+E22-F22+G22+H22</f>
        <v>79230.55</v>
      </c>
      <c r="J22" s="1000" t="s">
        <v>1964</v>
      </c>
      <c r="K22" s="376">
        <v>3</v>
      </c>
      <c r="L22" s="1574">
        <v>79230.55</v>
      </c>
      <c r="M22" s="1594">
        <f t="shared" ref="M22:M85" si="0">+I22-L22</f>
        <v>0</v>
      </c>
      <c r="O22" s="1592"/>
    </row>
    <row r="23" spans="1:15">
      <c r="A23" s="368">
        <v>4</v>
      </c>
      <c r="B23" s="377" t="s">
        <v>1965</v>
      </c>
      <c r="C23" s="370"/>
      <c r="D23" s="1628">
        <v>38702.550000000003</v>
      </c>
      <c r="E23" s="2023"/>
      <c r="F23" s="1630">
        <v>4863.1899999999996</v>
      </c>
      <c r="G23" s="1631"/>
      <c r="H23" s="1631"/>
      <c r="I23" s="385">
        <f>D23+E23-F23+G23+H23</f>
        <v>33839.360000000001</v>
      </c>
      <c r="J23" s="1000" t="s">
        <v>1966</v>
      </c>
      <c r="K23" s="376">
        <v>4</v>
      </c>
      <c r="L23" s="1574">
        <v>10868.97</v>
      </c>
      <c r="M23" s="1594">
        <f t="shared" si="0"/>
        <v>22970.39</v>
      </c>
      <c r="O23" s="1592"/>
    </row>
    <row r="24" spans="1:15">
      <c r="A24" s="368">
        <v>5</v>
      </c>
      <c r="B24" s="377" t="s">
        <v>569</v>
      </c>
      <c r="C24" s="370"/>
      <c r="D24" s="1628">
        <f t="shared" ref="D24:I24" si="1">SUM(D21:D23)</f>
        <v>118955.6</v>
      </c>
      <c r="E24" s="1629">
        <f t="shared" si="1"/>
        <v>0</v>
      </c>
      <c r="F24" s="1630">
        <f t="shared" si="1"/>
        <v>4863.1899999999996</v>
      </c>
      <c r="G24" s="1631">
        <f t="shared" si="1"/>
        <v>0</v>
      </c>
      <c r="H24" s="1631">
        <f t="shared" si="1"/>
        <v>0</v>
      </c>
      <c r="I24" s="385">
        <f t="shared" si="1"/>
        <v>114092.41</v>
      </c>
      <c r="J24" s="99"/>
      <c r="K24" s="376">
        <v>5</v>
      </c>
      <c r="L24" s="1574">
        <v>90872.02</v>
      </c>
      <c r="M24" s="1594">
        <f t="shared" si="0"/>
        <v>23220.39</v>
      </c>
      <c r="O24" s="1592"/>
    </row>
    <row r="25" spans="1:15" ht="15.75">
      <c r="A25" s="368">
        <v>6</v>
      </c>
      <c r="B25" s="369" t="s">
        <v>570</v>
      </c>
      <c r="C25" s="370"/>
      <c r="D25" s="386"/>
      <c r="E25" s="387"/>
      <c r="F25" s="388"/>
      <c r="G25" s="389"/>
      <c r="H25" s="389"/>
      <c r="I25" s="390" t="s">
        <v>218</v>
      </c>
      <c r="J25" s="99"/>
      <c r="K25" s="376">
        <v>6</v>
      </c>
      <c r="L25" s="1574" t="s">
        <v>218</v>
      </c>
      <c r="M25" s="1594">
        <f t="shared" si="0"/>
        <v>0</v>
      </c>
      <c r="O25" s="1592"/>
    </row>
    <row r="26" spans="1:15">
      <c r="A26" s="368">
        <v>7</v>
      </c>
      <c r="B26" s="377" t="s">
        <v>571</v>
      </c>
      <c r="C26" s="370"/>
      <c r="D26" s="1628">
        <v>8651410.1699999999</v>
      </c>
      <c r="E26" s="1629">
        <v>494136.64</v>
      </c>
      <c r="F26" s="1630"/>
      <c r="G26" s="1631"/>
      <c r="H26" s="1631"/>
      <c r="I26" s="385">
        <f t="shared" ref="I26:I33" si="2">D26+E26-F26+G26+H26</f>
        <v>9145546.8100000005</v>
      </c>
      <c r="J26" s="1000" t="s">
        <v>572</v>
      </c>
      <c r="K26" s="376">
        <v>7</v>
      </c>
      <c r="L26" s="1574">
        <v>8213617.1699999999</v>
      </c>
      <c r="M26" s="1594">
        <f t="shared" si="0"/>
        <v>931929.6400000006</v>
      </c>
      <c r="O26" s="1592"/>
    </row>
    <row r="27" spans="1:15">
      <c r="A27" s="368">
        <v>8</v>
      </c>
      <c r="B27" s="377" t="s">
        <v>573</v>
      </c>
      <c r="C27" s="370"/>
      <c r="D27" s="1628">
        <v>7529.980000000447</v>
      </c>
      <c r="E27" s="1629"/>
      <c r="F27" s="1630"/>
      <c r="G27" s="1631"/>
      <c r="H27" s="1631"/>
      <c r="I27" s="385">
        <f t="shared" si="2"/>
        <v>7529.980000000447</v>
      </c>
      <c r="J27" s="1000" t="s">
        <v>574</v>
      </c>
      <c r="K27" s="376">
        <v>8</v>
      </c>
      <c r="L27" s="1574">
        <v>7530</v>
      </c>
      <c r="M27" s="1594">
        <f t="shared" si="0"/>
        <v>-1.9999999552965164E-2</v>
      </c>
      <c r="O27" s="1592"/>
    </row>
    <row r="28" spans="1:15">
      <c r="A28" s="368">
        <v>9</v>
      </c>
      <c r="B28" s="377" t="s">
        <v>575</v>
      </c>
      <c r="C28" s="370"/>
      <c r="D28" s="1628">
        <v>14077699.669999996</v>
      </c>
      <c r="E28" s="1629">
        <v>261967.53999999998</v>
      </c>
      <c r="F28" s="1630">
        <v>5481.97</v>
      </c>
      <c r="G28" s="1631"/>
      <c r="H28" s="1631"/>
      <c r="I28" s="385">
        <f>D28+E28-F28+G28+H28</f>
        <v>14334185.239999995</v>
      </c>
      <c r="J28" s="1000" t="s">
        <v>576</v>
      </c>
      <c r="K28" s="376">
        <v>9</v>
      </c>
      <c r="L28" s="1574">
        <v>7205398.79</v>
      </c>
      <c r="M28" s="1594">
        <f t="shared" si="0"/>
        <v>7128786.4499999946</v>
      </c>
      <c r="O28" s="1592"/>
    </row>
    <row r="29" spans="1:15">
      <c r="A29" s="368">
        <v>10</v>
      </c>
      <c r="B29" s="377" t="s">
        <v>577</v>
      </c>
      <c r="C29" s="370"/>
      <c r="D29" s="1628">
        <v>6477432.8109999998</v>
      </c>
      <c r="E29" s="1629">
        <v>94850.89</v>
      </c>
      <c r="F29" s="1630"/>
      <c r="G29" s="1631"/>
      <c r="H29" s="1631"/>
      <c r="I29" s="385">
        <f>D29+E29-F29+G29+H29</f>
        <v>6572283.7009999994</v>
      </c>
      <c r="J29" s="1000" t="s">
        <v>578</v>
      </c>
      <c r="K29" s="376">
        <v>10</v>
      </c>
      <c r="L29" s="1574">
        <v>6437954.0109999999</v>
      </c>
      <c r="M29" s="1594">
        <f t="shared" si="0"/>
        <v>134329.68999999948</v>
      </c>
      <c r="O29" s="1592"/>
    </row>
    <row r="30" spans="1:15">
      <c r="A30" s="368">
        <v>11</v>
      </c>
      <c r="B30" s="377" t="s">
        <v>579</v>
      </c>
      <c r="C30" s="370"/>
      <c r="D30" s="1628">
        <v>7747214.3099999996</v>
      </c>
      <c r="E30" s="1629">
        <v>307725.72000000003</v>
      </c>
      <c r="F30" s="1630">
        <v>4992.8500000000004</v>
      </c>
      <c r="G30" s="1631"/>
      <c r="H30" s="1631"/>
      <c r="I30" s="385">
        <f>D30+E30-F30+G30+H30</f>
        <v>8049947.1799999997</v>
      </c>
      <c r="J30" s="1000" t="s">
        <v>580</v>
      </c>
      <c r="K30" s="376">
        <v>11</v>
      </c>
      <c r="L30" s="1574">
        <v>4198745.59</v>
      </c>
      <c r="M30" s="1594">
        <f t="shared" si="0"/>
        <v>3851201.59</v>
      </c>
      <c r="O30" s="1592"/>
    </row>
    <row r="31" spans="1:15">
      <c r="A31" s="368">
        <v>12</v>
      </c>
      <c r="B31" s="377" t="s">
        <v>581</v>
      </c>
      <c r="C31" s="370"/>
      <c r="D31" s="1628"/>
      <c r="E31" s="1629"/>
      <c r="F31" s="1630"/>
      <c r="G31" s="1631"/>
      <c r="H31" s="1631"/>
      <c r="I31" s="385">
        <f t="shared" si="2"/>
        <v>0</v>
      </c>
      <c r="J31" s="1000" t="s">
        <v>582</v>
      </c>
      <c r="K31" s="376">
        <v>12</v>
      </c>
      <c r="L31" s="1574">
        <v>0</v>
      </c>
      <c r="M31" s="1594">
        <f t="shared" si="0"/>
        <v>0</v>
      </c>
      <c r="O31" s="1592"/>
    </row>
    <row r="32" spans="1:15">
      <c r="A32" s="368">
        <v>13</v>
      </c>
      <c r="B32" s="377" t="s">
        <v>897</v>
      </c>
      <c r="C32" s="370"/>
      <c r="D32" s="1628">
        <v>2886939.76</v>
      </c>
      <c r="E32" s="1629"/>
      <c r="F32" s="1630"/>
      <c r="G32" s="1631"/>
      <c r="H32" s="1631"/>
      <c r="I32" s="385">
        <f>D32+E32-F32+G32+H32</f>
        <v>2886939.76</v>
      </c>
      <c r="J32" s="1000" t="s">
        <v>898</v>
      </c>
      <c r="K32" s="376">
        <v>13</v>
      </c>
      <c r="L32" s="1574">
        <v>2323101.36</v>
      </c>
      <c r="M32" s="1594">
        <f t="shared" si="0"/>
        <v>563838.39999999991</v>
      </c>
      <c r="O32" s="1592"/>
    </row>
    <row r="33" spans="1:15">
      <c r="A33" s="368">
        <v>14</v>
      </c>
      <c r="B33" s="377" t="s">
        <v>899</v>
      </c>
      <c r="C33" s="370"/>
      <c r="D33" s="1628">
        <v>53591.259999999995</v>
      </c>
      <c r="E33" s="1629"/>
      <c r="F33" s="1630"/>
      <c r="G33" s="1631"/>
      <c r="H33" s="1631"/>
      <c r="I33" s="385">
        <f t="shared" si="2"/>
        <v>53591.259999999995</v>
      </c>
      <c r="J33" s="1000" t="s">
        <v>900</v>
      </c>
      <c r="K33" s="376">
        <v>14</v>
      </c>
      <c r="L33" s="1574">
        <v>114070.15</v>
      </c>
      <c r="M33" s="1594">
        <f t="shared" si="0"/>
        <v>-60478.89</v>
      </c>
      <c r="O33" s="1592"/>
    </row>
    <row r="34" spans="1:15">
      <c r="A34" s="368">
        <v>15</v>
      </c>
      <c r="B34" s="377" t="s">
        <v>2465</v>
      </c>
      <c r="C34" s="370"/>
      <c r="D34" s="382">
        <f t="shared" ref="D34:I34" si="3">SUM(D26:D33)</f>
        <v>39901817.960999995</v>
      </c>
      <c r="E34" s="391">
        <f t="shared" si="3"/>
        <v>1158680.79</v>
      </c>
      <c r="F34" s="384">
        <f t="shared" si="3"/>
        <v>10474.82</v>
      </c>
      <c r="G34" s="382">
        <f t="shared" si="3"/>
        <v>0</v>
      </c>
      <c r="H34" s="382">
        <f t="shared" si="3"/>
        <v>0</v>
      </c>
      <c r="I34" s="382">
        <f t="shared" si="3"/>
        <v>41050023.930999987</v>
      </c>
      <c r="J34" s="99"/>
      <c r="K34" s="376">
        <v>15</v>
      </c>
      <c r="L34" s="1574">
        <v>28500417.070999999</v>
      </c>
      <c r="M34" s="1594">
        <f t="shared" si="0"/>
        <v>12549606.859999988</v>
      </c>
      <c r="O34" s="1592"/>
    </row>
    <row r="35" spans="1:15" ht="15.75">
      <c r="A35" s="368">
        <v>16</v>
      </c>
      <c r="B35" s="369" t="s">
        <v>2466</v>
      </c>
      <c r="C35" s="370"/>
      <c r="D35" s="392"/>
      <c r="E35" s="393"/>
      <c r="F35" s="394"/>
      <c r="G35" s="395"/>
      <c r="H35" s="395"/>
      <c r="I35" s="396" t="s">
        <v>218</v>
      </c>
      <c r="J35" s="99"/>
      <c r="K35" s="376">
        <v>16</v>
      </c>
      <c r="L35" s="1574" t="s">
        <v>218</v>
      </c>
      <c r="M35" s="1594">
        <f t="shared" si="0"/>
        <v>0</v>
      </c>
      <c r="O35" s="1592"/>
    </row>
    <row r="36" spans="1:15">
      <c r="A36" s="368">
        <v>17</v>
      </c>
      <c r="B36" s="377" t="s">
        <v>2467</v>
      </c>
      <c r="C36" s="370"/>
      <c r="D36" s="1628">
        <v>51048.850000000006</v>
      </c>
      <c r="E36" s="1629"/>
      <c r="F36" s="1630"/>
      <c r="G36" s="1631"/>
      <c r="H36" s="1631"/>
      <c r="I36" s="385">
        <f>D36+E36-F36+G36+H36</f>
        <v>51048.850000000006</v>
      </c>
      <c r="J36" s="1000" t="s">
        <v>2468</v>
      </c>
      <c r="K36" s="376">
        <v>17</v>
      </c>
      <c r="L36" s="1574">
        <v>38230.85</v>
      </c>
      <c r="M36" s="1594">
        <f t="shared" si="0"/>
        <v>12818.000000000007</v>
      </c>
      <c r="O36" s="1592"/>
    </row>
    <row r="37" spans="1:15">
      <c r="A37" s="368">
        <v>18</v>
      </c>
      <c r="B37" s="377" t="s">
        <v>3286</v>
      </c>
      <c r="C37" s="370"/>
      <c r="D37" s="1628">
        <v>18216182.600000001</v>
      </c>
      <c r="E37" s="1629">
        <v>417407.76</v>
      </c>
      <c r="F37" s="1630">
        <v>15022.47</v>
      </c>
      <c r="G37" s="1631"/>
      <c r="H37" s="1631"/>
      <c r="I37" s="385">
        <f>D37+E37-F37+G37+H37</f>
        <v>18618567.890000004</v>
      </c>
      <c r="J37" s="1000" t="s">
        <v>3287</v>
      </c>
      <c r="K37" s="376">
        <v>18</v>
      </c>
      <c r="L37" s="1574">
        <v>8162742.6499999985</v>
      </c>
      <c r="M37" s="1594">
        <f t="shared" si="0"/>
        <v>10455825.240000006</v>
      </c>
      <c r="O37" s="1592"/>
    </row>
    <row r="38" spans="1:15">
      <c r="A38" s="368">
        <v>19</v>
      </c>
      <c r="B38" s="377" t="s">
        <v>3288</v>
      </c>
      <c r="C38" s="370"/>
      <c r="D38" s="1628"/>
      <c r="E38" s="1629"/>
      <c r="F38" s="1630"/>
      <c r="G38" s="1631"/>
      <c r="H38" s="1631"/>
      <c r="I38" s="385">
        <f t="shared" ref="I38:I43" si="4">D38+E38-F38+G38+H38</f>
        <v>0</v>
      </c>
      <c r="J38" s="1000" t="s">
        <v>3289</v>
      </c>
      <c r="K38" s="376">
        <v>19</v>
      </c>
      <c r="L38" s="1574">
        <v>0</v>
      </c>
      <c r="M38" s="1594">
        <f t="shared" si="0"/>
        <v>0</v>
      </c>
      <c r="O38" s="1592"/>
    </row>
    <row r="39" spans="1:15">
      <c r="A39" s="368">
        <v>20</v>
      </c>
      <c r="B39" s="377" t="s">
        <v>3290</v>
      </c>
      <c r="C39" s="370"/>
      <c r="D39" s="1628"/>
      <c r="E39" s="1629"/>
      <c r="F39" s="1630"/>
      <c r="G39" s="1631"/>
      <c r="H39" s="1631"/>
      <c r="I39" s="385">
        <f t="shared" si="4"/>
        <v>0</v>
      </c>
      <c r="J39" s="1000" t="s">
        <v>3291</v>
      </c>
      <c r="K39" s="376">
        <v>20</v>
      </c>
      <c r="L39" s="1574">
        <v>0</v>
      </c>
      <c r="M39" s="1594">
        <f t="shared" si="0"/>
        <v>0</v>
      </c>
      <c r="O39" s="1592"/>
    </row>
    <row r="40" spans="1:15">
      <c r="A40" s="368">
        <v>21</v>
      </c>
      <c r="B40" s="377" t="s">
        <v>3292</v>
      </c>
      <c r="C40" s="370"/>
      <c r="D40" s="1628"/>
      <c r="E40" s="1629"/>
      <c r="F40" s="1630"/>
      <c r="G40" s="1631"/>
      <c r="H40" s="1631"/>
      <c r="I40" s="385">
        <f t="shared" si="4"/>
        <v>0</v>
      </c>
      <c r="J40" s="1000" t="s">
        <v>3293</v>
      </c>
      <c r="K40" s="376">
        <v>21</v>
      </c>
      <c r="L40" s="1574">
        <v>0</v>
      </c>
      <c r="M40" s="1594">
        <f t="shared" si="0"/>
        <v>0</v>
      </c>
      <c r="O40" s="1592"/>
    </row>
    <row r="41" spans="1:15">
      <c r="A41" s="368">
        <v>22</v>
      </c>
      <c r="B41" s="377" t="s">
        <v>3294</v>
      </c>
      <c r="C41" s="370"/>
      <c r="D41" s="1628">
        <v>31125181.159999996</v>
      </c>
      <c r="E41" s="1629">
        <v>9283942.9799999986</v>
      </c>
      <c r="F41" s="1630">
        <v>827937.15</v>
      </c>
      <c r="G41" s="1631"/>
      <c r="H41" s="1631"/>
      <c r="I41" s="385">
        <f>D41+E41-F41+G41+H41</f>
        <v>39581186.989999995</v>
      </c>
      <c r="J41" s="1000" t="s">
        <v>3295</v>
      </c>
      <c r="K41" s="376">
        <v>22</v>
      </c>
      <c r="L41" s="1574">
        <v>21746564.490000002</v>
      </c>
      <c r="M41" s="1594">
        <f t="shared" si="0"/>
        <v>17834622.499999993</v>
      </c>
      <c r="O41" s="1592"/>
    </row>
    <row r="42" spans="1:15">
      <c r="A42" s="368">
        <v>23</v>
      </c>
      <c r="B42" s="377" t="s">
        <v>3296</v>
      </c>
      <c r="C42" s="370"/>
      <c r="D42" s="1628">
        <v>37761.69</v>
      </c>
      <c r="E42" s="1629"/>
      <c r="F42" s="1630"/>
      <c r="G42" s="1631"/>
      <c r="H42" s="1631"/>
      <c r="I42" s="385">
        <f t="shared" si="4"/>
        <v>37761.69</v>
      </c>
      <c r="J42" s="1000" t="s">
        <v>3297</v>
      </c>
      <c r="K42" s="376">
        <v>23</v>
      </c>
      <c r="L42" s="1574">
        <v>0</v>
      </c>
      <c r="M42" s="1594">
        <f t="shared" si="0"/>
        <v>37761.69</v>
      </c>
      <c r="O42" s="1592"/>
    </row>
    <row r="43" spans="1:15">
      <c r="A43" s="368">
        <v>24</v>
      </c>
      <c r="B43" s="377" t="s">
        <v>3298</v>
      </c>
      <c r="C43" s="370"/>
      <c r="D43" s="1628"/>
      <c r="E43" s="1629"/>
      <c r="F43" s="1630"/>
      <c r="G43" s="1631"/>
      <c r="H43" s="1631"/>
      <c r="I43" s="385">
        <f t="shared" si="4"/>
        <v>0</v>
      </c>
      <c r="J43" s="1000" t="s">
        <v>3299</v>
      </c>
      <c r="K43" s="376">
        <v>24</v>
      </c>
      <c r="L43" s="1574">
        <v>0</v>
      </c>
      <c r="M43" s="1594">
        <f t="shared" si="0"/>
        <v>0</v>
      </c>
      <c r="O43" s="1592"/>
    </row>
    <row r="44" spans="1:15">
      <c r="A44" s="368">
        <v>25</v>
      </c>
      <c r="B44" s="377" t="s">
        <v>3300</v>
      </c>
      <c r="C44" s="370"/>
      <c r="D44" s="1628">
        <v>1784209.82</v>
      </c>
      <c r="E44" s="1629"/>
      <c r="F44" s="1630"/>
      <c r="G44" s="1631"/>
      <c r="H44" s="1631"/>
      <c r="I44" s="385">
        <f>D44+E44-F44+G44+H44</f>
        <v>1784209.82</v>
      </c>
      <c r="J44" s="1000" t="s">
        <v>3301</v>
      </c>
      <c r="K44" s="376">
        <v>25</v>
      </c>
      <c r="L44" s="1574">
        <v>1501498.83</v>
      </c>
      <c r="M44" s="1594">
        <f t="shared" si="0"/>
        <v>282710.99</v>
      </c>
      <c r="O44" s="1592"/>
    </row>
    <row r="45" spans="1:15">
      <c r="A45" s="368">
        <v>26</v>
      </c>
      <c r="B45" s="377" t="s">
        <v>3302</v>
      </c>
      <c r="C45" s="370"/>
      <c r="D45" s="382">
        <f t="shared" ref="D45:I45" si="5">SUM(D36:D44)</f>
        <v>51214384.119999997</v>
      </c>
      <c r="E45" s="391">
        <f t="shared" si="5"/>
        <v>9701350.7399999984</v>
      </c>
      <c r="F45" s="384">
        <f t="shared" si="5"/>
        <v>842959.62</v>
      </c>
      <c r="G45" s="382">
        <f t="shared" si="5"/>
        <v>0</v>
      </c>
      <c r="H45" s="382">
        <f t="shared" si="5"/>
        <v>0</v>
      </c>
      <c r="I45" s="382">
        <f t="shared" si="5"/>
        <v>60072775.240000002</v>
      </c>
      <c r="J45" s="99"/>
      <c r="K45" s="376">
        <v>26</v>
      </c>
      <c r="L45" s="1574">
        <v>31449036.82</v>
      </c>
      <c r="M45" s="1594">
        <f t="shared" si="0"/>
        <v>28623738.420000002</v>
      </c>
      <c r="O45" s="1592"/>
    </row>
    <row r="46" spans="1:15" ht="15.75">
      <c r="A46" s="368">
        <v>27</v>
      </c>
      <c r="B46" s="369" t="s">
        <v>3303</v>
      </c>
      <c r="C46" s="370"/>
      <c r="D46" s="392"/>
      <c r="E46" s="393"/>
      <c r="F46" s="394"/>
      <c r="G46" s="395"/>
      <c r="H46" s="395"/>
      <c r="I46" s="396" t="s">
        <v>218</v>
      </c>
      <c r="J46" s="99"/>
      <c r="K46" s="376">
        <v>27</v>
      </c>
      <c r="L46" s="1574" t="s">
        <v>218</v>
      </c>
      <c r="M46" s="1594">
        <f t="shared" si="0"/>
        <v>0</v>
      </c>
      <c r="O46" s="1592"/>
    </row>
    <row r="47" spans="1:15">
      <c r="A47" s="368">
        <v>28</v>
      </c>
      <c r="B47" s="377" t="s">
        <v>3994</v>
      </c>
      <c r="C47" s="370"/>
      <c r="D47" s="1628">
        <v>65151.520000000004</v>
      </c>
      <c r="E47" s="1629"/>
      <c r="F47" s="1630"/>
      <c r="G47" s="1631"/>
      <c r="H47" s="1631"/>
      <c r="I47" s="385">
        <f>D47+E47-F47+G47+H47</f>
        <v>65151.520000000004</v>
      </c>
      <c r="J47" s="1000" t="s">
        <v>3995</v>
      </c>
      <c r="K47" s="376">
        <v>28</v>
      </c>
      <c r="L47" s="1574">
        <v>65151.520000000004</v>
      </c>
      <c r="M47" s="1594">
        <f t="shared" si="0"/>
        <v>0</v>
      </c>
      <c r="O47" s="1592"/>
    </row>
    <row r="48" spans="1:15">
      <c r="A48" s="368">
        <v>29</v>
      </c>
      <c r="B48" s="377" t="s">
        <v>3996</v>
      </c>
      <c r="C48" s="370"/>
      <c r="D48" s="1628">
        <v>22673776.800000001</v>
      </c>
      <c r="E48" s="2023">
        <v>78010.36</v>
      </c>
      <c r="F48" s="2024">
        <v>179788.14</v>
      </c>
      <c r="G48" s="1631"/>
      <c r="H48" s="1631"/>
      <c r="I48" s="385">
        <f>D48+E48-F48+G48+H48</f>
        <v>22571999.02</v>
      </c>
      <c r="J48" s="1000" t="s">
        <v>3997</v>
      </c>
      <c r="K48" s="376">
        <v>29</v>
      </c>
      <c r="L48" s="1574">
        <v>15849516.259999998</v>
      </c>
      <c r="M48" s="1594">
        <f t="shared" si="0"/>
        <v>6722482.7600000016</v>
      </c>
      <c r="O48" s="1592"/>
    </row>
    <row r="49" spans="1:15">
      <c r="A49" s="368">
        <v>30</v>
      </c>
      <c r="B49" s="377" t="s">
        <v>3998</v>
      </c>
      <c r="C49" s="370"/>
      <c r="D49" s="1628">
        <v>46288816.320000015</v>
      </c>
      <c r="E49" s="2023">
        <v>45843017.239999995</v>
      </c>
      <c r="F49" s="2024">
        <v>19246.54</v>
      </c>
      <c r="G49" s="1631"/>
      <c r="H49" s="1631"/>
      <c r="I49" s="385">
        <f>D49+E49-F49+G49+H49</f>
        <v>92112587.019999996</v>
      </c>
      <c r="J49" s="1000" t="s">
        <v>3999</v>
      </c>
      <c r="K49" s="376">
        <v>30</v>
      </c>
      <c r="L49" s="1574">
        <v>27754557.790000003</v>
      </c>
      <c r="M49" s="1594">
        <f t="shared" si="0"/>
        <v>64358029.229999989</v>
      </c>
      <c r="O49" s="1592"/>
    </row>
    <row r="50" spans="1:15">
      <c r="A50" s="368">
        <v>31</v>
      </c>
      <c r="B50" s="377" t="s">
        <v>4000</v>
      </c>
      <c r="C50" s="370"/>
      <c r="D50" s="382">
        <f t="shared" ref="D50:I50" si="6">SUM(D47:D49)</f>
        <v>69027744.640000015</v>
      </c>
      <c r="E50" s="383">
        <f t="shared" si="6"/>
        <v>45921027.599999994</v>
      </c>
      <c r="F50" s="384">
        <f t="shared" si="6"/>
        <v>199034.68000000002</v>
      </c>
      <c r="G50" s="385">
        <f t="shared" si="6"/>
        <v>0</v>
      </c>
      <c r="H50" s="385">
        <f t="shared" si="6"/>
        <v>0</v>
      </c>
      <c r="I50" s="385">
        <f t="shared" si="6"/>
        <v>114749737.56</v>
      </c>
      <c r="J50" s="99"/>
      <c r="K50" s="376">
        <v>31</v>
      </c>
      <c r="L50" s="1574">
        <v>43669225.57</v>
      </c>
      <c r="M50" s="1594">
        <f t="shared" si="0"/>
        <v>71080511.99000001</v>
      </c>
      <c r="O50" s="1592"/>
    </row>
    <row r="51" spans="1:15" ht="15.75">
      <c r="A51" s="368">
        <v>32</v>
      </c>
      <c r="B51" s="369" t="s">
        <v>4001</v>
      </c>
      <c r="C51" s="370"/>
      <c r="D51" s="392"/>
      <c r="E51" s="393"/>
      <c r="F51" s="394"/>
      <c r="G51" s="395"/>
      <c r="H51" s="395"/>
      <c r="I51" s="396" t="s">
        <v>218</v>
      </c>
      <c r="J51" s="99"/>
      <c r="K51" s="376">
        <v>32</v>
      </c>
      <c r="L51" s="1574" t="s">
        <v>218</v>
      </c>
      <c r="M51" s="1594">
        <f t="shared" si="0"/>
        <v>0</v>
      </c>
      <c r="O51" s="1592"/>
    </row>
    <row r="52" spans="1:15">
      <c r="A52" s="368">
        <v>33</v>
      </c>
      <c r="B52" s="377" t="s">
        <v>4002</v>
      </c>
      <c r="C52" s="370"/>
      <c r="D52" s="1628">
        <v>347214.54999999981</v>
      </c>
      <c r="E52" s="1629"/>
      <c r="F52" s="1630"/>
      <c r="G52" s="1631"/>
      <c r="H52" s="1631"/>
      <c r="I52" s="385">
        <f t="shared" ref="I52:I60" si="7">D52+E52-F52+G52+H52</f>
        <v>347214.54999999981</v>
      </c>
      <c r="J52" s="1000" t="s">
        <v>4003</v>
      </c>
      <c r="K52" s="376">
        <v>33</v>
      </c>
      <c r="L52" s="1574">
        <v>339676.76</v>
      </c>
      <c r="M52" s="1594">
        <f t="shared" si="0"/>
        <v>7537.7899999998044</v>
      </c>
      <c r="O52" s="1592"/>
    </row>
    <row r="53" spans="1:15">
      <c r="A53" s="368">
        <v>34</v>
      </c>
      <c r="B53" s="377" t="s">
        <v>4004</v>
      </c>
      <c r="C53" s="370"/>
      <c r="D53" s="1628"/>
      <c r="E53" s="2023"/>
      <c r="F53" s="2024"/>
      <c r="G53" s="1631"/>
      <c r="H53" s="1631"/>
      <c r="I53" s="385">
        <f t="shared" si="7"/>
        <v>0</v>
      </c>
      <c r="J53" s="1000" t="s">
        <v>4005</v>
      </c>
      <c r="K53" s="376">
        <v>34</v>
      </c>
      <c r="L53" s="1574">
        <v>0</v>
      </c>
      <c r="M53" s="1594">
        <f t="shared" si="0"/>
        <v>0</v>
      </c>
      <c r="O53" s="1592"/>
    </row>
    <row r="54" spans="1:15">
      <c r="A54" s="368">
        <v>35</v>
      </c>
      <c r="B54" s="377" t="s">
        <v>4006</v>
      </c>
      <c r="C54" s="370"/>
      <c r="D54" s="1628">
        <v>17834534.119999997</v>
      </c>
      <c r="E54" s="2023">
        <v>276060.5299999998</v>
      </c>
      <c r="F54" s="2024">
        <v>11490</v>
      </c>
      <c r="G54" s="1631"/>
      <c r="H54" s="1631"/>
      <c r="I54" s="385">
        <f t="shared" si="7"/>
        <v>18099104.649999999</v>
      </c>
      <c r="J54" s="1000" t="s">
        <v>4007</v>
      </c>
      <c r="K54" s="376">
        <v>35</v>
      </c>
      <c r="L54" s="1574">
        <v>11056946.629999999</v>
      </c>
      <c r="M54" s="1594">
        <f t="shared" si="0"/>
        <v>7042158.0199999996</v>
      </c>
      <c r="O54" s="1592"/>
    </row>
    <row r="55" spans="1:15">
      <c r="A55" s="368">
        <v>36</v>
      </c>
      <c r="B55" s="377" t="s">
        <v>4008</v>
      </c>
      <c r="C55" s="370"/>
      <c r="D55" s="1628">
        <f>285744435.942+0.06</f>
        <v>285744436.00199997</v>
      </c>
      <c r="E55" s="2023">
        <f>18965372.9+2.78700017929077</f>
        <v>18965375.687000178</v>
      </c>
      <c r="F55" s="2024">
        <v>168836.24</v>
      </c>
      <c r="G55" s="1631"/>
      <c r="H55" s="1631"/>
      <c r="I55" s="385">
        <f t="shared" si="7"/>
        <v>304540975.44900012</v>
      </c>
      <c r="J55" s="1000" t="s">
        <v>4009</v>
      </c>
      <c r="K55" s="376">
        <v>36</v>
      </c>
      <c r="L55" s="1574">
        <v>118367220.45200001</v>
      </c>
      <c r="M55" s="1594">
        <f t="shared" si="0"/>
        <v>186173754.9970001</v>
      </c>
      <c r="O55" s="1592"/>
    </row>
    <row r="56" spans="1:15">
      <c r="A56" s="368">
        <v>37</v>
      </c>
      <c r="B56" s="377" t="s">
        <v>4010</v>
      </c>
      <c r="C56" s="370"/>
      <c r="D56" s="1628"/>
      <c r="E56" s="2023"/>
      <c r="F56" s="2024"/>
      <c r="G56" s="1631"/>
      <c r="H56" s="1631"/>
      <c r="I56" s="385">
        <f t="shared" si="7"/>
        <v>0</v>
      </c>
      <c r="J56" s="1000" t="s">
        <v>4011</v>
      </c>
      <c r="K56" s="376">
        <v>37</v>
      </c>
      <c r="L56" s="1574">
        <v>0</v>
      </c>
      <c r="M56" s="1594">
        <f t="shared" si="0"/>
        <v>0</v>
      </c>
      <c r="O56" s="1592"/>
    </row>
    <row r="57" spans="1:15">
      <c r="A57" s="368">
        <v>39</v>
      </c>
      <c r="B57" s="377" t="s">
        <v>4012</v>
      </c>
      <c r="C57" s="370"/>
      <c r="D57" s="1628">
        <v>94258183.109999999</v>
      </c>
      <c r="E57" s="2023">
        <v>6233349.46</v>
      </c>
      <c r="F57" s="2024">
        <v>78542.14</v>
      </c>
      <c r="G57" s="1631"/>
      <c r="H57" s="1631"/>
      <c r="I57" s="385">
        <f t="shared" si="7"/>
        <v>100412990.42999999</v>
      </c>
      <c r="J57" s="1000" t="s">
        <v>4013</v>
      </c>
      <c r="K57" s="376">
        <v>39</v>
      </c>
      <c r="L57" s="1574">
        <v>41342563.600000001</v>
      </c>
      <c r="M57" s="1594">
        <f t="shared" si="0"/>
        <v>59070426.829999991</v>
      </c>
      <c r="O57" s="1592"/>
    </row>
    <row r="58" spans="1:15">
      <c r="A58" s="368">
        <v>40</v>
      </c>
      <c r="B58" s="377" t="s">
        <v>4014</v>
      </c>
      <c r="C58" s="370"/>
      <c r="D58" s="1628">
        <v>43580315.599999994</v>
      </c>
      <c r="E58" s="2023">
        <v>3457468.0399999996</v>
      </c>
      <c r="F58" s="2024">
        <v>847982.05</v>
      </c>
      <c r="G58" s="1631"/>
      <c r="H58" s="1631"/>
      <c r="I58" s="385">
        <f t="shared" si="7"/>
        <v>46189801.589999996</v>
      </c>
      <c r="J58" s="1000" t="s">
        <v>4015</v>
      </c>
      <c r="K58" s="376">
        <v>40</v>
      </c>
      <c r="L58" s="1574">
        <v>20676897.940000005</v>
      </c>
      <c r="M58" s="1594">
        <f t="shared" si="0"/>
        <v>25512903.649999991</v>
      </c>
      <c r="O58" s="1592"/>
    </row>
    <row r="59" spans="1:15">
      <c r="A59" s="368">
        <v>41</v>
      </c>
      <c r="B59" s="377" t="s">
        <v>4016</v>
      </c>
      <c r="C59" s="370"/>
      <c r="D59" s="1628">
        <v>29716082.019999996</v>
      </c>
      <c r="E59" s="2023">
        <v>1779908.9700000002</v>
      </c>
      <c r="F59" s="2024">
        <v>198307.97999999998</v>
      </c>
      <c r="G59" s="1631"/>
      <c r="H59" s="1631"/>
      <c r="I59" s="385">
        <f t="shared" si="7"/>
        <v>31297683.009999994</v>
      </c>
      <c r="J59" s="1000" t="s">
        <v>4017</v>
      </c>
      <c r="K59" s="376">
        <v>41</v>
      </c>
      <c r="L59" s="1574">
        <v>12467309.640000002</v>
      </c>
      <c r="M59" s="1594">
        <f t="shared" si="0"/>
        <v>18830373.36999999</v>
      </c>
      <c r="O59" s="1592"/>
    </row>
    <row r="60" spans="1:15">
      <c r="A60" s="368">
        <v>42</v>
      </c>
      <c r="B60" s="377" t="s">
        <v>3870</v>
      </c>
      <c r="C60" s="370"/>
      <c r="D60" s="1628"/>
      <c r="E60" s="2023"/>
      <c r="F60" s="2024"/>
      <c r="G60" s="1631"/>
      <c r="H60" s="1631"/>
      <c r="I60" s="385">
        <f t="shared" si="7"/>
        <v>0</v>
      </c>
      <c r="J60" s="1000" t="s">
        <v>3871</v>
      </c>
      <c r="K60" s="376">
        <v>42</v>
      </c>
      <c r="L60" s="1574">
        <v>0</v>
      </c>
      <c r="M60" s="1594">
        <f t="shared" si="0"/>
        <v>0</v>
      </c>
      <c r="O60" s="1592"/>
    </row>
    <row r="61" spans="1:15" ht="15.75" thickBot="1">
      <c r="A61" s="397">
        <v>43</v>
      </c>
      <c r="B61" s="398" t="s">
        <v>3872</v>
      </c>
      <c r="C61" s="399"/>
      <c r="D61" s="400">
        <f t="shared" ref="D61:I61" si="8">SUM(D52:D60)</f>
        <v>471480765.40199995</v>
      </c>
      <c r="E61" s="401">
        <f t="shared" si="8"/>
        <v>30712162.687000178</v>
      </c>
      <c r="F61" s="402">
        <f t="shared" si="8"/>
        <v>1305158.4100000001</v>
      </c>
      <c r="G61" s="400">
        <f t="shared" si="8"/>
        <v>0</v>
      </c>
      <c r="H61" s="400">
        <f t="shared" si="8"/>
        <v>0</v>
      </c>
      <c r="I61" s="400">
        <f t="shared" si="8"/>
        <v>500887769.67900008</v>
      </c>
      <c r="J61" s="114"/>
      <c r="K61" s="403">
        <v>43</v>
      </c>
      <c r="L61" s="1574">
        <v>204250615.02200001</v>
      </c>
      <c r="M61" s="1594">
        <f t="shared" si="0"/>
        <v>296637154.65700006</v>
      </c>
      <c r="O61" s="1592"/>
    </row>
    <row r="62" spans="1:15">
      <c r="A62" s="108" t="s">
        <v>2024</v>
      </c>
      <c r="B62" s="86"/>
      <c r="C62" s="86"/>
      <c r="D62" s="404"/>
      <c r="E62" s="404"/>
      <c r="F62" s="404"/>
      <c r="G62" s="404"/>
      <c r="H62" s="404"/>
      <c r="I62" s="405"/>
      <c r="J62" s="405" t="s">
        <v>2024</v>
      </c>
      <c r="K62" s="94"/>
      <c r="L62" s="1574"/>
      <c r="M62" s="1594">
        <f t="shared" si="0"/>
        <v>0</v>
      </c>
      <c r="O62" s="1592"/>
    </row>
    <row r="63" spans="1:15">
      <c r="A63" s="5" t="s">
        <v>3873</v>
      </c>
      <c r="B63" s="5"/>
      <c r="C63" s="5"/>
      <c r="D63" s="406"/>
      <c r="E63" s="406"/>
      <c r="F63" s="406" t="s">
        <v>3874</v>
      </c>
      <c r="G63" s="406"/>
      <c r="H63" s="406"/>
      <c r="I63" s="406"/>
      <c r="J63" s="5"/>
      <c r="K63" s="5"/>
      <c r="L63" s="1574"/>
      <c r="M63" s="1594">
        <f t="shared" si="0"/>
        <v>0</v>
      </c>
      <c r="O63" s="1592"/>
    </row>
    <row r="64" spans="1:15" ht="15.75" thickBot="1">
      <c r="A64" s="86" t="str">
        <f>'Data sheet'!A59</f>
        <v>Annual Report of Veolia Water New York, Inc.                                                             Year Ended  December 31, 2023</v>
      </c>
      <c r="B64" s="177"/>
      <c r="C64" s="86"/>
      <c r="D64" s="86"/>
      <c r="E64" s="86"/>
      <c r="F64" s="86" t="str">
        <f>'Data sheet'!A59</f>
        <v>Annual Report of Veolia Water New York, Inc.                                                             Year Ended  December 31, 2023</v>
      </c>
      <c r="G64" s="86"/>
      <c r="H64" s="86"/>
      <c r="I64" s="86"/>
      <c r="J64" s="86"/>
      <c r="K64" s="86"/>
      <c r="L64" s="1574"/>
      <c r="M64" s="1594">
        <f t="shared" si="0"/>
        <v>0</v>
      </c>
      <c r="O64" s="1592"/>
    </row>
    <row r="65" spans="1:15">
      <c r="A65" s="129"/>
      <c r="B65" s="130"/>
      <c r="C65" s="130"/>
      <c r="D65" s="130"/>
      <c r="E65" s="131"/>
      <c r="F65" s="129"/>
      <c r="G65" s="130"/>
      <c r="H65" s="130"/>
      <c r="I65" s="130"/>
      <c r="J65" s="130"/>
      <c r="K65" s="131"/>
      <c r="L65" s="1574"/>
      <c r="M65" s="1594">
        <f t="shared" si="0"/>
        <v>0</v>
      </c>
      <c r="O65" s="1592"/>
    </row>
    <row r="66" spans="1:15" ht="15.75">
      <c r="A66" s="118" t="s">
        <v>1942</v>
      </c>
      <c r="B66" s="5"/>
      <c r="C66" s="5"/>
      <c r="D66" s="5"/>
      <c r="E66" s="132"/>
      <c r="F66" s="118" t="s">
        <v>1942</v>
      </c>
      <c r="G66" s="5"/>
      <c r="H66" s="5"/>
      <c r="I66" s="5"/>
      <c r="J66" s="5"/>
      <c r="K66" s="132"/>
      <c r="L66" s="1574"/>
      <c r="M66" s="1594">
        <f t="shared" si="0"/>
        <v>0</v>
      </c>
      <c r="O66" s="1592"/>
    </row>
    <row r="67" spans="1:15">
      <c r="A67" s="97"/>
      <c r="B67" s="98"/>
      <c r="C67" s="98"/>
      <c r="D67" s="128"/>
      <c r="E67" s="225"/>
      <c r="F67" s="97"/>
      <c r="G67" s="98"/>
      <c r="H67" s="128"/>
      <c r="I67" s="224"/>
      <c r="J67" s="98"/>
      <c r="K67" s="101"/>
      <c r="L67" s="1574"/>
      <c r="M67" s="1594">
        <f t="shared" si="0"/>
        <v>0</v>
      </c>
      <c r="O67" s="1592"/>
    </row>
    <row r="68" spans="1:15">
      <c r="A68" s="237"/>
      <c r="B68" s="407"/>
      <c r="C68" s="91"/>
      <c r="D68" s="994" t="s">
        <v>1625</v>
      </c>
      <c r="E68" s="138"/>
      <c r="F68" s="85"/>
      <c r="G68" s="142"/>
      <c r="H68" s="142"/>
      <c r="I68" s="109" t="s">
        <v>1625</v>
      </c>
      <c r="J68" s="86"/>
      <c r="K68" s="363"/>
      <c r="L68" s="1574" t="s">
        <v>1625</v>
      </c>
      <c r="M68" s="1594">
        <f t="shared" si="0"/>
        <v>0</v>
      </c>
      <c r="O68" s="1592"/>
    </row>
    <row r="69" spans="1:15">
      <c r="A69" s="237"/>
      <c r="B69" s="174" t="s">
        <v>4315</v>
      </c>
      <c r="C69" s="117"/>
      <c r="D69" s="94" t="s">
        <v>1956</v>
      </c>
      <c r="E69" s="363" t="s">
        <v>1943</v>
      </c>
      <c r="F69" s="110" t="s">
        <v>1958</v>
      </c>
      <c r="G69" s="620" t="s">
        <v>1123</v>
      </c>
      <c r="H69" s="620" t="s">
        <v>1959</v>
      </c>
      <c r="I69" s="109" t="s">
        <v>1627</v>
      </c>
      <c r="J69" s="86"/>
      <c r="K69" s="363" t="s">
        <v>1727</v>
      </c>
      <c r="L69" s="1574" t="s">
        <v>1627</v>
      </c>
      <c r="M69" s="1594">
        <f t="shared" si="0"/>
        <v>0</v>
      </c>
      <c r="O69" s="1592"/>
    </row>
    <row r="70" spans="1:15">
      <c r="A70" s="237"/>
      <c r="B70" s="249" t="s">
        <v>3279</v>
      </c>
      <c r="C70" s="366"/>
      <c r="D70" s="996" t="s">
        <v>3280</v>
      </c>
      <c r="E70" s="367" t="s">
        <v>3281</v>
      </c>
      <c r="F70" s="364" t="s">
        <v>3282</v>
      </c>
      <c r="G70" s="621" t="s">
        <v>721</v>
      </c>
      <c r="H70" s="621" t="s">
        <v>722</v>
      </c>
      <c r="I70" s="997" t="s">
        <v>723</v>
      </c>
      <c r="J70" s="98"/>
      <c r="K70" s="367" t="s">
        <v>1739</v>
      </c>
      <c r="L70" s="1574" t="s">
        <v>723</v>
      </c>
      <c r="M70" s="1594">
        <f t="shared" si="0"/>
        <v>0</v>
      </c>
      <c r="O70" s="1592"/>
    </row>
    <row r="71" spans="1:15" ht="15.75">
      <c r="A71" s="368">
        <v>44</v>
      </c>
      <c r="B71" s="369" t="s">
        <v>804</v>
      </c>
      <c r="C71" s="99"/>
      <c r="D71" s="392"/>
      <c r="E71" s="393"/>
      <c r="F71" s="394"/>
      <c r="G71" s="395"/>
      <c r="H71" s="395"/>
      <c r="I71" s="396"/>
      <c r="J71" s="408"/>
      <c r="K71" s="376">
        <v>44</v>
      </c>
      <c r="L71" s="1574"/>
      <c r="M71" s="1594">
        <f t="shared" si="0"/>
        <v>0</v>
      </c>
      <c r="O71" s="1592"/>
    </row>
    <row r="72" spans="1:15">
      <c r="A72" s="368">
        <v>45</v>
      </c>
      <c r="B72" s="377" t="s">
        <v>805</v>
      </c>
      <c r="C72" s="99"/>
      <c r="D72" s="1625">
        <v>109555.80999999998</v>
      </c>
      <c r="E72" s="2025"/>
      <c r="F72" s="1626"/>
      <c r="G72" s="2026"/>
      <c r="H72" s="1634"/>
      <c r="I72" s="378">
        <f t="shared" ref="I72:I82" si="9">D72+E72-F72+G72+H72</f>
        <v>109555.80999999998</v>
      </c>
      <c r="J72" s="1009" t="s">
        <v>806</v>
      </c>
      <c r="K72" s="376">
        <v>45</v>
      </c>
      <c r="L72" s="1574">
        <v>229942.8</v>
      </c>
      <c r="M72" s="1594">
        <f t="shared" si="0"/>
        <v>-120386.99</v>
      </c>
      <c r="O72" s="1592"/>
    </row>
    <row r="73" spans="1:15">
      <c r="A73" s="368">
        <v>46</v>
      </c>
      <c r="B73" s="377" t="s">
        <v>807</v>
      </c>
      <c r="C73" s="99"/>
      <c r="D73" s="1628">
        <v>13357382.880000006</v>
      </c>
      <c r="E73" s="1578">
        <v>408988.62</v>
      </c>
      <c r="F73" s="1630">
        <v>121580.7</v>
      </c>
      <c r="G73" s="1632"/>
      <c r="H73" s="1633"/>
      <c r="I73" s="382">
        <f>D73+E73-F73+G73+H73</f>
        <v>13644790.800000006</v>
      </c>
      <c r="J73" s="1009" t="s">
        <v>808</v>
      </c>
      <c r="K73" s="376">
        <v>46</v>
      </c>
      <c r="L73" s="1574">
        <v>4113084.5600000005</v>
      </c>
      <c r="M73" s="1594">
        <f t="shared" si="0"/>
        <v>9531706.2400000058</v>
      </c>
      <c r="O73" s="1592"/>
    </row>
    <row r="74" spans="1:15">
      <c r="A74" s="368">
        <v>47</v>
      </c>
      <c r="B74" s="411" t="s">
        <v>2632</v>
      </c>
      <c r="C74" s="99"/>
      <c r="D74" s="1628">
        <v>4702001.1300000008</v>
      </c>
      <c r="E74" s="1578">
        <v>97344.53</v>
      </c>
      <c r="F74" s="1630">
        <v>156809.02000000002</v>
      </c>
      <c r="G74" s="1632"/>
      <c r="H74" s="1633"/>
      <c r="I74" s="382">
        <f>D74+E74-F74+G74+H74</f>
        <v>4642536.6400000006</v>
      </c>
      <c r="J74" s="1009" t="s">
        <v>2633</v>
      </c>
      <c r="K74" s="376">
        <v>47</v>
      </c>
      <c r="L74" s="1574">
        <v>11462112.5</v>
      </c>
      <c r="M74" s="1594">
        <f t="shared" si="0"/>
        <v>-6819575.8599999994</v>
      </c>
      <c r="O74" s="1592"/>
    </row>
    <row r="75" spans="1:15">
      <c r="A75" s="368">
        <v>48</v>
      </c>
      <c r="B75" s="411" t="s">
        <v>2634</v>
      </c>
      <c r="C75" s="99"/>
      <c r="D75" s="1628">
        <v>624009.38000000012</v>
      </c>
      <c r="E75" s="1578">
        <v>146275.04</v>
      </c>
      <c r="F75" s="1630"/>
      <c r="G75" s="1632"/>
      <c r="H75" s="1633"/>
      <c r="I75" s="382">
        <f t="shared" si="9"/>
        <v>770284.42000000016</v>
      </c>
      <c r="J75" s="1009" t="s">
        <v>2635</v>
      </c>
      <c r="K75" s="376">
        <v>48</v>
      </c>
      <c r="L75" s="1574">
        <v>125521.79000000001</v>
      </c>
      <c r="M75" s="1594">
        <f t="shared" si="0"/>
        <v>644762.63000000012</v>
      </c>
      <c r="O75" s="1592"/>
    </row>
    <row r="76" spans="1:15">
      <c r="A76" s="368">
        <v>49</v>
      </c>
      <c r="B76" s="411" t="s">
        <v>4327</v>
      </c>
      <c r="C76" s="99"/>
      <c r="D76" s="1628">
        <v>153243.69000000006</v>
      </c>
      <c r="E76" s="1578"/>
      <c r="F76" s="1630"/>
      <c r="G76" s="1632"/>
      <c r="H76" s="1633"/>
      <c r="I76" s="382">
        <f t="shared" si="9"/>
        <v>153243.69000000006</v>
      </c>
      <c r="J76" s="1009" t="s">
        <v>4328</v>
      </c>
      <c r="K76" s="376">
        <v>49</v>
      </c>
      <c r="L76" s="1574">
        <v>118402.83</v>
      </c>
      <c r="M76" s="1594">
        <f t="shared" si="0"/>
        <v>34840.860000000059</v>
      </c>
      <c r="O76" s="1592"/>
    </row>
    <row r="77" spans="1:15">
      <c r="A77" s="368">
        <v>50</v>
      </c>
      <c r="B77" s="411" t="s">
        <v>4329</v>
      </c>
      <c r="C77" s="99"/>
      <c r="D77" s="1628">
        <v>2515670.8899999987</v>
      </c>
      <c r="E77" s="1578">
        <v>287547.04000000004</v>
      </c>
      <c r="F77" s="1630">
        <v>22927.48</v>
      </c>
      <c r="G77" s="1632"/>
      <c r="H77" s="1633"/>
      <c r="I77" s="382">
        <f>D77+E77-F77+G77+H77</f>
        <v>2780290.4499999988</v>
      </c>
      <c r="J77" s="1009" t="s">
        <v>4330</v>
      </c>
      <c r="K77" s="376">
        <v>50</v>
      </c>
      <c r="L77" s="1574">
        <v>843586.24999999988</v>
      </c>
      <c r="M77" s="1594">
        <f t="shared" si="0"/>
        <v>1936704.1999999988</v>
      </c>
      <c r="O77" s="1592"/>
    </row>
    <row r="78" spans="1:15">
      <c r="A78" s="368">
        <v>51</v>
      </c>
      <c r="B78" s="411" t="s">
        <v>4331</v>
      </c>
      <c r="C78" s="99"/>
      <c r="D78" s="1628">
        <v>387168.07000000007</v>
      </c>
      <c r="E78" s="1578">
        <v>5389.61</v>
      </c>
      <c r="F78" s="1630">
        <v>250</v>
      </c>
      <c r="G78" s="1632"/>
      <c r="H78" s="1633"/>
      <c r="I78" s="382">
        <f>D78+E78-F78+G78+H78</f>
        <v>392307.68000000005</v>
      </c>
      <c r="J78" s="1009" t="s">
        <v>4332</v>
      </c>
      <c r="K78" s="376">
        <v>51</v>
      </c>
      <c r="L78" s="1574">
        <v>226397.94</v>
      </c>
      <c r="M78" s="1594">
        <f t="shared" si="0"/>
        <v>165909.74000000005</v>
      </c>
      <c r="O78" s="1592"/>
    </row>
    <row r="79" spans="1:15">
      <c r="A79" s="368">
        <v>52</v>
      </c>
      <c r="B79" s="411" t="s">
        <v>4333</v>
      </c>
      <c r="C79" s="99"/>
      <c r="D79" s="1628">
        <v>86968.869999999981</v>
      </c>
      <c r="E79" s="1578"/>
      <c r="F79" s="1630"/>
      <c r="G79" s="1632"/>
      <c r="H79" s="1633"/>
      <c r="I79" s="382">
        <f>D79+E79-F79+G79+H79</f>
        <v>86968.869999999981</v>
      </c>
      <c r="J79" s="1009" t="s">
        <v>4334</v>
      </c>
      <c r="K79" s="376">
        <v>52</v>
      </c>
      <c r="L79" s="1574">
        <v>108749.26999999999</v>
      </c>
      <c r="M79" s="1594">
        <f t="shared" si="0"/>
        <v>-21780.400000000009</v>
      </c>
      <c r="O79" s="1592"/>
    </row>
    <row r="80" spans="1:15">
      <c r="A80" s="368">
        <v>53</v>
      </c>
      <c r="B80" s="411" t="s">
        <v>4335</v>
      </c>
      <c r="C80" s="99"/>
      <c r="D80" s="1628">
        <v>12543636.52</v>
      </c>
      <c r="E80" s="1578">
        <v>2483647.04</v>
      </c>
      <c r="F80" s="1630">
        <v>39290.299999999996</v>
      </c>
      <c r="G80" s="1632"/>
      <c r="H80" s="1633"/>
      <c r="I80" s="382">
        <f>D80+E80-F80+G80+H80</f>
        <v>14987993.259999998</v>
      </c>
      <c r="J80" s="1009" t="s">
        <v>1452</v>
      </c>
      <c r="K80" s="376">
        <v>53</v>
      </c>
      <c r="L80" s="1574">
        <v>2596572.5699999998</v>
      </c>
      <c r="M80" s="1594">
        <f t="shared" si="0"/>
        <v>12391420.689999998</v>
      </c>
      <c r="O80" s="1592"/>
    </row>
    <row r="81" spans="1:17">
      <c r="A81" s="368">
        <v>54</v>
      </c>
      <c r="B81" s="411" t="s">
        <v>1453</v>
      </c>
      <c r="C81" s="99"/>
      <c r="D81" s="1628">
        <v>9695.5599999999977</v>
      </c>
      <c r="E81" s="1578"/>
      <c r="F81" s="1630"/>
      <c r="G81" s="1632"/>
      <c r="H81" s="1633"/>
      <c r="I81" s="382">
        <f t="shared" si="9"/>
        <v>9695.5599999999977</v>
      </c>
      <c r="J81" s="1009" t="s">
        <v>1454</v>
      </c>
      <c r="K81" s="376">
        <v>54</v>
      </c>
      <c r="L81" s="1574">
        <v>2696</v>
      </c>
      <c r="M81" s="1594">
        <f t="shared" si="0"/>
        <v>6999.5599999999977</v>
      </c>
      <c r="O81" s="1592"/>
    </row>
    <row r="82" spans="1:17">
      <c r="A82" s="368">
        <v>55</v>
      </c>
      <c r="B82" s="177" t="s">
        <v>1455</v>
      </c>
      <c r="C82" s="99"/>
      <c r="D82" s="1628"/>
      <c r="E82" s="1578"/>
      <c r="F82" s="1630"/>
      <c r="G82" s="1632"/>
      <c r="H82" s="1633"/>
      <c r="I82" s="382">
        <f t="shared" si="9"/>
        <v>0</v>
      </c>
      <c r="J82" s="1009" t="s">
        <v>1456</v>
      </c>
      <c r="K82" s="376">
        <v>55</v>
      </c>
      <c r="L82" s="1574">
        <v>0</v>
      </c>
      <c r="M82" s="1594">
        <f t="shared" si="0"/>
        <v>0</v>
      </c>
      <c r="O82" s="1592"/>
    </row>
    <row r="83" spans="1:17">
      <c r="A83" s="368">
        <v>56</v>
      </c>
      <c r="B83" s="377" t="s">
        <v>1102</v>
      </c>
      <c r="C83" s="99"/>
      <c r="D83" s="382">
        <f t="shared" ref="D83" si="10">SUM(D72:D82)</f>
        <v>34489332.800000012</v>
      </c>
      <c r="E83" s="391">
        <f t="shared" ref="E83:H83" si="11">SUM(E72:E82)</f>
        <v>3429191.88</v>
      </c>
      <c r="F83" s="384">
        <f t="shared" si="11"/>
        <v>340857.5</v>
      </c>
      <c r="G83" s="382">
        <f t="shared" si="11"/>
        <v>0</v>
      </c>
      <c r="H83" s="382">
        <f t="shared" si="11"/>
        <v>0</v>
      </c>
      <c r="I83" s="382">
        <f t="shared" ref="I83" si="12">SUM(I72:I82)</f>
        <v>37577667.180000007</v>
      </c>
      <c r="J83" s="408"/>
      <c r="K83" s="376">
        <v>56</v>
      </c>
      <c r="L83" s="1574">
        <v>19827066.509999998</v>
      </c>
      <c r="M83" s="1594">
        <f t="shared" si="0"/>
        <v>17750600.670000009</v>
      </c>
      <c r="O83" s="1592"/>
    </row>
    <row r="84" spans="1:17">
      <c r="A84" s="368">
        <v>57</v>
      </c>
      <c r="B84" s="377" t="s">
        <v>1103</v>
      </c>
      <c r="C84" s="99"/>
      <c r="D84" s="382">
        <f>D24+D34+D45+D50+D61+D83</f>
        <v>666233000.523</v>
      </c>
      <c r="E84" s="391">
        <f t="shared" ref="E84:H84" si="13">E24+E34+E45+E50+E61+E83</f>
        <v>90922413.697000176</v>
      </c>
      <c r="F84" s="384">
        <f t="shared" si="13"/>
        <v>2703348.22</v>
      </c>
      <c r="G84" s="382">
        <f t="shared" si="13"/>
        <v>0</v>
      </c>
      <c r="H84" s="382">
        <f t="shared" si="13"/>
        <v>0</v>
      </c>
      <c r="I84" s="382">
        <f t="shared" ref="I84" si="14">I24+I34+I45+I50+I61+I83</f>
        <v>754452066</v>
      </c>
      <c r="J84" s="1009" t="s">
        <v>205</v>
      </c>
      <c r="K84" s="376">
        <v>57</v>
      </c>
      <c r="L84" s="1574">
        <v>327787233.01300001</v>
      </c>
      <c r="M84" s="1594">
        <f t="shared" si="0"/>
        <v>426664832.98699999</v>
      </c>
      <c r="O84" s="1592"/>
    </row>
    <row r="85" spans="1:17">
      <c r="A85" s="368">
        <v>58</v>
      </c>
      <c r="B85" s="377" t="s">
        <v>206</v>
      </c>
      <c r="C85" s="99"/>
      <c r="D85" s="382"/>
      <c r="E85" s="391"/>
      <c r="F85" s="384"/>
      <c r="G85" s="382"/>
      <c r="H85" s="382"/>
      <c r="I85" s="382">
        <f>D85+E85-F85+G85+H85</f>
        <v>0</v>
      </c>
      <c r="J85" s="1009" t="s">
        <v>207</v>
      </c>
      <c r="K85" s="376">
        <v>58</v>
      </c>
      <c r="L85" s="1574"/>
      <c r="M85" s="1594">
        <f t="shared" si="0"/>
        <v>0</v>
      </c>
      <c r="O85" s="1592"/>
    </row>
    <row r="86" spans="1:17" ht="15.75" thickBot="1">
      <c r="A86" s="368">
        <v>59</v>
      </c>
      <c r="B86" s="377" t="s">
        <v>3603</v>
      </c>
      <c r="C86" s="99"/>
      <c r="D86" s="378">
        <f>D84+D85</f>
        <v>666233000.523</v>
      </c>
      <c r="E86" s="490">
        <f t="shared" ref="E86:I86" si="15">E84+E85</f>
        <v>90922413.697000176</v>
      </c>
      <c r="F86" s="380">
        <f t="shared" si="15"/>
        <v>2703348.22</v>
      </c>
      <c r="G86" s="378">
        <f t="shared" si="15"/>
        <v>0</v>
      </c>
      <c r="H86" s="378">
        <f t="shared" si="15"/>
        <v>0</v>
      </c>
      <c r="I86" s="382">
        <f t="shared" si="15"/>
        <v>754452066</v>
      </c>
      <c r="J86" s="408"/>
      <c r="K86" s="376">
        <v>59</v>
      </c>
      <c r="L86" s="1574">
        <v>327787233.01300001</v>
      </c>
      <c r="M86" s="1594">
        <f t="shared" ref="M86:M126" si="16">+I86-L86</f>
        <v>426664832.98699999</v>
      </c>
      <c r="N86" s="140" t="str">
        <f>IF(ROUND(I86,2)=ROUND('200201'!D16,2),"ok","error")</f>
        <v>ok</v>
      </c>
      <c r="O86" s="140"/>
      <c r="P86" s="140"/>
      <c r="Q86" s="198"/>
    </row>
    <row r="87" spans="1:17">
      <c r="A87" s="413"/>
      <c r="B87" s="156"/>
      <c r="C87" s="130"/>
      <c r="D87" s="414"/>
      <c r="E87" s="415"/>
      <c r="F87" s="416"/>
      <c r="G87" s="414"/>
      <c r="H87" s="414"/>
      <c r="I87" s="414"/>
      <c r="J87" s="130"/>
      <c r="K87" s="417"/>
      <c r="M87" s="1594">
        <f t="shared" si="16"/>
        <v>0</v>
      </c>
      <c r="O87" s="140"/>
    </row>
    <row r="88" spans="1:17" ht="15.75">
      <c r="A88" s="418" t="s">
        <v>3604</v>
      </c>
      <c r="B88" s="5"/>
      <c r="C88" s="5"/>
      <c r="D88" s="419"/>
      <c r="E88" s="420"/>
      <c r="F88" s="418" t="s">
        <v>3605</v>
      </c>
      <c r="G88" s="419"/>
      <c r="H88" s="419"/>
      <c r="I88" s="419"/>
      <c r="J88" s="5"/>
      <c r="K88" s="132"/>
      <c r="M88" s="1594">
        <f t="shared" si="16"/>
        <v>0</v>
      </c>
    </row>
    <row r="89" spans="1:17">
      <c r="A89" s="421"/>
      <c r="B89" s="98"/>
      <c r="C89" s="98"/>
      <c r="D89" s="422"/>
      <c r="E89" s="423"/>
      <c r="F89" s="151"/>
      <c r="G89" s="422"/>
      <c r="H89" s="422"/>
      <c r="I89" s="422"/>
      <c r="J89" s="98"/>
      <c r="K89" s="424"/>
      <c r="M89" s="1594">
        <f t="shared" si="16"/>
        <v>0</v>
      </c>
    </row>
    <row r="90" spans="1:17">
      <c r="A90" s="425"/>
      <c r="B90" s="86"/>
      <c r="C90" s="86"/>
      <c r="D90" s="426"/>
      <c r="E90" s="427"/>
      <c r="F90" s="1858"/>
      <c r="G90" s="1859"/>
      <c r="H90" s="1859"/>
      <c r="I90" s="1859"/>
      <c r="J90" s="1780"/>
      <c r="K90" s="1860"/>
      <c r="M90" s="1594">
        <f t="shared" si="16"/>
        <v>0</v>
      </c>
    </row>
    <row r="91" spans="1:17">
      <c r="A91" s="429"/>
      <c r="B91" s="191" t="s">
        <v>3606</v>
      </c>
      <c r="C91" s="86"/>
      <c r="D91" s="426"/>
      <c r="E91" s="427"/>
      <c r="F91" s="1858" t="s">
        <v>1186</v>
      </c>
      <c r="G91" s="1859"/>
      <c r="H91" s="1861"/>
      <c r="I91" s="1861" t="s">
        <v>3752</v>
      </c>
      <c r="J91" s="1780"/>
      <c r="K91" s="1860"/>
      <c r="M91" s="1594">
        <f t="shared" si="16"/>
        <v>0</v>
      </c>
    </row>
    <row r="92" spans="1:17">
      <c r="A92" s="429"/>
      <c r="B92" s="191" t="s">
        <v>3607</v>
      </c>
      <c r="C92" s="86"/>
      <c r="D92" s="426"/>
      <c r="E92" s="427"/>
      <c r="F92" s="1858" t="s">
        <v>1187</v>
      </c>
      <c r="G92" s="1859"/>
      <c r="H92" s="1861"/>
      <c r="I92" s="1861" t="s">
        <v>1689</v>
      </c>
      <c r="J92" s="1780"/>
      <c r="K92" s="1860"/>
      <c r="M92" s="1594">
        <f t="shared" si="16"/>
        <v>0</v>
      </c>
    </row>
    <row r="93" spans="1:17">
      <c r="A93" s="429"/>
      <c r="B93" s="191" t="s">
        <v>305</v>
      </c>
      <c r="C93" s="86"/>
      <c r="D93" s="426"/>
      <c r="E93" s="427"/>
      <c r="F93" s="1858" t="s">
        <v>1188</v>
      </c>
      <c r="G93" s="1859"/>
      <c r="H93" s="1861"/>
      <c r="I93" s="1859"/>
      <c r="J93" s="1780"/>
      <c r="K93" s="1860"/>
      <c r="M93" s="1594">
        <f t="shared" si="16"/>
        <v>0</v>
      </c>
    </row>
    <row r="94" spans="1:17">
      <c r="A94" s="429"/>
      <c r="B94" s="191" t="s">
        <v>306</v>
      </c>
      <c r="C94" s="86"/>
      <c r="D94" s="426"/>
      <c r="E94" s="427"/>
      <c r="F94" s="1858"/>
      <c r="G94" s="1859"/>
      <c r="H94" s="1861"/>
      <c r="I94" s="1859"/>
      <c r="J94" s="1780"/>
      <c r="K94" s="1860"/>
      <c r="M94" s="1594">
        <f t="shared" si="16"/>
        <v>0</v>
      </c>
    </row>
    <row r="95" spans="1:17">
      <c r="A95" s="429"/>
      <c r="B95" s="191" t="s">
        <v>1219</v>
      </c>
      <c r="C95" s="86"/>
      <c r="D95" s="426"/>
      <c r="E95" s="427"/>
      <c r="F95" s="1862" t="s">
        <v>4626</v>
      </c>
      <c r="G95" s="1863"/>
      <c r="H95" s="1864"/>
      <c r="I95" s="1864">
        <v>-181540</v>
      </c>
      <c r="J95" s="1780"/>
      <c r="K95" s="1860"/>
      <c r="M95" s="1594">
        <f t="shared" si="16"/>
        <v>-181540</v>
      </c>
    </row>
    <row r="96" spans="1:17">
      <c r="A96" s="430"/>
      <c r="B96" s="191"/>
      <c r="C96" s="86"/>
      <c r="D96" s="426"/>
      <c r="E96" s="427"/>
      <c r="F96" s="1858" t="s">
        <v>4627</v>
      </c>
      <c r="G96" s="1859"/>
      <c r="H96" s="1861"/>
      <c r="I96" s="1861">
        <v>-941896</v>
      </c>
      <c r="J96" s="1780"/>
      <c r="K96" s="1860"/>
      <c r="M96" s="1594">
        <f t="shared" si="16"/>
        <v>-941896</v>
      </c>
    </row>
    <row r="97" spans="1:16">
      <c r="A97" s="431"/>
      <c r="B97" t="s">
        <v>3547</v>
      </c>
      <c r="C97" s="432" t="s">
        <v>3548</v>
      </c>
      <c r="D97" s="426"/>
      <c r="E97" s="427"/>
      <c r="F97" s="1858" t="s">
        <v>4628</v>
      </c>
      <c r="G97" s="1859"/>
      <c r="H97" s="1861"/>
      <c r="I97" s="1861"/>
      <c r="J97" s="1780"/>
      <c r="K97" s="1860"/>
      <c r="M97" s="1594">
        <f t="shared" si="16"/>
        <v>0</v>
      </c>
    </row>
    <row r="98" spans="1:16">
      <c r="A98" s="431"/>
      <c r="B98" s="177"/>
      <c r="C98" s="432" t="s">
        <v>3549</v>
      </c>
      <c r="D98" s="426"/>
      <c r="E98" s="427"/>
      <c r="F98" s="1858" t="s">
        <v>4629</v>
      </c>
      <c r="G98" s="1859"/>
      <c r="H98" s="1861"/>
      <c r="I98" s="1861">
        <v>-43308</v>
      </c>
      <c r="J98" s="1780"/>
      <c r="K98" s="1860"/>
      <c r="M98" s="1594">
        <f t="shared" si="16"/>
        <v>-43308</v>
      </c>
    </row>
    <row r="99" spans="1:16">
      <c r="A99" s="431"/>
      <c r="B99" s="177" t="s">
        <v>3550</v>
      </c>
      <c r="C99" s="432"/>
      <c r="D99" s="426"/>
      <c r="E99" s="427"/>
      <c r="F99" s="1858" t="s">
        <v>4630</v>
      </c>
      <c r="G99" s="1859"/>
      <c r="H99" s="1861"/>
      <c r="I99" s="1861">
        <v>-12664</v>
      </c>
      <c r="J99" s="1780"/>
      <c r="K99" s="1860"/>
      <c r="M99" s="1594">
        <f t="shared" si="16"/>
        <v>-12664</v>
      </c>
    </row>
    <row r="100" spans="1:16">
      <c r="A100" s="431"/>
      <c r="B100" s="177"/>
      <c r="C100" s="432" t="s">
        <v>3551</v>
      </c>
      <c r="D100" s="426"/>
      <c r="E100" s="427"/>
      <c r="F100" s="1858"/>
      <c r="G100" s="1780"/>
      <c r="H100" s="1780"/>
      <c r="I100" s="1780"/>
      <c r="J100" s="1780"/>
      <c r="K100" s="1860"/>
      <c r="M100" s="1594">
        <f t="shared" si="16"/>
        <v>0</v>
      </c>
    </row>
    <row r="101" spans="1:16">
      <c r="A101" s="431"/>
      <c r="B101" s="177" t="s">
        <v>3552</v>
      </c>
      <c r="C101" s="432" t="s">
        <v>3553</v>
      </c>
      <c r="D101" s="426"/>
      <c r="E101" s="427"/>
      <c r="F101" s="1858" t="s">
        <v>5002</v>
      </c>
      <c r="I101" s="1861"/>
      <c r="J101" s="1780"/>
      <c r="K101" s="1860"/>
      <c r="M101" s="1594">
        <f>+I104-L101</f>
        <v>-1214355.68</v>
      </c>
    </row>
    <row r="102" spans="1:16">
      <c r="A102" s="431"/>
      <c r="B102" s="177"/>
      <c r="C102" s="432"/>
      <c r="D102" s="426"/>
      <c r="E102" s="427"/>
      <c r="F102" s="1858" t="s">
        <v>5298</v>
      </c>
      <c r="G102" s="1859"/>
      <c r="H102" s="1861"/>
      <c r="I102" s="1861">
        <v>-34947.68</v>
      </c>
      <c r="J102" s="1780"/>
      <c r="K102" s="1860"/>
      <c r="M102" s="1594">
        <f t="shared" si="16"/>
        <v>-34947.68</v>
      </c>
    </row>
    <row r="103" spans="1:16">
      <c r="A103" s="431"/>
      <c r="B103" s="177" t="s">
        <v>3554</v>
      </c>
      <c r="C103" s="432" t="s">
        <v>4225</v>
      </c>
      <c r="D103" s="426"/>
      <c r="E103" s="427"/>
      <c r="F103" s="1858"/>
      <c r="G103" s="1859"/>
      <c r="H103" s="1861"/>
      <c r="I103" s="1859"/>
      <c r="J103" s="1780"/>
      <c r="K103" s="1860"/>
      <c r="M103" s="1594">
        <f t="shared" si="16"/>
        <v>0</v>
      </c>
    </row>
    <row r="104" spans="1:16">
      <c r="A104" s="431"/>
      <c r="B104" s="177"/>
      <c r="C104" s="432" t="s">
        <v>3549</v>
      </c>
      <c r="D104" s="426"/>
      <c r="E104" s="427"/>
      <c r="F104" s="1858"/>
      <c r="G104" s="1859" t="s">
        <v>4311</v>
      </c>
      <c r="H104" s="1861"/>
      <c r="I104" s="1864">
        <f>SUM(I95:I103)</f>
        <v>-1214355.68</v>
      </c>
      <c r="J104" s="1780"/>
      <c r="K104" s="1860"/>
      <c r="M104" s="1594" t="e">
        <f>+#REF!-L104</f>
        <v>#REF!</v>
      </c>
      <c r="N104" t="str">
        <f>IF(ROUND(I104, 0)=ROUND('200201'!E22,0), "ok","error")</f>
        <v>ok</v>
      </c>
      <c r="O104" s="140"/>
      <c r="P104" s="1592"/>
    </row>
    <row r="105" spans="1:16">
      <c r="A105" s="431"/>
      <c r="B105" s="177" t="s">
        <v>4226</v>
      </c>
      <c r="C105" s="432"/>
      <c r="D105" s="426"/>
      <c r="E105" s="427"/>
      <c r="F105" s="1858"/>
      <c r="G105" s="1859"/>
      <c r="H105" s="1861"/>
      <c r="I105" s="1859"/>
      <c r="J105" s="1780"/>
      <c r="K105" s="1860"/>
      <c r="M105" s="1594">
        <f t="shared" si="16"/>
        <v>0</v>
      </c>
    </row>
    <row r="106" spans="1:16">
      <c r="A106" s="431"/>
      <c r="B106" s="177"/>
      <c r="C106" s="432" t="s">
        <v>3598</v>
      </c>
      <c r="D106" s="426"/>
      <c r="E106" s="427"/>
      <c r="F106" s="1858"/>
      <c r="G106" s="1637"/>
      <c r="H106" s="1861"/>
      <c r="I106" s="1861"/>
      <c r="J106" s="1780"/>
      <c r="K106" s="1860"/>
      <c r="M106" s="1594">
        <f t="shared" si="16"/>
        <v>0</v>
      </c>
    </row>
    <row r="107" spans="1:16">
      <c r="A107" s="431"/>
      <c r="B107" s="177" t="s">
        <v>1073</v>
      </c>
      <c r="C107" s="432" t="s">
        <v>3553</v>
      </c>
      <c r="D107" s="426"/>
      <c r="E107" s="427"/>
      <c r="F107" s="1858"/>
      <c r="G107" s="1859"/>
      <c r="H107" s="1861"/>
      <c r="I107" s="1859"/>
      <c r="J107" s="1780"/>
      <c r="K107" s="1860"/>
      <c r="M107" s="1594">
        <f t="shared" si="16"/>
        <v>0</v>
      </c>
    </row>
    <row r="108" spans="1:16">
      <c r="A108" s="431"/>
      <c r="B108" s="177" t="s">
        <v>1074</v>
      </c>
      <c r="C108" s="432"/>
      <c r="D108" s="426"/>
      <c r="E108" s="427"/>
      <c r="F108" s="1858"/>
      <c r="G108" s="1859"/>
      <c r="H108" s="1861"/>
      <c r="I108" s="2192"/>
      <c r="J108" s="1780"/>
      <c r="K108" s="1860"/>
      <c r="M108" s="1594">
        <f t="shared" si="16"/>
        <v>0</v>
      </c>
    </row>
    <row r="109" spans="1:16">
      <c r="A109" s="431"/>
      <c r="B109" s="177" t="s">
        <v>1075</v>
      </c>
      <c r="C109" s="432" t="s">
        <v>438</v>
      </c>
      <c r="D109" s="426"/>
      <c r="E109" s="427"/>
      <c r="F109" s="1858"/>
      <c r="G109" s="1859"/>
      <c r="H109" s="1861"/>
      <c r="I109" s="2192"/>
      <c r="J109" s="1780"/>
      <c r="K109" s="1860"/>
      <c r="M109" s="1594">
        <f t="shared" si="16"/>
        <v>0</v>
      </c>
    </row>
    <row r="110" spans="1:16">
      <c r="A110" s="431"/>
      <c r="B110" s="177"/>
      <c r="C110" s="432" t="s">
        <v>439</v>
      </c>
      <c r="D110" s="426"/>
      <c r="E110" s="427"/>
      <c r="F110" s="1858"/>
      <c r="G110" s="1859"/>
      <c r="H110" s="1861"/>
      <c r="I110" s="2192"/>
      <c r="J110" s="1780"/>
      <c r="K110" s="1860"/>
      <c r="M110" s="1594">
        <f t="shared" si="16"/>
        <v>0</v>
      </c>
    </row>
    <row r="111" spans="1:16">
      <c r="A111" s="431"/>
      <c r="B111" s="177"/>
      <c r="C111" s="432"/>
      <c r="D111" s="426"/>
      <c r="E111" s="427"/>
      <c r="F111" s="1858"/>
      <c r="G111" s="1865"/>
      <c r="H111" s="1861"/>
      <c r="I111" s="2192"/>
      <c r="J111" s="1780"/>
      <c r="K111" s="1860"/>
      <c r="M111" s="1594">
        <f t="shared" si="16"/>
        <v>0</v>
      </c>
    </row>
    <row r="112" spans="1:16">
      <c r="A112" s="431"/>
      <c r="B112" s="177" t="s">
        <v>440</v>
      </c>
      <c r="C112" s="432" t="s">
        <v>441</v>
      </c>
      <c r="D112" s="426"/>
      <c r="E112" s="427"/>
      <c r="F112" s="1858"/>
      <c r="G112" s="1859"/>
      <c r="H112" s="1861"/>
      <c r="I112" s="2192"/>
      <c r="J112" s="1780"/>
      <c r="K112" s="1860"/>
      <c r="M112" s="1594">
        <f t="shared" si="16"/>
        <v>0</v>
      </c>
    </row>
    <row r="113" spans="1:16">
      <c r="A113" s="433"/>
      <c r="B113" s="175"/>
      <c r="C113" s="434" t="s">
        <v>768</v>
      </c>
      <c r="D113" s="422"/>
      <c r="E113" s="423"/>
      <c r="F113" s="1858"/>
      <c r="G113" s="1859"/>
      <c r="H113" s="1861"/>
      <c r="I113" s="2192"/>
      <c r="J113" s="1780"/>
      <c r="K113" s="1860"/>
      <c r="M113" s="1594">
        <f t="shared" si="16"/>
        <v>0</v>
      </c>
    </row>
    <row r="114" spans="1:16">
      <c r="A114" s="431"/>
      <c r="B114" s="177"/>
      <c r="C114" s="1297" t="s">
        <v>712</v>
      </c>
      <c r="D114" s="2120" t="s">
        <v>187</v>
      </c>
      <c r="E114" s="427"/>
      <c r="F114" s="1858"/>
      <c r="G114" s="1859"/>
      <c r="H114" s="1861"/>
      <c r="I114" s="2192"/>
      <c r="J114" s="1780"/>
      <c r="K114" s="1860"/>
      <c r="M114" s="1594">
        <f t="shared" si="16"/>
        <v>0</v>
      </c>
    </row>
    <row r="115" spans="1:16">
      <c r="A115" s="431"/>
      <c r="B115" s="177" t="s">
        <v>583</v>
      </c>
      <c r="C115" s="1297" t="s">
        <v>191</v>
      </c>
      <c r="D115" s="2120" t="s">
        <v>1627</v>
      </c>
      <c r="E115" s="427"/>
      <c r="F115" s="1858"/>
      <c r="G115" s="1859"/>
      <c r="H115" s="1861"/>
      <c r="I115" s="1859"/>
      <c r="J115" s="1780"/>
      <c r="K115" s="1860"/>
      <c r="M115" s="1594">
        <f t="shared" si="16"/>
        <v>0</v>
      </c>
    </row>
    <row r="116" spans="1:16">
      <c r="A116" s="431"/>
      <c r="B116" s="177"/>
      <c r="C116" s="1297"/>
      <c r="D116" s="1297"/>
      <c r="E116" s="427"/>
      <c r="F116" s="1858"/>
      <c r="G116" s="1780"/>
      <c r="H116" s="1780"/>
      <c r="I116" s="1780"/>
      <c r="J116" s="1780"/>
      <c r="K116" s="1860"/>
      <c r="M116" s="1594">
        <f t="shared" si="16"/>
        <v>0</v>
      </c>
    </row>
    <row r="117" spans="1:16">
      <c r="A117" s="431"/>
      <c r="B117" s="1978"/>
      <c r="C117" s="1979"/>
      <c r="D117" s="2027"/>
      <c r="E117" s="427"/>
      <c r="F117" s="1858"/>
      <c r="G117" s="1780"/>
      <c r="H117" s="1780"/>
      <c r="I117" s="1780"/>
      <c r="J117" s="1780"/>
      <c r="K117" s="1860"/>
      <c r="M117" s="1594">
        <f t="shared" si="16"/>
        <v>0</v>
      </c>
    </row>
    <row r="118" spans="1:16">
      <c r="A118" s="431"/>
      <c r="B118" s="1978"/>
      <c r="C118" s="1979"/>
      <c r="D118" s="1635"/>
      <c r="E118" s="427"/>
      <c r="F118" s="1858"/>
      <c r="G118" s="1780"/>
      <c r="H118" s="1780"/>
      <c r="I118" s="1780"/>
      <c r="J118" s="1780"/>
      <c r="K118" s="1860"/>
      <c r="M118" s="1594">
        <f t="shared" si="16"/>
        <v>0</v>
      </c>
    </row>
    <row r="119" spans="1:16">
      <c r="A119" s="431"/>
      <c r="B119" s="1978" t="s">
        <v>2936</v>
      </c>
      <c r="C119" s="1979"/>
      <c r="D119" s="2027">
        <v>1921.2</v>
      </c>
      <c r="E119" s="435"/>
      <c r="F119" s="1858"/>
      <c r="G119" s="1780"/>
      <c r="H119" s="1780"/>
      <c r="I119" s="1780"/>
      <c r="J119" s="1780"/>
      <c r="K119" s="1860"/>
      <c r="M119" s="1594">
        <f t="shared" si="16"/>
        <v>0</v>
      </c>
    </row>
    <row r="120" spans="1:16">
      <c r="A120" s="431"/>
      <c r="B120" s="1978" t="s">
        <v>584</v>
      </c>
      <c r="C120" s="1979">
        <v>1970</v>
      </c>
      <c r="D120" s="1635">
        <v>64963</v>
      </c>
      <c r="E120" s="427"/>
      <c r="F120" s="1858"/>
      <c r="G120" s="1780"/>
      <c r="H120" s="1780"/>
      <c r="I120" s="1780"/>
      <c r="J120" s="1780"/>
      <c r="K120" s="1860"/>
      <c r="M120" s="1594">
        <f t="shared" si="16"/>
        <v>0</v>
      </c>
    </row>
    <row r="121" spans="1:16">
      <c r="A121" s="431"/>
      <c r="B121" s="1780" t="s">
        <v>585</v>
      </c>
      <c r="C121" s="1979" t="s">
        <v>586</v>
      </c>
      <c r="D121" s="1635">
        <v>8462172.3599999994</v>
      </c>
      <c r="E121" s="427"/>
      <c r="F121" s="1858"/>
      <c r="G121" s="1780"/>
      <c r="H121" s="1780"/>
      <c r="I121" s="1780"/>
      <c r="J121" s="1780"/>
      <c r="K121" s="1860"/>
      <c r="M121" s="1594">
        <f t="shared" si="16"/>
        <v>0</v>
      </c>
    </row>
    <row r="122" spans="1:16">
      <c r="A122" s="431"/>
      <c r="B122" s="1780" t="s">
        <v>587</v>
      </c>
      <c r="C122" s="1979">
        <v>1995</v>
      </c>
      <c r="D122" s="1635">
        <v>130641</v>
      </c>
      <c r="E122" s="427"/>
      <c r="F122" s="1858"/>
      <c r="G122" s="1780"/>
      <c r="H122" s="1780"/>
      <c r="I122" s="1780"/>
      <c r="J122" s="1780"/>
      <c r="K122" s="1860"/>
      <c r="M122" s="1594">
        <f t="shared" si="16"/>
        <v>0</v>
      </c>
    </row>
    <row r="123" spans="1:16">
      <c r="A123" s="110"/>
      <c r="B123" s="1780" t="s">
        <v>4551</v>
      </c>
      <c r="C123" s="1979">
        <v>1995</v>
      </c>
      <c r="D123" s="1635">
        <v>0</v>
      </c>
      <c r="E123" s="427"/>
      <c r="F123" s="1858"/>
      <c r="G123" s="1780"/>
      <c r="H123" s="1780"/>
      <c r="I123" s="1780"/>
      <c r="J123" s="1780"/>
      <c r="K123" s="1860"/>
      <c r="M123" s="1594">
        <f t="shared" si="16"/>
        <v>0</v>
      </c>
    </row>
    <row r="124" spans="1:16">
      <c r="A124" s="110"/>
      <c r="B124" s="1780" t="s">
        <v>588</v>
      </c>
      <c r="C124" s="1979">
        <v>1996</v>
      </c>
      <c r="D124" s="1635">
        <v>54000</v>
      </c>
      <c r="E124" s="427"/>
      <c r="F124" s="1858"/>
      <c r="G124" s="1780"/>
      <c r="H124" s="1780"/>
      <c r="I124" s="1780"/>
      <c r="J124" s="1780"/>
      <c r="K124" s="1860"/>
      <c r="M124" s="1594">
        <f t="shared" si="16"/>
        <v>0</v>
      </c>
    </row>
    <row r="125" spans="1:16">
      <c r="A125" s="110"/>
      <c r="B125" s="1780" t="s">
        <v>589</v>
      </c>
      <c r="C125" s="1979">
        <v>1999</v>
      </c>
      <c r="D125" s="1635">
        <v>73836</v>
      </c>
      <c r="E125" s="427"/>
      <c r="F125" s="1858"/>
      <c r="G125" s="1780"/>
      <c r="H125" s="1780"/>
      <c r="I125" s="1780"/>
      <c r="J125" s="1780"/>
      <c r="K125" s="1860"/>
      <c r="M125" s="1594">
        <f t="shared" si="16"/>
        <v>0</v>
      </c>
    </row>
    <row r="126" spans="1:16">
      <c r="A126" s="110"/>
      <c r="B126" s="1780" t="s">
        <v>2937</v>
      </c>
      <c r="C126" s="1979">
        <v>2006</v>
      </c>
      <c r="D126" s="1635">
        <v>7003</v>
      </c>
      <c r="E126" s="427"/>
      <c r="F126" s="1858"/>
      <c r="G126" s="1859"/>
      <c r="H126" s="1861"/>
      <c r="I126" s="1866"/>
      <c r="J126" s="1780"/>
      <c r="K126" s="1860"/>
      <c r="M126" s="1594">
        <f t="shared" si="16"/>
        <v>0</v>
      </c>
    </row>
    <row r="127" spans="1:16" ht="15.75" thickBot="1">
      <c r="A127" s="437"/>
      <c r="B127" s="1636" t="s">
        <v>3751</v>
      </c>
      <c r="C127" s="1636"/>
      <c r="D127" s="2028">
        <f>SUM(D117:D126)</f>
        <v>8794536.5599999987</v>
      </c>
      <c r="E127" s="438"/>
      <c r="F127" s="1867"/>
      <c r="G127" s="1868"/>
      <c r="H127" s="1868"/>
      <c r="I127" s="1638"/>
      <c r="J127" s="1868"/>
      <c r="K127" s="1869"/>
      <c r="N127" t="str">
        <f>IF(ROUND(D127,0)='200201'!D18,"ok","error")</f>
        <v>ok</v>
      </c>
      <c r="O127" s="426"/>
      <c r="P127" s="2756"/>
    </row>
    <row r="128" spans="1:16">
      <c r="A128" s="108" t="s">
        <v>2024</v>
      </c>
      <c r="B128" s="86"/>
      <c r="C128" s="86"/>
      <c r="D128" s="404"/>
      <c r="E128" s="404"/>
      <c r="F128" s="404"/>
      <c r="G128" s="404"/>
      <c r="H128" s="404"/>
      <c r="I128" s="405"/>
      <c r="J128" s="405" t="s">
        <v>2024</v>
      </c>
      <c r="K128" s="94"/>
    </row>
    <row r="129" spans="1:11">
      <c r="A129" s="5" t="s">
        <v>769</v>
      </c>
      <c r="B129" s="5"/>
      <c r="C129" s="5"/>
      <c r="D129" s="2237"/>
      <c r="E129" s="406"/>
      <c r="F129" s="406" t="s">
        <v>770</v>
      </c>
      <c r="G129" s="406"/>
      <c r="H129" s="406"/>
      <c r="I129" s="406"/>
      <c r="J129" s="5"/>
      <c r="K129" s="5"/>
    </row>
    <row r="130" spans="1:11">
      <c r="A130" s="5"/>
      <c r="B130" s="5"/>
      <c r="C130" s="5"/>
      <c r="D130" s="1635"/>
      <c r="E130" s="5"/>
      <c r="F130" s="5"/>
      <c r="G130" s="5"/>
      <c r="H130" s="5"/>
      <c r="I130" s="5"/>
      <c r="J130" s="5"/>
      <c r="K130" s="5"/>
    </row>
    <row r="131" spans="1:11">
      <c r="A131" s="86"/>
      <c r="D131" s="198"/>
      <c r="E131" s="86"/>
      <c r="F131" s="86"/>
      <c r="G131" s="86"/>
      <c r="H131" s="86"/>
      <c r="I131" s="86"/>
      <c r="J131" s="86"/>
      <c r="K131" s="86"/>
    </row>
    <row r="132" spans="1:11">
      <c r="A132" s="86"/>
      <c r="E132" s="86"/>
      <c r="F132" s="86"/>
      <c r="G132" s="86"/>
      <c r="H132" s="1616"/>
      <c r="I132" s="86"/>
      <c r="J132" s="86"/>
      <c r="K132" s="86"/>
    </row>
    <row r="133" spans="1:11">
      <c r="A133" s="86"/>
      <c r="E133" s="86"/>
      <c r="F133" s="86"/>
      <c r="G133" s="86"/>
      <c r="H133" s="86"/>
      <c r="I133" s="86"/>
      <c r="J133" s="86"/>
      <c r="K133" s="86"/>
    </row>
    <row r="134" spans="1:11">
      <c r="A134" s="86"/>
      <c r="E134" s="86"/>
      <c r="F134" s="86"/>
      <c r="G134" s="86"/>
      <c r="H134" s="86"/>
      <c r="I134" s="86"/>
      <c r="J134" s="86"/>
      <c r="K134" s="86"/>
    </row>
    <row r="135" spans="1:11">
      <c r="A135" s="86"/>
      <c r="E135" s="86"/>
      <c r="F135" s="86"/>
      <c r="G135" s="86"/>
      <c r="H135" s="86"/>
      <c r="I135" s="86"/>
      <c r="J135" s="86"/>
      <c r="K135" s="86"/>
    </row>
    <row r="136" spans="1:11">
      <c r="A136" s="86"/>
      <c r="E136" s="86"/>
      <c r="F136" s="86"/>
      <c r="G136" s="86"/>
      <c r="H136" s="86"/>
      <c r="I136" s="86"/>
      <c r="J136" s="86"/>
      <c r="K136" s="86"/>
    </row>
    <row r="137" spans="1:11">
      <c r="A137" s="86"/>
      <c r="B137" s="86"/>
      <c r="E137" s="86"/>
      <c r="F137" s="86"/>
      <c r="G137" s="86"/>
      <c r="H137" s="86"/>
      <c r="I137" s="86"/>
      <c r="J137" s="86"/>
      <c r="K137" s="86"/>
    </row>
    <row r="138" spans="1:11">
      <c r="A138" s="86"/>
      <c r="B138" s="86"/>
      <c r="E138" s="86"/>
      <c r="F138" s="86"/>
      <c r="G138" s="86"/>
      <c r="H138" s="86"/>
      <c r="I138" s="86"/>
      <c r="J138" s="86"/>
      <c r="K138" s="86"/>
    </row>
    <row r="139" spans="1:11">
      <c r="A139" s="86"/>
      <c r="B139" s="86"/>
      <c r="E139" s="86"/>
      <c r="F139" s="86"/>
      <c r="G139" s="86"/>
      <c r="H139" s="86"/>
      <c r="I139" s="86"/>
      <c r="J139" s="86"/>
      <c r="K139" s="86"/>
    </row>
    <row r="140" spans="1:11">
      <c r="A140" s="86"/>
      <c r="B140" s="86"/>
      <c r="E140" s="86"/>
      <c r="F140" s="86"/>
      <c r="G140" s="86"/>
      <c r="H140" s="86"/>
      <c r="I140" s="86"/>
      <c r="J140" s="86"/>
      <c r="K140" s="86"/>
    </row>
    <row r="141" spans="1:11">
      <c r="A141" s="86"/>
      <c r="B141" s="86"/>
      <c r="E141" s="86"/>
      <c r="F141" s="86"/>
      <c r="G141" s="86"/>
      <c r="H141" s="86"/>
      <c r="I141" s="86"/>
      <c r="J141" s="86"/>
      <c r="K141" s="86"/>
    </row>
    <row r="142" spans="1:11">
      <c r="A142" s="86"/>
      <c r="B142" s="86"/>
      <c r="E142" s="86"/>
      <c r="F142" s="86"/>
      <c r="G142" s="86"/>
      <c r="H142" s="86"/>
      <c r="I142" s="86"/>
      <c r="J142" s="86"/>
      <c r="K142" s="86"/>
    </row>
    <row r="143" spans="1:11">
      <c r="A143" s="86"/>
      <c r="B143" s="86"/>
      <c r="E143" s="86"/>
      <c r="F143" s="86"/>
      <c r="G143" s="86"/>
      <c r="H143" s="86"/>
      <c r="I143" s="86"/>
      <c r="J143" s="86"/>
      <c r="K143" s="86"/>
    </row>
    <row r="144" spans="1:11">
      <c r="A144" s="86"/>
      <c r="B144" s="86"/>
      <c r="E144" s="86"/>
      <c r="F144" s="86"/>
      <c r="G144" s="86"/>
      <c r="H144" s="86"/>
      <c r="I144" s="86"/>
      <c r="J144" s="86"/>
      <c r="K144" s="86"/>
    </row>
    <row r="145" spans="2:2">
      <c r="B145" s="86"/>
    </row>
    <row r="146" spans="2:2">
      <c r="B146" s="86"/>
    </row>
    <row r="147" spans="2:2">
      <c r="B147" s="86"/>
    </row>
    <row r="148" spans="2:2">
      <c r="B148" s="86"/>
    </row>
    <row r="149" spans="2:2">
      <c r="B149" s="86"/>
    </row>
    <row r="150" spans="2:2">
      <c r="B150" s="86"/>
    </row>
    <row r="151" spans="2:2">
      <c r="B151" s="86"/>
    </row>
    <row r="152" spans="2:2">
      <c r="B152" s="86"/>
    </row>
    <row r="153" spans="2:2">
      <c r="B153" s="86"/>
    </row>
  </sheetData>
  <phoneticPr fontId="0" type="noConversion"/>
  <printOptions horizontalCentered="1" verticalCentered="1"/>
  <pageMargins left="0.4" right="0.4" top="0.3" bottom="0.3" header="0" footer="0"/>
  <pageSetup scale="72" fitToWidth="2" fitToHeight="2" pageOrder="overThenDown" orientation="portrait" r:id="rId1"/>
  <headerFooter alignWithMargins="0"/>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2"/>
  <dimension ref="A1:H129"/>
  <sheetViews>
    <sheetView defaultGridColor="0" topLeftCell="A13" colorId="22" zoomScale="85" zoomScaleNormal="85" workbookViewId="0">
      <selection activeCell="D43" sqref="D43"/>
    </sheetView>
  </sheetViews>
  <sheetFormatPr defaultColWidth="9.77734375" defaultRowHeight="15"/>
  <cols>
    <col min="1" max="1" width="40.77734375" customWidth="1"/>
    <col min="2" max="2" width="2.77734375" customWidth="1"/>
    <col min="3" max="3" width="20.77734375" customWidth="1"/>
    <col min="4" max="4" width="30.77734375" customWidth="1"/>
    <col min="5" max="5" width="4.77734375" customWidth="1"/>
    <col min="6" max="6" width="20.77734375" customWidth="1"/>
  </cols>
  <sheetData>
    <row r="1" spans="1:8" ht="30">
      <c r="A1" s="6" t="s">
        <v>2454</v>
      </c>
      <c r="B1" s="4"/>
      <c r="C1" s="4"/>
      <c r="D1" s="4"/>
      <c r="E1" s="4"/>
      <c r="F1" s="4"/>
      <c r="G1" s="4"/>
    </row>
    <row r="2" spans="1:8" ht="30">
      <c r="A2" s="6" t="s">
        <v>2455</v>
      </c>
      <c r="B2" s="4"/>
      <c r="C2" s="4"/>
      <c r="D2" s="4"/>
      <c r="E2" s="4"/>
      <c r="F2" s="4"/>
      <c r="G2" s="4"/>
    </row>
    <row r="3" spans="1:8" ht="30">
      <c r="A3" s="7"/>
      <c r="B3" s="4"/>
      <c r="C3" s="4"/>
      <c r="D3" s="4"/>
      <c r="E3" s="4"/>
      <c r="F3" s="4"/>
    </row>
    <row r="4" spans="1:8" ht="23.25">
      <c r="A4" s="8" t="s">
        <v>2456</v>
      </c>
      <c r="B4" s="4"/>
      <c r="C4" s="4"/>
      <c r="D4" s="4"/>
      <c r="E4" s="4"/>
      <c r="F4" s="4"/>
    </row>
    <row r="5" spans="1:8" ht="23.25">
      <c r="A5" s="8" t="s">
        <v>2457</v>
      </c>
      <c r="B5" s="4"/>
      <c r="C5" s="4"/>
      <c r="D5" s="4"/>
      <c r="E5" s="4"/>
      <c r="F5" s="4"/>
    </row>
    <row r="6" spans="1:8" ht="23.25">
      <c r="A6" s="9" t="str">
        <f>A47</f>
        <v>Year Ended  December 31, 2023</v>
      </c>
      <c r="B6" s="4"/>
      <c r="C6" s="4"/>
      <c r="D6" s="4"/>
      <c r="E6" s="4"/>
      <c r="F6" s="4"/>
    </row>
    <row r="8" spans="1:8" ht="18">
      <c r="A8" s="10"/>
      <c r="B8" s="10"/>
      <c r="C8" s="10"/>
      <c r="D8" s="10"/>
      <c r="E8" s="10"/>
      <c r="F8" s="10"/>
      <c r="G8" s="10"/>
    </row>
    <row r="9" spans="1:8" ht="23.25">
      <c r="D9" s="11"/>
    </row>
    <row r="10" spans="1:8" ht="23.25">
      <c r="A10" s="12" t="s">
        <v>4261</v>
      </c>
      <c r="D10" s="11"/>
    </row>
    <row r="11" spans="1:8">
      <c r="B11">
        <v>1</v>
      </c>
      <c r="C11" t="s">
        <v>4262</v>
      </c>
      <c r="D11" s="4"/>
      <c r="E11" s="13"/>
      <c r="F11" s="13"/>
    </row>
    <row r="12" spans="1:8" ht="23.25">
      <c r="C12" s="14" t="s">
        <v>2910</v>
      </c>
      <c r="G12" s="4"/>
      <c r="H12" s="8"/>
    </row>
    <row r="13" spans="1:8" ht="23.25">
      <c r="D13" s="11"/>
      <c r="E13" s="14"/>
      <c r="H13" s="8"/>
    </row>
    <row r="14" spans="1:8" ht="23.25">
      <c r="B14" s="15">
        <v>2</v>
      </c>
      <c r="C14" s="14" t="s">
        <v>1555</v>
      </c>
      <c r="D14" s="4"/>
      <c r="E14" s="4"/>
      <c r="F14" s="4"/>
      <c r="G14" s="4"/>
      <c r="H14" s="9"/>
    </row>
    <row r="15" spans="1:8" ht="23.25">
      <c r="C15" s="14" t="s">
        <v>2979</v>
      </c>
      <c r="D15" s="11"/>
    </row>
    <row r="16" spans="1:8" ht="23.25">
      <c r="C16" s="14" t="s">
        <v>215</v>
      </c>
      <c r="D16" s="11"/>
    </row>
    <row r="18" spans="1:8">
      <c r="F18" s="13"/>
    </row>
    <row r="19" spans="1:8" ht="22.5">
      <c r="A19" s="1251"/>
      <c r="B19" s="17"/>
      <c r="C19" s="17"/>
    </row>
    <row r="21" spans="1:8" ht="23.25">
      <c r="D21" s="11"/>
    </row>
    <row r="22" spans="1:8" ht="23.25">
      <c r="D22" s="11"/>
    </row>
    <row r="24" spans="1:8" ht="22.5">
      <c r="A24" s="18"/>
      <c r="B24" s="18"/>
      <c r="C24" s="19"/>
      <c r="D24" s="991" t="s">
        <v>216</v>
      </c>
      <c r="E24" s="19"/>
      <c r="F24" s="20"/>
      <c r="G24" s="20"/>
      <c r="H24" s="20"/>
    </row>
    <row r="25" spans="1:8" ht="18">
      <c r="A25" s="21"/>
      <c r="B25" s="21"/>
      <c r="C25" s="21"/>
      <c r="D25" s="21"/>
      <c r="E25" s="21"/>
      <c r="F25" s="20"/>
      <c r="G25" s="20"/>
      <c r="H25" s="20"/>
    </row>
    <row r="26" spans="1:8" ht="18">
      <c r="A26" s="21"/>
      <c r="B26" s="21"/>
      <c r="C26" s="21"/>
      <c r="D26" s="21"/>
      <c r="E26" s="21"/>
      <c r="F26" s="20"/>
      <c r="G26" s="20"/>
      <c r="H26" s="20"/>
    </row>
    <row r="27" spans="1:8" ht="18">
      <c r="A27" s="23" t="s">
        <v>217</v>
      </c>
      <c r="B27" s="24"/>
      <c r="C27" s="23"/>
      <c r="D27" s="2196" t="s">
        <v>5120</v>
      </c>
      <c r="E27" s="26"/>
      <c r="F27" s="20"/>
      <c r="G27" s="20"/>
      <c r="H27" s="20"/>
    </row>
    <row r="28" spans="1:8" ht="18">
      <c r="A28" s="23"/>
      <c r="B28" s="23"/>
      <c r="C28" s="23"/>
      <c r="D28" s="27"/>
      <c r="E28" s="21"/>
      <c r="F28" s="20"/>
      <c r="G28" s="20"/>
      <c r="H28" s="20"/>
    </row>
    <row r="29" spans="1:8" ht="18">
      <c r="A29" s="23" t="s">
        <v>219</v>
      </c>
      <c r="B29" s="24"/>
      <c r="C29" s="23"/>
      <c r="D29" s="25" t="s">
        <v>4871</v>
      </c>
      <c r="E29" s="26"/>
      <c r="F29" s="20"/>
      <c r="G29" s="20"/>
      <c r="H29" s="20"/>
    </row>
    <row r="30" spans="1:8" ht="18">
      <c r="A30" s="23"/>
      <c r="B30" s="23"/>
      <c r="C30" s="23"/>
      <c r="D30" s="26"/>
      <c r="E30" s="21"/>
      <c r="F30" s="20"/>
      <c r="G30" s="20"/>
      <c r="H30" s="20"/>
    </row>
    <row r="31" spans="1:8" ht="18">
      <c r="A31" s="23" t="s">
        <v>221</v>
      </c>
      <c r="B31" s="24"/>
      <c r="C31" s="23"/>
      <c r="D31" s="25" t="s">
        <v>3047</v>
      </c>
      <c r="E31" s="26"/>
      <c r="F31" s="20"/>
      <c r="G31" s="20"/>
      <c r="H31" s="20"/>
    </row>
    <row r="32" spans="1:8" ht="18">
      <c r="A32" s="21"/>
      <c r="B32" s="21"/>
      <c r="C32" s="21"/>
      <c r="D32" s="27"/>
      <c r="E32" s="21"/>
      <c r="F32" s="28" t="s">
        <v>222</v>
      </c>
      <c r="G32" s="20"/>
      <c r="H32" s="20"/>
    </row>
    <row r="33" spans="1:8" ht="23.25">
      <c r="A33" s="29" t="s">
        <v>223</v>
      </c>
      <c r="B33" s="30"/>
      <c r="C33" s="992" t="s">
        <v>224</v>
      </c>
      <c r="D33" s="1291">
        <v>45382</v>
      </c>
      <c r="E33" s="31"/>
      <c r="F33" s="993" t="s">
        <v>225</v>
      </c>
      <c r="G33" s="32"/>
      <c r="H33" s="32"/>
    </row>
    <row r="34" spans="1:8" ht="23.25">
      <c r="A34" s="33"/>
      <c r="B34" s="33"/>
      <c r="C34" s="33"/>
      <c r="D34" s="33"/>
      <c r="E34" s="31"/>
      <c r="F34" s="34"/>
      <c r="G34" s="32"/>
      <c r="H34" s="32"/>
    </row>
    <row r="35" spans="1:8" ht="18">
      <c r="A35" s="35" t="s">
        <v>226</v>
      </c>
      <c r="B35" s="35"/>
      <c r="C35" s="35"/>
      <c r="D35" s="1291">
        <v>45291</v>
      </c>
      <c r="E35" s="26"/>
      <c r="F35" s="36" t="s">
        <v>227</v>
      </c>
    </row>
    <row r="36" spans="1:8">
      <c r="A36" s="37"/>
      <c r="B36" s="37"/>
      <c r="C36" s="37"/>
      <c r="D36" s="37"/>
      <c r="E36" s="26"/>
      <c r="F36" s="34"/>
    </row>
    <row r="37" spans="1:8">
      <c r="A37" s="26"/>
      <c r="B37" s="26"/>
      <c r="C37" s="26"/>
      <c r="D37" s="38"/>
      <c r="E37" s="26"/>
      <c r="F37" s="34"/>
    </row>
    <row r="38" spans="1:8" ht="18">
      <c r="A38" s="23" t="s">
        <v>228</v>
      </c>
      <c r="B38" s="23"/>
      <c r="C38" s="24"/>
      <c r="D38" s="1290" t="s">
        <v>5315</v>
      </c>
      <c r="E38" s="26"/>
      <c r="F38" s="36" t="s">
        <v>229</v>
      </c>
    </row>
    <row r="39" spans="1:8">
      <c r="A39" s="24"/>
      <c r="B39" s="24"/>
      <c r="C39" s="24"/>
      <c r="D39" s="1285" t="s">
        <v>218</v>
      </c>
      <c r="E39" s="26"/>
      <c r="F39" s="26"/>
    </row>
    <row r="40" spans="1:8" ht="18">
      <c r="A40" s="23" t="s">
        <v>230</v>
      </c>
      <c r="B40" s="23"/>
      <c r="C40" s="24"/>
      <c r="D40" s="1290" t="s">
        <v>5316</v>
      </c>
      <c r="E40" s="26"/>
      <c r="F40" s="36" t="s">
        <v>227</v>
      </c>
    </row>
    <row r="41" spans="1:8">
      <c r="A41" s="24"/>
      <c r="B41" s="24"/>
      <c r="C41" s="24"/>
      <c r="D41" s="38" t="s">
        <v>218</v>
      </c>
      <c r="E41" s="26"/>
      <c r="F41" s="26"/>
    </row>
    <row r="42" spans="1:8" ht="18">
      <c r="A42" s="23" t="s">
        <v>231</v>
      </c>
      <c r="B42" s="23"/>
      <c r="C42" s="24"/>
      <c r="D42" s="1292">
        <v>45382</v>
      </c>
      <c r="E42" s="26"/>
      <c r="F42" s="36" t="s">
        <v>232</v>
      </c>
    </row>
    <row r="43" spans="1:8">
      <c r="A43" s="26"/>
      <c r="B43" s="26"/>
      <c r="C43" s="26"/>
      <c r="D43" s="26"/>
      <c r="E43" s="26"/>
    </row>
    <row r="44" spans="1:8">
      <c r="A44" s="26"/>
      <c r="B44" s="26"/>
      <c r="C44" s="26"/>
      <c r="D44" s="26"/>
      <c r="E44" s="26"/>
    </row>
    <row r="45" spans="1:8" ht="18">
      <c r="A45" s="1286" t="str">
        <f>"For the period starting "&amp;D38</f>
        <v>For the period starting January 1, 2023</v>
      </c>
      <c r="B45" s="26"/>
      <c r="C45" s="26"/>
      <c r="D45" s="26"/>
      <c r="E45" s="26"/>
    </row>
    <row r="46" spans="1:8" ht="18">
      <c r="A46" s="1289" t="str">
        <f>"For the period ending "&amp;D40</f>
        <v>For the period ending December 31, 2023</v>
      </c>
      <c r="B46" s="26"/>
      <c r="C46" s="26"/>
      <c r="D46" s="26"/>
      <c r="E46" s="26"/>
    </row>
    <row r="47" spans="1:8" ht="18">
      <c r="A47" s="39" t="str">
        <f>"Year Ended  "&amp;D40</f>
        <v>Year Ended  December 31, 2023</v>
      </c>
      <c r="B47" s="26"/>
      <c r="C47" s="26"/>
      <c r="D47" s="26" t="s">
        <v>218</v>
      </c>
      <c r="E47" s="26"/>
    </row>
    <row r="48" spans="1:8">
      <c r="A48" s="26"/>
      <c r="B48" s="26"/>
      <c r="C48" s="26"/>
      <c r="D48" s="26"/>
      <c r="E48" s="26"/>
    </row>
    <row r="49" spans="1:5">
      <c r="A49" s="26"/>
      <c r="B49" s="26"/>
      <c r="C49" s="26"/>
      <c r="D49" s="26"/>
      <c r="E49" s="26"/>
    </row>
    <row r="52" spans="1:5">
      <c r="D52" s="1287" t="s">
        <v>218</v>
      </c>
    </row>
    <row r="53" spans="1:5">
      <c r="A53" s="40" t="str">
        <f>"Annual Report of "&amp;D27&amp;"                           "&amp;A6</f>
        <v>Annual Report of Veolia Water New York, Inc.                            Year Ended  December 31, 2023</v>
      </c>
      <c r="B53" s="40"/>
    </row>
    <row r="55" spans="1:5">
      <c r="A55" s="40" t="str">
        <f>"Annual Report of "&amp;D27&amp;"                                 "&amp;A6</f>
        <v>Annual Report of Veolia Water New York, Inc.                                  Year Ended  December 31, 2023</v>
      </c>
      <c r="B55" s="40"/>
    </row>
    <row r="57" spans="1:5">
      <c r="A57" s="40" t="str">
        <f>"Annual Report of "&amp;D27&amp;"                                             "&amp;A6</f>
        <v>Annual Report of Veolia Water New York, Inc.                                              Year Ended  December 31, 2023</v>
      </c>
      <c r="B57" s="40"/>
    </row>
    <row r="59" spans="1:5">
      <c r="A59" s="40" t="str">
        <f>"Annual Report of "&amp;D27&amp;"                                                            "&amp;A6</f>
        <v>Annual Report of Veolia Water New York, Inc.                                                             Year Ended  December 31, 2023</v>
      </c>
      <c r="B59" s="40"/>
    </row>
    <row r="61" spans="1:5">
      <c r="A61" s="40" t="str">
        <f>"Annual Report of "&amp;D27&amp;"                                                                      "&amp;A6</f>
        <v>Annual Report of Veolia Water New York, Inc.                                                                       Year Ended  December 31, 2023</v>
      </c>
      <c r="B61" s="40"/>
    </row>
    <row r="63" spans="1:5">
      <c r="A63" s="40" t="str">
        <f>"Annual Report of "&amp;D27&amp;"                                                                            "&amp;A6</f>
        <v>Annual Report of Veolia Water New York, Inc.                                                                             Year Ended  December 31, 2023</v>
      </c>
      <c r="B63" s="40"/>
    </row>
    <row r="65" spans="1:2">
      <c r="A65" s="40" t="str">
        <f>"Annual Report of "&amp;D27&amp;"                                                                                         "&amp;A6</f>
        <v>Annual Report of Veolia Water New York, Inc.                                                                                          Year Ended  December 31, 2023</v>
      </c>
      <c r="B65" s="40"/>
    </row>
    <row r="67" spans="1:2">
      <c r="A67" s="40" t="str">
        <f>"Annual Report of "&amp;D27&amp;"                                                                                                        "&amp;A6</f>
        <v>Annual Report of Veolia Water New York, Inc.                                                                                                         Year Ended  December 31, 2023</v>
      </c>
      <c r="B67" s="40"/>
    </row>
    <row r="69" spans="1:2">
      <c r="A69" s="40" t="str">
        <f>"Annual Report of "&amp;D27&amp;"                                                                                                                  "&amp;A6</f>
        <v>Annual Report of Veolia Water New York, Inc.                                                                                                                   Year Ended  December 31, 2023</v>
      </c>
      <c r="B69" s="40"/>
    </row>
    <row r="72" spans="1:2">
      <c r="A72" s="213" t="s">
        <v>218</v>
      </c>
      <c r="B72" t="s">
        <v>218</v>
      </c>
    </row>
    <row r="73" spans="1:2">
      <c r="A73" t="s">
        <v>218</v>
      </c>
    </row>
    <row r="74" spans="1:2">
      <c r="A74" s="213" t="s">
        <v>218</v>
      </c>
      <c r="B74" s="1288" t="s">
        <v>218</v>
      </c>
    </row>
    <row r="75" spans="1:2">
      <c r="A75" t="s">
        <v>218</v>
      </c>
    </row>
    <row r="76" spans="1:2">
      <c r="A76" t="s">
        <v>218</v>
      </c>
    </row>
    <row r="77" spans="1:2">
      <c r="A77" t="s">
        <v>218</v>
      </c>
    </row>
    <row r="78" spans="1:2">
      <c r="A78" t="s">
        <v>218</v>
      </c>
    </row>
    <row r="79" spans="1:2">
      <c r="A79" t="s">
        <v>218</v>
      </c>
    </row>
    <row r="80" spans="1:2">
      <c r="A80" t="s">
        <v>218</v>
      </c>
    </row>
    <row r="81" spans="1:1">
      <c r="A81" t="s">
        <v>218</v>
      </c>
    </row>
    <row r="82" spans="1:1">
      <c r="A82" t="s">
        <v>218</v>
      </c>
    </row>
    <row r="83" spans="1:1">
      <c r="A83" t="s">
        <v>218</v>
      </c>
    </row>
    <row r="84" spans="1:1">
      <c r="A84" t="s">
        <v>218</v>
      </c>
    </row>
    <row r="85" spans="1:1">
      <c r="A85" t="s">
        <v>218</v>
      </c>
    </row>
    <row r="86" spans="1:1">
      <c r="A86" t="s">
        <v>233</v>
      </c>
    </row>
    <row r="87" spans="1:1">
      <c r="A87" t="s">
        <v>218</v>
      </c>
    </row>
    <row r="88" spans="1:1">
      <c r="A88" t="s">
        <v>218</v>
      </c>
    </row>
    <row r="89" spans="1:1">
      <c r="A89" t="s">
        <v>218</v>
      </c>
    </row>
    <row r="90" spans="1:1">
      <c r="A90" t="s">
        <v>218</v>
      </c>
    </row>
    <row r="91" spans="1:1">
      <c r="A91" t="s">
        <v>218</v>
      </c>
    </row>
    <row r="92" spans="1:1">
      <c r="A92" t="s">
        <v>218</v>
      </c>
    </row>
    <row r="93" spans="1:1">
      <c r="A93" t="s">
        <v>218</v>
      </c>
    </row>
    <row r="94" spans="1:1">
      <c r="A94" t="s">
        <v>218</v>
      </c>
    </row>
    <row r="95" spans="1:1">
      <c r="A95" t="s">
        <v>218</v>
      </c>
    </row>
    <row r="96" spans="1:1">
      <c r="A96" t="s">
        <v>218</v>
      </c>
    </row>
    <row r="100" spans="1:1">
      <c r="A100" t="s">
        <v>218</v>
      </c>
    </row>
    <row r="101" spans="1:1">
      <c r="A101" t="s">
        <v>218</v>
      </c>
    </row>
    <row r="102" spans="1:1">
      <c r="A102" t="s">
        <v>218</v>
      </c>
    </row>
    <row r="103" spans="1:1">
      <c r="A103" t="s">
        <v>218</v>
      </c>
    </row>
    <row r="105" spans="1:1">
      <c r="A105" t="s">
        <v>218</v>
      </c>
    </row>
    <row r="107" spans="1:1">
      <c r="A107" t="s">
        <v>218</v>
      </c>
    </row>
    <row r="108" spans="1:1">
      <c r="A108" t="s">
        <v>218</v>
      </c>
    </row>
    <row r="110" spans="1:1">
      <c r="A110" t="s">
        <v>218</v>
      </c>
    </row>
    <row r="111" spans="1:1">
      <c r="A111" t="s">
        <v>218</v>
      </c>
    </row>
    <row r="113" spans="1:1">
      <c r="A113" t="s">
        <v>218</v>
      </c>
    </row>
    <row r="114" spans="1:1">
      <c r="A114" t="s">
        <v>218</v>
      </c>
    </row>
    <row r="115" spans="1:1">
      <c r="A115" t="s">
        <v>218</v>
      </c>
    </row>
    <row r="116" spans="1:1">
      <c r="A116" t="s">
        <v>218</v>
      </c>
    </row>
    <row r="117" spans="1:1">
      <c r="A117" t="s">
        <v>218</v>
      </c>
    </row>
    <row r="118" spans="1:1">
      <c r="A118" t="s">
        <v>218</v>
      </c>
    </row>
    <row r="119" spans="1:1">
      <c r="A119" t="s">
        <v>218</v>
      </c>
    </row>
    <row r="120" spans="1:1">
      <c r="A120" t="s">
        <v>218</v>
      </c>
    </row>
    <row r="121" spans="1:1">
      <c r="A121" t="s">
        <v>218</v>
      </c>
    </row>
    <row r="122" spans="1:1">
      <c r="A122" t="s">
        <v>218</v>
      </c>
    </row>
    <row r="123" spans="1:1">
      <c r="A123" t="s">
        <v>218</v>
      </c>
    </row>
    <row r="124" spans="1:1">
      <c r="A124" t="s">
        <v>218</v>
      </c>
    </row>
    <row r="125" spans="1:1">
      <c r="A125" t="s">
        <v>218</v>
      </c>
    </row>
    <row r="126" spans="1:1">
      <c r="A126" t="s">
        <v>218</v>
      </c>
    </row>
    <row r="127" spans="1:1">
      <c r="A127" t="s">
        <v>218</v>
      </c>
    </row>
    <row r="128" spans="1:1">
      <c r="A128" t="s">
        <v>218</v>
      </c>
    </row>
    <row r="129" spans="1:1">
      <c r="A129" t="s">
        <v>218</v>
      </c>
    </row>
  </sheetData>
  <phoneticPr fontId="0" type="noConversion"/>
  <pageMargins left="0.4" right="0.4" top="0.3" bottom="0.3" header="0.5" footer="0.5"/>
  <pageSetup scale="58"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codeName="Sheet20"/>
  <dimension ref="A1:E127"/>
  <sheetViews>
    <sheetView defaultGridColor="0" colorId="22" zoomScaleNormal="100" workbookViewId="0">
      <pane xSplit="4" ySplit="12" topLeftCell="E13" activePane="bottomRight" state="frozen"/>
      <selection activeCell="G55" sqref="G55:H60"/>
      <selection pane="topRight" activeCell="G55" sqref="G55:H60"/>
      <selection pane="bottomLeft" activeCell="G55" sqref="G55:H60"/>
      <selection pane="bottomRight" activeCell="E34" sqref="E34"/>
    </sheetView>
  </sheetViews>
  <sheetFormatPr defaultColWidth="9.77734375" defaultRowHeight="15"/>
  <cols>
    <col min="1" max="1" width="4.77734375" customWidth="1"/>
    <col min="2" max="2" width="21.77734375" customWidth="1"/>
    <col min="3" max="3" width="28.77734375" customWidth="1"/>
    <col min="4" max="5" width="20.77734375" customWidth="1"/>
  </cols>
  <sheetData>
    <row r="1" spans="1:5" ht="15.75" thickBot="1">
      <c r="A1" t="str">
        <f>'Data sheet'!A57</f>
        <v>Annual Report of Veolia Water New York, Inc.                                              Year Ended  December 31, 2023</v>
      </c>
    </row>
    <row r="2" spans="1:5">
      <c r="A2" s="129"/>
      <c r="B2" s="130"/>
      <c r="C2" s="130"/>
      <c r="D2" s="130"/>
      <c r="E2" s="131"/>
    </row>
    <row r="3" spans="1:5" ht="15.75">
      <c r="A3" s="118" t="s">
        <v>771</v>
      </c>
      <c r="B3" s="5"/>
      <c r="C3" s="5"/>
      <c r="D3" s="5"/>
      <c r="E3" s="132"/>
    </row>
    <row r="4" spans="1:5">
      <c r="A4" s="97"/>
      <c r="B4" s="98"/>
      <c r="C4" s="98"/>
      <c r="D4" s="128"/>
      <c r="E4" s="225"/>
    </row>
    <row r="5" spans="1:5">
      <c r="A5" s="85"/>
      <c r="B5" s="86"/>
      <c r="C5" s="86"/>
      <c r="D5" s="86"/>
      <c r="E5" s="87"/>
    </row>
    <row r="6" spans="1:5">
      <c r="A6" s="85" t="s">
        <v>1563</v>
      </c>
      <c r="B6" s="86"/>
      <c r="C6" s="86"/>
      <c r="D6" s="86"/>
      <c r="E6" s="87"/>
    </row>
    <row r="7" spans="1:5">
      <c r="A7" s="85" t="s">
        <v>3146</v>
      </c>
      <c r="B7" s="86"/>
      <c r="C7" s="86"/>
      <c r="D7" s="86"/>
      <c r="E7" s="87"/>
    </row>
    <row r="8" spans="1:5">
      <c r="A8" s="85" t="s">
        <v>3147</v>
      </c>
      <c r="B8" s="86"/>
      <c r="C8" s="86"/>
      <c r="D8" s="86"/>
      <c r="E8" s="87"/>
    </row>
    <row r="9" spans="1:5">
      <c r="A9" s="97"/>
      <c r="B9" s="98"/>
      <c r="C9" s="98"/>
      <c r="D9" s="98"/>
      <c r="E9" s="101"/>
    </row>
    <row r="10" spans="1:5">
      <c r="A10" s="226"/>
      <c r="B10" s="90"/>
      <c r="C10" s="90"/>
      <c r="D10" s="91"/>
      <c r="E10" s="428" t="s">
        <v>4323</v>
      </c>
    </row>
    <row r="11" spans="1:5">
      <c r="A11" s="237" t="s">
        <v>1727</v>
      </c>
      <c r="C11" s="94" t="s">
        <v>4324</v>
      </c>
      <c r="D11" s="440"/>
      <c r="E11" s="428" t="s">
        <v>4325</v>
      </c>
    </row>
    <row r="12" spans="1:5">
      <c r="A12" s="240" t="s">
        <v>1739</v>
      </c>
      <c r="B12" s="133" t="s">
        <v>3279</v>
      </c>
      <c r="C12" s="121"/>
      <c r="D12" s="366"/>
      <c r="E12" s="424" t="s">
        <v>3280</v>
      </c>
    </row>
    <row r="13" spans="1:5">
      <c r="A13" s="237">
        <v>1</v>
      </c>
      <c r="B13" s="1780" t="s">
        <v>379</v>
      </c>
      <c r="C13" s="1780" t="s">
        <v>4721</v>
      </c>
      <c r="D13" s="1780"/>
      <c r="E13" s="1782">
        <v>22463</v>
      </c>
    </row>
    <row r="14" spans="1:5">
      <c r="A14" s="237">
        <v>2</v>
      </c>
      <c r="B14" s="1780"/>
      <c r="C14" s="1780" t="s">
        <v>4717</v>
      </c>
      <c r="D14" s="1780"/>
      <c r="E14" s="1782">
        <v>14565</v>
      </c>
    </row>
    <row r="15" spans="1:5">
      <c r="A15" s="237">
        <v>3</v>
      </c>
      <c r="B15" s="1780"/>
      <c r="C15" s="1780" t="s">
        <v>4765</v>
      </c>
      <c r="D15" s="1780"/>
      <c r="E15" s="1782">
        <v>1449236</v>
      </c>
    </row>
    <row r="16" spans="1:5">
      <c r="A16" s="237">
        <v>4</v>
      </c>
      <c r="B16" s="1780"/>
      <c r="C16" s="1780" t="s">
        <v>5440</v>
      </c>
      <c r="D16" s="1780"/>
      <c r="E16" s="1782">
        <v>61459</v>
      </c>
    </row>
    <row r="17" spans="1:5">
      <c r="A17" s="237">
        <v>5</v>
      </c>
      <c r="B17" s="1780"/>
      <c r="C17" s="1780" t="s">
        <v>5010</v>
      </c>
      <c r="D17" s="1780"/>
      <c r="E17" s="1782">
        <v>807</v>
      </c>
    </row>
    <row r="18" spans="1:5">
      <c r="A18" s="237">
        <v>6</v>
      </c>
      <c r="B18" s="1780"/>
      <c r="C18" s="1780"/>
      <c r="D18" s="1780"/>
      <c r="E18" s="1782"/>
    </row>
    <row r="19" spans="1:5">
      <c r="A19" s="237">
        <v>7</v>
      </c>
      <c r="B19" s="1780" t="s">
        <v>3470</v>
      </c>
      <c r="C19" s="1780" t="s">
        <v>5011</v>
      </c>
      <c r="D19" s="1780"/>
      <c r="E19" s="1782">
        <v>13078</v>
      </c>
    </row>
    <row r="20" spans="1:5">
      <c r="A20" s="237">
        <v>8</v>
      </c>
      <c r="B20" s="1780"/>
      <c r="C20" s="1780"/>
      <c r="D20" s="1780"/>
      <c r="E20" s="1782"/>
    </row>
    <row r="21" spans="1:5">
      <c r="A21" s="237">
        <v>9</v>
      </c>
      <c r="B21" s="1780" t="s">
        <v>1654</v>
      </c>
      <c r="C21" s="1780" t="s">
        <v>5012</v>
      </c>
      <c r="D21" s="1780"/>
      <c r="E21" s="1782">
        <v>68709</v>
      </c>
    </row>
    <row r="22" spans="1:5">
      <c r="A22" s="237">
        <v>10</v>
      </c>
      <c r="B22" s="1780"/>
      <c r="C22" s="1780" t="s">
        <v>5010</v>
      </c>
      <c r="D22" s="1780"/>
      <c r="E22" s="1782">
        <v>8533</v>
      </c>
    </row>
    <row r="23" spans="1:5">
      <c r="A23" s="237">
        <v>11</v>
      </c>
      <c r="B23" s="1780"/>
      <c r="C23" s="1780"/>
      <c r="D23" s="1780"/>
      <c r="E23" s="1782"/>
    </row>
    <row r="24" spans="1:5">
      <c r="A24" s="237">
        <v>12</v>
      </c>
      <c r="B24" s="1780" t="s">
        <v>5441</v>
      </c>
      <c r="C24" s="1780" t="s">
        <v>5018</v>
      </c>
      <c r="D24" s="1780"/>
      <c r="E24" s="1782">
        <v>17066</v>
      </c>
    </row>
    <row r="25" spans="1:5">
      <c r="A25" s="237">
        <v>13</v>
      </c>
      <c r="B25" s="1780"/>
      <c r="C25" s="1780" t="s">
        <v>5010</v>
      </c>
      <c r="D25" s="1780"/>
      <c r="E25" s="1782">
        <v>46</v>
      </c>
    </row>
    <row r="26" spans="1:5">
      <c r="A26" s="237">
        <v>14</v>
      </c>
      <c r="B26" s="1780"/>
      <c r="C26" s="1780"/>
      <c r="D26" s="1780"/>
      <c r="E26" s="1782"/>
    </row>
    <row r="27" spans="1:5">
      <c r="A27" s="237">
        <v>15</v>
      </c>
      <c r="B27" s="1780" t="s">
        <v>4830</v>
      </c>
      <c r="C27" s="1780" t="s">
        <v>5010</v>
      </c>
      <c r="D27" s="1780"/>
      <c r="E27" s="1782">
        <v>27630</v>
      </c>
    </row>
    <row r="28" spans="1:5">
      <c r="A28" s="237">
        <v>16</v>
      </c>
      <c r="B28" s="1780"/>
      <c r="C28" s="1780"/>
      <c r="D28" s="1780"/>
      <c r="E28" s="1782"/>
    </row>
    <row r="29" spans="1:5">
      <c r="A29" s="237">
        <v>17</v>
      </c>
      <c r="B29" s="1780" t="s">
        <v>3490</v>
      </c>
      <c r="C29" s="1780" t="s">
        <v>5236</v>
      </c>
      <c r="D29" s="1780"/>
      <c r="E29" s="1782">
        <v>118378</v>
      </c>
    </row>
    <row r="30" spans="1:5">
      <c r="A30" s="237">
        <v>18</v>
      </c>
      <c r="B30" s="1780"/>
      <c r="C30" s="1780" t="s">
        <v>5237</v>
      </c>
      <c r="D30" s="1780"/>
      <c r="E30" s="1782">
        <v>482902</v>
      </c>
    </row>
    <row r="31" spans="1:5">
      <c r="A31" s="237">
        <v>19</v>
      </c>
      <c r="B31" s="1780"/>
      <c r="C31" s="1780" t="s">
        <v>5442</v>
      </c>
      <c r="D31" s="1780"/>
      <c r="E31" s="1782">
        <v>183645</v>
      </c>
    </row>
    <row r="32" spans="1:5">
      <c r="A32" s="237">
        <v>20</v>
      </c>
      <c r="B32" s="1780"/>
      <c r="C32" s="1780" t="s">
        <v>5010</v>
      </c>
      <c r="D32" s="1780"/>
      <c r="E32" s="1782">
        <v>8292</v>
      </c>
    </row>
    <row r="33" spans="1:5">
      <c r="A33" s="237">
        <v>21</v>
      </c>
      <c r="B33" s="1780"/>
      <c r="C33" s="1780"/>
      <c r="D33" s="1780"/>
      <c r="E33" s="1782"/>
    </row>
    <row r="34" spans="1:5">
      <c r="A34" s="237">
        <v>22</v>
      </c>
      <c r="B34" s="1780" t="s">
        <v>1748</v>
      </c>
      <c r="C34" s="1780" t="s">
        <v>4718</v>
      </c>
      <c r="D34" s="1780"/>
      <c r="E34" s="1782">
        <f>25978326+1</f>
        <v>25978327</v>
      </c>
    </row>
    <row r="35" spans="1:5">
      <c r="A35" s="237">
        <v>23</v>
      </c>
      <c r="B35" s="1780"/>
      <c r="C35" s="1780" t="s">
        <v>4719</v>
      </c>
      <c r="D35" s="1780"/>
      <c r="E35" s="1782">
        <v>330415</v>
      </c>
    </row>
    <row r="36" spans="1:5">
      <c r="A36" s="237">
        <v>24</v>
      </c>
      <c r="B36" s="1780"/>
      <c r="C36" s="1780" t="s">
        <v>4730</v>
      </c>
      <c r="D36" s="1780"/>
      <c r="E36" s="1782">
        <v>15996</v>
      </c>
    </row>
    <row r="37" spans="1:5">
      <c r="A37" s="237">
        <v>25</v>
      </c>
      <c r="B37" s="1780"/>
      <c r="C37" s="1780" t="s">
        <v>5014</v>
      </c>
      <c r="D37" s="1780"/>
      <c r="E37" s="1782">
        <v>25774</v>
      </c>
    </row>
    <row r="38" spans="1:5">
      <c r="A38" s="237">
        <v>26</v>
      </c>
      <c r="B38" s="1780"/>
      <c r="C38" s="1780" t="s">
        <v>5013</v>
      </c>
      <c r="D38" s="1780"/>
      <c r="E38" s="1782">
        <v>17113</v>
      </c>
    </row>
    <row r="39" spans="1:5">
      <c r="A39" s="237">
        <v>27</v>
      </c>
      <c r="B39" s="1780"/>
      <c r="C39" s="1780" t="s">
        <v>5015</v>
      </c>
      <c r="D39" s="1780"/>
      <c r="E39" s="1782">
        <v>34358</v>
      </c>
    </row>
    <row r="40" spans="1:5">
      <c r="A40" s="237">
        <v>28</v>
      </c>
      <c r="B40" s="1780"/>
      <c r="C40" s="1780" t="s">
        <v>5238</v>
      </c>
      <c r="D40" s="1780"/>
      <c r="E40" s="1782">
        <v>779349</v>
      </c>
    </row>
    <row r="41" spans="1:5">
      <c r="A41" s="237">
        <v>29</v>
      </c>
      <c r="B41" s="1780"/>
      <c r="C41" s="1780" t="s">
        <v>5239</v>
      </c>
      <c r="D41" s="1780"/>
      <c r="E41" s="1782">
        <v>688255</v>
      </c>
    </row>
    <row r="42" spans="1:5">
      <c r="A42" s="237">
        <v>30</v>
      </c>
      <c r="B42" s="1780"/>
      <c r="C42" s="1780" t="s">
        <v>5240</v>
      </c>
      <c r="D42" s="1780"/>
      <c r="E42" s="1782">
        <v>797569</v>
      </c>
    </row>
    <row r="43" spans="1:5">
      <c r="A43" s="237">
        <v>31</v>
      </c>
      <c r="B43" s="1780"/>
      <c r="C43" s="1780" t="s">
        <v>5241</v>
      </c>
      <c r="D43" s="1780"/>
      <c r="E43" s="1782">
        <v>374727</v>
      </c>
    </row>
    <row r="44" spans="1:5">
      <c r="A44" s="237">
        <v>32</v>
      </c>
      <c r="B44" s="1780"/>
      <c r="C44" s="1780" t="s">
        <v>5235</v>
      </c>
      <c r="D44" s="1780"/>
      <c r="E44" s="1782">
        <v>72215</v>
      </c>
    </row>
    <row r="45" spans="1:5">
      <c r="A45" s="237">
        <v>33</v>
      </c>
      <c r="B45" s="1780"/>
      <c r="C45" s="1780" t="s">
        <v>5443</v>
      </c>
      <c r="D45" s="1780"/>
      <c r="E45" s="1782">
        <v>43481</v>
      </c>
    </row>
    <row r="46" spans="1:5">
      <c r="A46" s="237">
        <v>34</v>
      </c>
      <c r="B46" s="1780"/>
      <c r="C46" s="1780" t="s">
        <v>5242</v>
      </c>
      <c r="D46" s="1780"/>
      <c r="E46" s="1782">
        <v>112615</v>
      </c>
    </row>
    <row r="47" spans="1:5">
      <c r="A47" s="237">
        <v>35</v>
      </c>
      <c r="B47" s="1780"/>
      <c r="C47" s="1780" t="s">
        <v>5243</v>
      </c>
      <c r="D47" s="1780"/>
      <c r="E47" s="1782">
        <v>64930</v>
      </c>
    </row>
    <row r="48" spans="1:5">
      <c r="A48" s="237">
        <v>36</v>
      </c>
      <c r="B48" s="1780"/>
      <c r="C48" s="1780" t="s">
        <v>5444</v>
      </c>
      <c r="D48" s="1780"/>
      <c r="E48" s="1782">
        <v>49622</v>
      </c>
    </row>
    <row r="49" spans="1:5">
      <c r="A49" s="237">
        <v>37</v>
      </c>
      <c r="B49" s="1780"/>
      <c r="C49" s="1780" t="s">
        <v>5244</v>
      </c>
      <c r="D49" s="1780"/>
      <c r="E49" s="1782">
        <v>99119</v>
      </c>
    </row>
    <row r="50" spans="1:5">
      <c r="A50" s="237">
        <v>38</v>
      </c>
      <c r="B50" s="1780"/>
      <c r="C50" s="1780" t="s">
        <v>5445</v>
      </c>
      <c r="D50" s="1780"/>
      <c r="E50" s="1782">
        <v>795956</v>
      </c>
    </row>
    <row r="51" spans="1:5">
      <c r="A51" s="237">
        <v>39</v>
      </c>
      <c r="B51" s="1780"/>
      <c r="C51" s="1780" t="s">
        <v>5446</v>
      </c>
      <c r="D51" s="1780"/>
      <c r="E51" s="1782">
        <v>20317</v>
      </c>
    </row>
    <row r="52" spans="1:5">
      <c r="A52" s="237">
        <v>40</v>
      </c>
      <c r="B52" s="1780"/>
      <c r="C52" s="1780" t="s">
        <v>5447</v>
      </c>
      <c r="D52" s="1780"/>
      <c r="E52" s="1782">
        <v>350429</v>
      </c>
    </row>
    <row r="53" spans="1:5">
      <c r="A53" s="237">
        <v>41</v>
      </c>
      <c r="B53" s="86"/>
      <c r="C53" s="1780" t="s">
        <v>5448</v>
      </c>
      <c r="D53" s="1780"/>
      <c r="E53" s="1782">
        <v>658003</v>
      </c>
    </row>
    <row r="54" spans="1:5">
      <c r="A54" s="237">
        <v>42</v>
      </c>
      <c r="B54" s="1780"/>
      <c r="C54" s="1780" t="s">
        <v>5449</v>
      </c>
      <c r="D54" s="1780"/>
      <c r="E54" s="1782">
        <v>715994</v>
      </c>
    </row>
    <row r="55" spans="1:5">
      <c r="A55" s="237">
        <v>43</v>
      </c>
      <c r="B55" s="86"/>
      <c r="C55" s="1780" t="s">
        <v>5450</v>
      </c>
      <c r="D55" s="1780"/>
      <c r="E55" s="1782">
        <v>619519</v>
      </c>
    </row>
    <row r="56" spans="1:5">
      <c r="A56" s="237">
        <v>44</v>
      </c>
      <c r="B56" s="1980"/>
      <c r="C56" s="1980"/>
      <c r="D56" s="1966"/>
      <c r="E56" s="1781"/>
    </row>
    <row r="57" spans="1:5">
      <c r="A57" s="237">
        <v>45</v>
      </c>
      <c r="B57" s="149"/>
      <c r="C57" s="98"/>
      <c r="D57" s="99"/>
      <c r="E57" s="441"/>
    </row>
    <row r="58" spans="1:5" ht="15.75" thickBot="1">
      <c r="A58" s="443">
        <v>46</v>
      </c>
      <c r="B58" s="444" t="s">
        <v>516</v>
      </c>
      <c r="C58" s="444"/>
      <c r="D58" s="113"/>
      <c r="E58" s="401">
        <f>SUM(E13:E57)</f>
        <v>35120892</v>
      </c>
    </row>
    <row r="59" spans="1:5">
      <c r="A59" t="s">
        <v>2024</v>
      </c>
      <c r="E59" s="136"/>
    </row>
    <row r="60" spans="1:5">
      <c r="A60" s="4" t="s">
        <v>4326</v>
      </c>
      <c r="B60" s="5"/>
      <c r="C60" s="5"/>
      <c r="D60" s="5"/>
      <c r="E60" s="406"/>
    </row>
    <row r="61" spans="1:5">
      <c r="A61" s="5"/>
      <c r="B61" s="5"/>
      <c r="C61" s="5"/>
      <c r="D61" s="5"/>
      <c r="E61" s="406"/>
    </row>
    <row r="62" spans="1:5">
      <c r="A62" s="86"/>
      <c r="B62" s="86"/>
      <c r="C62" s="86"/>
      <c r="D62" s="86"/>
      <c r="E62" s="404"/>
    </row>
    <row r="63" spans="1:5">
      <c r="A63" s="86"/>
      <c r="B63" s="86"/>
      <c r="C63" s="86"/>
      <c r="D63" s="86"/>
      <c r="E63" s="404"/>
    </row>
    <row r="64" spans="1:5">
      <c r="A64" s="86"/>
      <c r="B64" s="86"/>
      <c r="C64" s="86"/>
      <c r="D64" s="86"/>
      <c r="E64" s="404"/>
    </row>
    <row r="65" spans="1:5">
      <c r="A65" s="86"/>
      <c r="B65" s="86"/>
      <c r="C65" s="86"/>
      <c r="D65" s="86"/>
      <c r="E65" s="404"/>
    </row>
    <row r="66" spans="1:5">
      <c r="A66" s="86"/>
      <c r="B66" s="86"/>
      <c r="C66" s="86"/>
      <c r="D66" s="86"/>
      <c r="E66" s="404"/>
    </row>
    <row r="67" spans="1:5">
      <c r="A67" s="86"/>
      <c r="B67" s="86"/>
      <c r="C67" s="86"/>
      <c r="D67" s="86"/>
      <c r="E67" s="404"/>
    </row>
    <row r="68" spans="1:5">
      <c r="A68" s="86"/>
      <c r="B68" s="86"/>
      <c r="C68" s="86"/>
      <c r="D68" s="86"/>
      <c r="E68" s="404"/>
    </row>
    <row r="69" spans="1:5">
      <c r="A69" s="86"/>
      <c r="B69" s="86"/>
      <c r="C69" s="86"/>
      <c r="D69" s="86"/>
      <c r="E69" s="404"/>
    </row>
    <row r="70" spans="1:5">
      <c r="A70" s="86"/>
      <c r="B70" s="86"/>
      <c r="C70" s="86"/>
      <c r="D70" s="86"/>
      <c r="E70" s="404"/>
    </row>
    <row r="71" spans="1:5">
      <c r="A71" s="86"/>
      <c r="B71" s="86"/>
      <c r="C71" s="86"/>
      <c r="D71" s="86"/>
      <c r="E71" s="404"/>
    </row>
    <row r="72" spans="1:5">
      <c r="A72" s="86"/>
      <c r="B72" s="86"/>
      <c r="C72" s="86"/>
      <c r="D72" s="86"/>
      <c r="E72" s="404"/>
    </row>
    <row r="73" spans="1:5">
      <c r="A73" s="86"/>
      <c r="B73" s="86"/>
      <c r="C73" s="86"/>
      <c r="D73" s="86"/>
      <c r="E73" s="404"/>
    </row>
    <row r="74" spans="1:5">
      <c r="A74" s="86"/>
      <c r="B74" s="86"/>
      <c r="C74" s="86"/>
      <c r="D74" s="86"/>
      <c r="E74" s="404"/>
    </row>
    <row r="75" spans="1:5">
      <c r="A75" s="86"/>
      <c r="B75" s="86"/>
      <c r="C75" s="86"/>
      <c r="D75" s="86"/>
      <c r="E75" s="404"/>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6"/>
      <c r="B84" s="86"/>
      <c r="C84" s="86"/>
      <c r="D84" s="86"/>
      <c r="E84" s="86"/>
    </row>
    <row r="85" spans="1:5">
      <c r="A85" s="86"/>
      <c r="B85" s="86"/>
      <c r="C85" s="86"/>
      <c r="D85" s="86"/>
      <c r="E85" s="86"/>
    </row>
    <row r="86" spans="1:5">
      <c r="A86" s="86"/>
      <c r="B86" s="86"/>
      <c r="C86" s="86"/>
      <c r="D86" s="86"/>
      <c r="E86" s="404"/>
    </row>
    <row r="87" spans="1:5">
      <c r="A87" s="86"/>
      <c r="B87" s="86"/>
      <c r="C87" s="86"/>
      <c r="D87" s="86"/>
      <c r="E87" s="426"/>
    </row>
    <row r="88" spans="1:5">
      <c r="A88" s="86"/>
      <c r="B88" s="86"/>
      <c r="C88" s="86"/>
      <c r="D88" s="86"/>
      <c r="E88" s="426"/>
    </row>
    <row r="89" spans="1:5">
      <c r="A89" s="86"/>
      <c r="B89" s="86"/>
      <c r="C89" s="86"/>
      <c r="D89" s="86"/>
      <c r="E89" s="426"/>
    </row>
    <row r="90" spans="1:5">
      <c r="A90" s="86"/>
      <c r="B90" s="86"/>
      <c r="C90" s="86"/>
      <c r="D90" s="86"/>
      <c r="E90" s="426"/>
    </row>
    <row r="91" spans="1:5">
      <c r="A91" s="86"/>
      <c r="B91" s="86"/>
      <c r="C91" s="86"/>
      <c r="D91" s="86"/>
      <c r="E91" s="426"/>
    </row>
    <row r="92" spans="1:5">
      <c r="A92" s="86"/>
      <c r="B92" s="86"/>
      <c r="C92" s="86"/>
      <c r="D92" s="86"/>
      <c r="E92" s="426"/>
    </row>
    <row r="93" spans="1:5">
      <c r="A93" s="86"/>
      <c r="B93" s="86"/>
      <c r="C93" s="86"/>
      <c r="D93" s="86"/>
      <c r="E93" s="426"/>
    </row>
    <row r="94" spans="1:5">
      <c r="A94" s="86"/>
      <c r="B94" s="86"/>
      <c r="C94" s="86"/>
      <c r="D94" s="86"/>
      <c r="E94" s="426"/>
    </row>
    <row r="95" spans="1:5">
      <c r="A95" s="86"/>
      <c r="B95" s="86"/>
      <c r="C95" s="86"/>
      <c r="D95" s="86"/>
      <c r="E95" s="426"/>
    </row>
    <row r="96" spans="1:5">
      <c r="A96" s="86"/>
      <c r="B96" s="86"/>
      <c r="C96" s="86"/>
      <c r="D96" s="86"/>
      <c r="E96" s="426"/>
    </row>
    <row r="97" spans="1:5">
      <c r="A97" s="86"/>
      <c r="B97" s="86"/>
      <c r="C97" s="86"/>
      <c r="D97" s="86"/>
      <c r="E97" s="426"/>
    </row>
    <row r="98" spans="1:5">
      <c r="A98" s="86"/>
      <c r="B98" s="86"/>
      <c r="C98" s="86"/>
      <c r="D98" s="86"/>
      <c r="E98" s="426"/>
    </row>
    <row r="99" spans="1:5">
      <c r="A99" s="86"/>
      <c r="B99" s="86"/>
      <c r="C99" s="86"/>
      <c r="D99" s="86"/>
      <c r="E99" s="426"/>
    </row>
    <row r="100" spans="1:5">
      <c r="A100" s="86"/>
      <c r="B100" s="86"/>
      <c r="C100" s="86"/>
      <c r="D100" s="86"/>
      <c r="E100" s="426"/>
    </row>
    <row r="101" spans="1:5">
      <c r="A101" s="86"/>
      <c r="B101" s="86"/>
      <c r="C101" s="86"/>
      <c r="D101" s="86"/>
      <c r="E101" s="426"/>
    </row>
    <row r="102" spans="1:5">
      <c r="A102" s="86"/>
      <c r="B102" s="86"/>
      <c r="C102" s="86"/>
      <c r="D102" s="86"/>
      <c r="E102" s="426"/>
    </row>
    <row r="103" spans="1:5">
      <c r="A103" s="86"/>
      <c r="B103" s="86"/>
      <c r="C103" s="86"/>
      <c r="D103" s="86"/>
      <c r="E103" s="426"/>
    </row>
    <row r="104" spans="1:5">
      <c r="A104" s="86"/>
      <c r="B104" s="86"/>
      <c r="C104" s="86"/>
      <c r="D104" s="86"/>
      <c r="E104" s="426"/>
    </row>
    <row r="105" spans="1:5">
      <c r="A105" s="86"/>
      <c r="B105" s="86"/>
      <c r="C105" s="86"/>
      <c r="D105" s="86"/>
      <c r="E105" s="426"/>
    </row>
    <row r="106" spans="1:5">
      <c r="A106" s="86"/>
      <c r="B106" s="86"/>
      <c r="C106" s="86"/>
      <c r="D106" s="86"/>
      <c r="E106" s="426"/>
    </row>
    <row r="107" spans="1:5">
      <c r="A107" s="86"/>
      <c r="B107" s="86"/>
      <c r="C107" s="86"/>
      <c r="D107" s="86"/>
      <c r="E107" s="426"/>
    </row>
    <row r="108" spans="1:5">
      <c r="A108" s="86"/>
      <c r="B108" s="86"/>
      <c r="C108" s="86"/>
      <c r="D108" s="86"/>
      <c r="E108" s="426"/>
    </row>
    <row r="109" spans="1:5">
      <c r="A109" s="86"/>
      <c r="B109" s="86"/>
      <c r="C109" s="86"/>
      <c r="D109" s="86"/>
      <c r="E109" s="426"/>
    </row>
    <row r="110" spans="1:5">
      <c r="A110" s="86"/>
      <c r="B110" s="86"/>
      <c r="C110" s="86"/>
      <c r="D110" s="86"/>
      <c r="E110" s="426"/>
    </row>
    <row r="111" spans="1:5">
      <c r="A111" s="86"/>
      <c r="B111" s="86"/>
      <c r="C111" s="86"/>
      <c r="D111" s="86"/>
      <c r="E111" s="426"/>
    </row>
    <row r="112" spans="1:5">
      <c r="A112" s="86"/>
      <c r="B112" s="86"/>
      <c r="C112" s="86"/>
      <c r="D112" s="86"/>
      <c r="E112" s="426"/>
    </row>
    <row r="113" spans="1:5">
      <c r="A113" s="86"/>
      <c r="B113" s="86"/>
      <c r="C113" s="86"/>
      <c r="D113" s="86"/>
      <c r="E113" s="426"/>
    </row>
    <row r="114" spans="1:5">
      <c r="A114" s="86"/>
      <c r="B114" s="86"/>
      <c r="C114" s="86"/>
      <c r="D114" s="86"/>
      <c r="E114" s="426"/>
    </row>
    <row r="115" spans="1:5">
      <c r="A115" s="86"/>
      <c r="B115" s="86"/>
      <c r="C115" s="86"/>
      <c r="D115" s="86"/>
      <c r="E115" s="426"/>
    </row>
    <row r="116" spans="1:5">
      <c r="A116" s="86"/>
      <c r="B116" s="86"/>
      <c r="C116" s="239"/>
      <c r="D116" s="86"/>
      <c r="E116" s="426"/>
    </row>
    <row r="117" spans="1:5">
      <c r="A117" s="86"/>
      <c r="B117" s="86"/>
      <c r="C117" s="86"/>
      <c r="D117" s="86"/>
      <c r="E117" s="426"/>
    </row>
    <row r="118" spans="1:5">
      <c r="A118" s="86"/>
      <c r="B118" s="86"/>
      <c r="C118" s="86"/>
      <c r="D118" s="86"/>
      <c r="E118" s="426"/>
    </row>
    <row r="119" spans="1:5">
      <c r="A119" s="86"/>
      <c r="B119" s="86"/>
      <c r="C119" s="86"/>
      <c r="D119" s="86"/>
      <c r="E119" s="426"/>
    </row>
    <row r="120" spans="1:5">
      <c r="A120" s="86"/>
      <c r="B120" s="86"/>
      <c r="C120" s="86"/>
      <c r="D120" s="86"/>
      <c r="E120" s="426"/>
    </row>
    <row r="121" spans="1:5">
      <c r="A121" s="86"/>
      <c r="B121" s="86"/>
      <c r="C121" s="86"/>
      <c r="D121" s="86"/>
      <c r="E121" s="426"/>
    </row>
    <row r="122" spans="1:5">
      <c r="A122" s="86"/>
      <c r="B122" s="86"/>
      <c r="C122" s="86"/>
      <c r="D122" s="86"/>
      <c r="E122" s="426"/>
    </row>
    <row r="123" spans="1:5">
      <c r="A123" s="86"/>
      <c r="B123" s="86"/>
      <c r="C123" s="86"/>
      <c r="D123" s="86"/>
      <c r="E123" s="426"/>
    </row>
    <row r="124" spans="1:5">
      <c r="A124" s="86"/>
      <c r="B124" s="86"/>
      <c r="C124" s="86"/>
      <c r="D124" s="86"/>
      <c r="E124" s="426"/>
    </row>
    <row r="125" spans="1:5">
      <c r="A125" s="86"/>
      <c r="B125" s="86"/>
      <c r="C125" s="86"/>
      <c r="D125" s="86"/>
      <c r="E125" s="426"/>
    </row>
    <row r="126" spans="1:5">
      <c r="A126" s="86"/>
      <c r="B126" s="86"/>
      <c r="C126" s="86"/>
      <c r="D126" s="86"/>
      <c r="E126" s="426"/>
    </row>
    <row r="127" spans="1:5">
      <c r="A127" s="86"/>
      <c r="B127" s="86"/>
      <c r="C127" s="86"/>
      <c r="D127" s="86"/>
      <c r="E127" s="426"/>
    </row>
  </sheetData>
  <phoneticPr fontId="0" type="noConversion"/>
  <pageMargins left="0.4" right="0.4" top="0.3" bottom="0.3" header="0.5" footer="0.5"/>
  <pageSetup scale="78" orientation="portrait" r:id="rId1"/>
  <headerFooter alignWithMargins="0"/>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codeName="Sheet21"/>
  <dimension ref="A1:F126"/>
  <sheetViews>
    <sheetView defaultGridColor="0" colorId="22" zoomScaleNormal="100" workbookViewId="0">
      <pane xSplit="4" ySplit="12" topLeftCell="E13" activePane="bottomRight" state="frozen"/>
      <selection activeCell="G55" sqref="G55:H60"/>
      <selection pane="topRight" activeCell="G55" sqref="G55:H60"/>
      <selection pane="bottomLeft" activeCell="G55" sqref="G55:H60"/>
      <selection pane="bottomRight" activeCell="D20" sqref="D20"/>
    </sheetView>
  </sheetViews>
  <sheetFormatPr defaultColWidth="9.77734375" defaultRowHeight="15"/>
  <cols>
    <col min="1" max="1" width="4.77734375" customWidth="1"/>
    <col min="2" max="2" width="21.77734375" customWidth="1"/>
    <col min="3" max="3" width="28.77734375" customWidth="1"/>
    <col min="4" max="5" width="20.77734375" customWidth="1"/>
    <col min="6" max="6" width="12.44140625" bestFit="1" customWidth="1"/>
  </cols>
  <sheetData>
    <row r="1" spans="1:6" ht="15.75" thickBot="1">
      <c r="A1" t="str">
        <f>'Data sheet'!A57</f>
        <v>Annual Report of Veolia Water New York, Inc.                                              Year Ended  December 31, 2023</v>
      </c>
    </row>
    <row r="2" spans="1:6">
      <c r="A2" s="129"/>
      <c r="B2" s="130"/>
      <c r="C2" s="130"/>
      <c r="D2" s="130"/>
      <c r="E2" s="131"/>
    </row>
    <row r="3" spans="1:6" ht="15.75">
      <c r="A3" s="118" t="s">
        <v>771</v>
      </c>
      <c r="B3" s="5"/>
      <c r="C3" s="5"/>
      <c r="D3" s="5"/>
      <c r="E3" s="132"/>
    </row>
    <row r="4" spans="1:6">
      <c r="A4" s="97"/>
      <c r="B4" s="98"/>
      <c r="C4" s="98"/>
      <c r="D4" s="128"/>
      <c r="E4" s="225"/>
    </row>
    <row r="5" spans="1:6">
      <c r="A5" s="85"/>
      <c r="B5" s="86"/>
      <c r="C5" s="86"/>
      <c r="D5" s="86"/>
      <c r="E5" s="87"/>
    </row>
    <row r="6" spans="1:6">
      <c r="A6" s="85" t="s">
        <v>1563</v>
      </c>
      <c r="B6" s="86"/>
      <c r="C6" s="86"/>
      <c r="D6" s="86"/>
      <c r="E6" s="87"/>
    </row>
    <row r="7" spans="1:6">
      <c r="A7" s="85" t="s">
        <v>3146</v>
      </c>
      <c r="B7" s="86"/>
      <c r="C7" s="86"/>
      <c r="D7" s="86"/>
      <c r="E7" s="87"/>
    </row>
    <row r="8" spans="1:6">
      <c r="A8" s="85" t="s">
        <v>3147</v>
      </c>
      <c r="B8" s="86"/>
      <c r="C8" s="86"/>
      <c r="D8" s="86"/>
      <c r="E8" s="87"/>
    </row>
    <row r="9" spans="1:6">
      <c r="A9" s="97"/>
      <c r="B9" s="98"/>
      <c r="C9" s="98"/>
      <c r="D9" s="98"/>
      <c r="E9" s="101"/>
    </row>
    <row r="10" spans="1:6">
      <c r="A10" s="226"/>
      <c r="B10" s="90"/>
      <c r="C10" s="90"/>
      <c r="D10" s="91"/>
      <c r="E10" s="428" t="s">
        <v>4323</v>
      </c>
    </row>
    <row r="11" spans="1:6">
      <c r="A11" s="237" t="s">
        <v>1727</v>
      </c>
      <c r="C11" s="94" t="s">
        <v>4324</v>
      </c>
      <c r="D11" s="440"/>
      <c r="E11" s="428" t="s">
        <v>4325</v>
      </c>
    </row>
    <row r="12" spans="1:6">
      <c r="A12" s="240" t="s">
        <v>1739</v>
      </c>
      <c r="B12" s="133" t="s">
        <v>3279</v>
      </c>
      <c r="C12" s="121"/>
      <c r="D12" s="366"/>
      <c r="E12" s="424" t="s">
        <v>3280</v>
      </c>
    </row>
    <row r="13" spans="1:6">
      <c r="A13" s="237">
        <v>1</v>
      </c>
      <c r="B13" s="1780" t="s">
        <v>5451</v>
      </c>
      <c r="C13" s="1780" t="s">
        <v>5452</v>
      </c>
      <c r="D13" s="2128"/>
      <c r="E13" s="1781">
        <v>56972</v>
      </c>
    </row>
    <row r="14" spans="1:6">
      <c r="A14" s="237">
        <v>2</v>
      </c>
      <c r="B14" s="1780"/>
      <c r="C14" s="1780" t="s">
        <v>5010</v>
      </c>
      <c r="D14" s="2128"/>
      <c r="E14" s="1782">
        <v>17387</v>
      </c>
      <c r="F14" s="1592"/>
    </row>
    <row r="15" spans="1:6">
      <c r="A15" s="237">
        <v>3</v>
      </c>
      <c r="B15" s="1780"/>
      <c r="C15" s="1780"/>
      <c r="D15" s="2128"/>
      <c r="E15" s="1782"/>
      <c r="F15" s="1592"/>
    </row>
    <row r="16" spans="1:6">
      <c r="A16" s="237">
        <v>4</v>
      </c>
      <c r="B16" s="1780" t="s">
        <v>4758</v>
      </c>
      <c r="C16" s="1780" t="s">
        <v>5010</v>
      </c>
      <c r="D16" s="1780"/>
      <c r="E16" s="1782">
        <v>-429</v>
      </c>
      <c r="F16" s="1592"/>
    </row>
    <row r="17" spans="1:6">
      <c r="A17" s="237">
        <v>5</v>
      </c>
      <c r="B17" s="1780"/>
      <c r="C17" s="1780"/>
      <c r="D17" s="1780"/>
      <c r="E17" s="1782"/>
      <c r="F17" s="1592"/>
    </row>
    <row r="18" spans="1:6">
      <c r="A18" s="237">
        <v>6</v>
      </c>
      <c r="B18" s="1780" t="s">
        <v>2164</v>
      </c>
      <c r="C18" s="1780" t="s">
        <v>5010</v>
      </c>
      <c r="D18" s="1780"/>
      <c r="E18" s="1782">
        <v>8689</v>
      </c>
      <c r="F18" s="1592"/>
    </row>
    <row r="19" spans="1:6">
      <c r="A19" s="237">
        <v>7</v>
      </c>
      <c r="B19" s="1780"/>
      <c r="C19" s="1780"/>
      <c r="D19" s="1780"/>
      <c r="E19" s="1782"/>
      <c r="F19" s="1592"/>
    </row>
    <row r="20" spans="1:6">
      <c r="A20" s="237">
        <v>8</v>
      </c>
      <c r="B20" s="1780" t="s">
        <v>1301</v>
      </c>
      <c r="C20" s="1780" t="s">
        <v>4768</v>
      </c>
      <c r="D20" s="1780"/>
      <c r="E20" s="1782">
        <v>56727</v>
      </c>
      <c r="F20" s="1592"/>
    </row>
    <row r="21" spans="1:6">
      <c r="A21" s="237">
        <v>9</v>
      </c>
      <c r="B21" s="1780"/>
      <c r="C21" s="1780" t="s">
        <v>4769</v>
      </c>
      <c r="D21" s="1780"/>
      <c r="E21" s="1782">
        <v>15801</v>
      </c>
      <c r="F21" s="1592"/>
    </row>
    <row r="22" spans="1:6">
      <c r="A22" s="237">
        <v>10</v>
      </c>
      <c r="B22" s="1780"/>
      <c r="C22" s="1780" t="s">
        <v>5248</v>
      </c>
      <c r="D22" s="1780"/>
      <c r="E22" s="1782">
        <v>806332</v>
      </c>
      <c r="F22" s="1592"/>
    </row>
    <row r="23" spans="1:6">
      <c r="A23" s="237">
        <v>11</v>
      </c>
      <c r="B23" s="1780"/>
      <c r="C23" s="1780" t="s">
        <v>5249</v>
      </c>
      <c r="D23" s="1780"/>
      <c r="E23" s="1782">
        <v>170252</v>
      </c>
      <c r="F23" s="1592"/>
    </row>
    <row r="24" spans="1:6">
      <c r="A24" s="237">
        <v>12</v>
      </c>
      <c r="B24" s="1780"/>
      <c r="C24" s="1780" t="s">
        <v>5453</v>
      </c>
      <c r="D24" s="1780"/>
      <c r="E24" s="1782">
        <v>152139</v>
      </c>
      <c r="F24" s="1592"/>
    </row>
    <row r="25" spans="1:6">
      <c r="A25" s="237">
        <v>13</v>
      </c>
      <c r="B25" s="1780"/>
      <c r="C25" s="1780" t="s">
        <v>5454</v>
      </c>
      <c r="D25" s="1780"/>
      <c r="E25" s="1782">
        <v>10008</v>
      </c>
      <c r="F25" s="1592"/>
    </row>
    <row r="26" spans="1:6">
      <c r="A26" s="237">
        <v>14</v>
      </c>
      <c r="B26" s="1780"/>
      <c r="C26" s="1780" t="s">
        <v>5010</v>
      </c>
      <c r="D26" s="1780"/>
      <c r="E26" s="1782">
        <v>14413</v>
      </c>
      <c r="F26" s="1592"/>
    </row>
    <row r="27" spans="1:6">
      <c r="A27" s="237">
        <v>15</v>
      </c>
      <c r="B27" s="1780"/>
      <c r="C27" s="1780"/>
      <c r="D27" s="1780"/>
      <c r="E27" s="1782"/>
      <c r="F27" s="1592"/>
    </row>
    <row r="28" spans="1:6">
      <c r="A28" s="237">
        <v>16</v>
      </c>
      <c r="B28" s="1780" t="s">
        <v>5455</v>
      </c>
      <c r="C28" s="1780" t="s">
        <v>5456</v>
      </c>
      <c r="D28" s="1780"/>
      <c r="E28" s="1782">
        <v>12765</v>
      </c>
      <c r="F28" s="1592"/>
    </row>
    <row r="29" spans="1:6">
      <c r="A29" s="237">
        <v>17</v>
      </c>
      <c r="B29" s="1780"/>
      <c r="C29" s="1780" t="s">
        <v>5457</v>
      </c>
      <c r="D29" s="1780"/>
      <c r="E29" s="1782">
        <v>112910</v>
      </c>
      <c r="F29" s="1592"/>
    </row>
    <row r="30" spans="1:6">
      <c r="A30" s="237">
        <v>18</v>
      </c>
      <c r="B30" s="1780"/>
      <c r="C30" s="1780" t="s">
        <v>5010</v>
      </c>
      <c r="D30" s="1780"/>
      <c r="E30" s="1782">
        <v>10955</v>
      </c>
      <c r="F30" s="1592"/>
    </row>
    <row r="31" spans="1:6">
      <c r="A31" s="237">
        <v>19</v>
      </c>
      <c r="B31" s="1780"/>
      <c r="C31" s="1780"/>
      <c r="D31" s="1780"/>
      <c r="E31" s="1782"/>
      <c r="F31" s="1592"/>
    </row>
    <row r="32" spans="1:6">
      <c r="A32" s="237">
        <v>20</v>
      </c>
      <c r="B32" s="1780" t="s">
        <v>2838</v>
      </c>
      <c r="C32" s="1780" t="s">
        <v>4770</v>
      </c>
      <c r="D32" s="1780"/>
      <c r="E32" s="1782">
        <v>61312</v>
      </c>
      <c r="F32" s="1592"/>
    </row>
    <row r="33" spans="1:6">
      <c r="A33" s="237">
        <v>21</v>
      </c>
      <c r="B33" s="1780"/>
      <c r="C33" s="1780" t="s">
        <v>5458</v>
      </c>
      <c r="D33" s="1780"/>
      <c r="E33" s="1782">
        <v>35804</v>
      </c>
      <c r="F33" s="1592"/>
    </row>
    <row r="34" spans="1:6">
      <c r="A34" s="237">
        <v>22</v>
      </c>
      <c r="B34" s="1780"/>
      <c r="C34" s="1780" t="s">
        <v>5010</v>
      </c>
      <c r="D34" s="1780"/>
      <c r="E34" s="1782">
        <v>15032</v>
      </c>
      <c r="F34" s="1592"/>
    </row>
    <row r="35" spans="1:6">
      <c r="A35" s="237">
        <v>23</v>
      </c>
      <c r="B35" s="1780"/>
      <c r="C35" s="1780"/>
      <c r="D35" s="1780"/>
      <c r="E35" s="1782"/>
      <c r="F35" s="1592"/>
    </row>
    <row r="36" spans="1:6">
      <c r="A36" s="237">
        <v>24</v>
      </c>
      <c r="B36" s="1780" t="s">
        <v>4720</v>
      </c>
      <c r="C36" s="1780" t="s">
        <v>5459</v>
      </c>
      <c r="D36" s="1780"/>
      <c r="E36" s="1782">
        <v>44671</v>
      </c>
      <c r="F36" s="1592"/>
    </row>
    <row r="37" spans="1:6">
      <c r="A37" s="237">
        <v>25</v>
      </c>
      <c r="B37" s="1780"/>
      <c r="C37" s="1780" t="s">
        <v>5010</v>
      </c>
      <c r="D37" s="1780"/>
      <c r="E37" s="1782">
        <v>7498</v>
      </c>
      <c r="F37" s="1592"/>
    </row>
    <row r="38" spans="1:6">
      <c r="A38" s="237">
        <v>26</v>
      </c>
      <c r="B38" s="1780"/>
      <c r="C38" s="1780"/>
      <c r="D38" s="1780"/>
      <c r="E38" s="1782"/>
      <c r="F38" s="1592"/>
    </row>
    <row r="39" spans="1:6">
      <c r="A39" s="237">
        <v>27</v>
      </c>
      <c r="B39" s="1780" t="s">
        <v>4748</v>
      </c>
      <c r="C39" s="1780" t="s">
        <v>4766</v>
      </c>
      <c r="D39" s="1780"/>
      <c r="E39" s="1782">
        <v>2135205</v>
      </c>
      <c r="F39" s="1592"/>
    </row>
    <row r="40" spans="1:6">
      <c r="A40" s="237">
        <v>28</v>
      </c>
      <c r="B40" s="1780"/>
      <c r="C40" s="1780" t="s">
        <v>4767</v>
      </c>
      <c r="D40" s="1780"/>
      <c r="E40" s="1782">
        <v>2951261</v>
      </c>
      <c r="F40" s="1592"/>
    </row>
    <row r="41" spans="1:6">
      <c r="A41" s="237">
        <v>29</v>
      </c>
      <c r="B41" s="1780"/>
      <c r="C41" s="1780" t="s">
        <v>5017</v>
      </c>
      <c r="D41" s="1780"/>
      <c r="E41" s="1782">
        <v>196734</v>
      </c>
      <c r="F41" s="1592"/>
    </row>
    <row r="42" spans="1:6">
      <c r="A42" s="237">
        <v>30</v>
      </c>
      <c r="B42" s="1780"/>
      <c r="C42" s="1780" t="s">
        <v>5246</v>
      </c>
      <c r="D42" s="1780"/>
      <c r="E42" s="1782">
        <v>81900</v>
      </c>
      <c r="F42" s="1592"/>
    </row>
    <row r="43" spans="1:6">
      <c r="A43" s="237">
        <v>31</v>
      </c>
      <c r="B43" s="1780"/>
      <c r="C43" s="1780" t="s">
        <v>5460</v>
      </c>
      <c r="D43" s="1780"/>
      <c r="E43" s="1782">
        <v>15495</v>
      </c>
      <c r="F43" s="1592"/>
    </row>
    <row r="44" spans="1:6">
      <c r="A44" s="237">
        <v>32</v>
      </c>
      <c r="B44" s="1780"/>
      <c r="C44" s="1780" t="s">
        <v>5461</v>
      </c>
      <c r="D44" s="1780"/>
      <c r="E44" s="1782">
        <v>12411</v>
      </c>
      <c r="F44" s="1592"/>
    </row>
    <row r="45" spans="1:6">
      <c r="A45" s="237">
        <v>33</v>
      </c>
      <c r="B45" s="1780"/>
      <c r="C45" s="1780" t="s">
        <v>5462</v>
      </c>
      <c r="D45" s="1780"/>
      <c r="E45" s="1782">
        <v>100535</v>
      </c>
      <c r="F45" s="1592"/>
    </row>
    <row r="46" spans="1:6">
      <c r="A46" s="237">
        <v>34</v>
      </c>
      <c r="B46" s="1780"/>
      <c r="C46" s="1780" t="s">
        <v>5463</v>
      </c>
      <c r="D46" s="1780"/>
      <c r="E46" s="1782">
        <v>25550</v>
      </c>
      <c r="F46" s="1592"/>
    </row>
    <row r="47" spans="1:6">
      <c r="A47" s="237">
        <v>35</v>
      </c>
      <c r="B47" s="1780"/>
      <c r="C47" s="1780" t="s">
        <v>5464</v>
      </c>
      <c r="D47" s="1780"/>
      <c r="E47" s="1782">
        <v>222259</v>
      </c>
      <c r="F47" s="1592"/>
    </row>
    <row r="48" spans="1:6">
      <c r="A48" s="237">
        <v>36</v>
      </c>
      <c r="B48" s="1780"/>
      <c r="C48" s="1780" t="s">
        <v>5010</v>
      </c>
      <c r="D48" s="1780"/>
      <c r="E48" s="1782">
        <v>78080</v>
      </c>
      <c r="F48" s="1592"/>
    </row>
    <row r="49" spans="1:6">
      <c r="A49" s="237">
        <v>37</v>
      </c>
      <c r="B49" s="1780"/>
      <c r="C49" s="1780"/>
      <c r="D49" s="1780"/>
      <c r="E49" s="1782"/>
      <c r="F49" s="1592"/>
    </row>
    <row r="50" spans="1:6">
      <c r="A50" s="237">
        <v>38</v>
      </c>
      <c r="B50" s="1780" t="s">
        <v>2873</v>
      </c>
      <c r="C50" s="1780" t="s">
        <v>5010</v>
      </c>
      <c r="D50" s="1780"/>
      <c r="E50" s="1782">
        <v>3068</v>
      </c>
      <c r="F50" s="1592"/>
    </row>
    <row r="51" spans="1:6">
      <c r="A51" s="237">
        <v>39</v>
      </c>
      <c r="B51" s="1780"/>
      <c r="C51" s="1780"/>
      <c r="D51" s="1780"/>
      <c r="E51" s="1782"/>
      <c r="F51" s="1592"/>
    </row>
    <row r="52" spans="1:6">
      <c r="A52" s="237">
        <v>40</v>
      </c>
      <c r="B52" s="1780" t="s">
        <v>378</v>
      </c>
      <c r="C52" s="1780" t="s">
        <v>4771</v>
      </c>
      <c r="D52" s="1780"/>
      <c r="E52" s="1782">
        <v>14632</v>
      </c>
      <c r="F52" s="1592"/>
    </row>
    <row r="53" spans="1:6">
      <c r="A53" s="237">
        <v>41</v>
      </c>
      <c r="B53" s="1780"/>
      <c r="C53" s="1780" t="s">
        <v>5019</v>
      </c>
      <c r="D53" s="1780"/>
      <c r="E53" s="1782">
        <v>110776</v>
      </c>
      <c r="F53" s="1592"/>
    </row>
    <row r="54" spans="1:6">
      <c r="A54" s="237">
        <v>42</v>
      </c>
      <c r="B54" s="86"/>
      <c r="C54" s="1780" t="s">
        <v>5465</v>
      </c>
      <c r="D54" s="1780"/>
      <c r="E54" s="1782">
        <v>36313</v>
      </c>
      <c r="F54" s="1592"/>
    </row>
    <row r="55" spans="1:6">
      <c r="A55" s="237">
        <v>43</v>
      </c>
      <c r="B55" s="1780"/>
      <c r="C55" s="1780" t="s">
        <v>5466</v>
      </c>
      <c r="D55" s="1780"/>
      <c r="E55" s="1782">
        <v>27421</v>
      </c>
    </row>
    <row r="56" spans="1:6">
      <c r="A56" s="237">
        <v>44</v>
      </c>
      <c r="B56" s="1780"/>
      <c r="C56" s="1780" t="s">
        <v>5467</v>
      </c>
      <c r="D56" s="1780"/>
      <c r="E56" s="1782">
        <v>11344</v>
      </c>
    </row>
    <row r="57" spans="1:6" ht="15.75" thickBot="1">
      <c r="A57" s="443">
        <v>45</v>
      </c>
      <c r="B57" s="444" t="s">
        <v>517</v>
      </c>
      <c r="C57" s="444"/>
      <c r="D57" s="113"/>
      <c r="E57" s="401">
        <f>SUM(E13:E56)</f>
        <v>7632222</v>
      </c>
    </row>
    <row r="58" spans="1:6">
      <c r="A58" t="s">
        <v>2024</v>
      </c>
      <c r="E58" s="136"/>
    </row>
    <row r="59" spans="1:6">
      <c r="A59" s="4" t="s">
        <v>3367</v>
      </c>
      <c r="B59" s="5"/>
      <c r="C59" s="5"/>
      <c r="D59" s="5"/>
      <c r="E59" s="406"/>
    </row>
    <row r="60" spans="1:6">
      <c r="A60" s="5"/>
      <c r="B60" s="5"/>
      <c r="C60" s="5"/>
      <c r="D60" s="5"/>
      <c r="E60" s="406"/>
    </row>
    <row r="61" spans="1:6">
      <c r="A61" s="86"/>
      <c r="B61" s="86"/>
      <c r="C61" s="86"/>
      <c r="D61" s="86"/>
      <c r="E61" s="404"/>
    </row>
    <row r="62" spans="1:6">
      <c r="A62" s="86"/>
      <c r="B62" s="86"/>
      <c r="C62" s="86"/>
      <c r="D62" s="86"/>
      <c r="E62" s="404"/>
    </row>
    <row r="63" spans="1:6">
      <c r="A63" s="86"/>
      <c r="B63" s="86"/>
      <c r="C63" s="86"/>
      <c r="D63" s="86"/>
      <c r="E63" s="404"/>
    </row>
    <row r="64" spans="1:6">
      <c r="A64" s="86"/>
      <c r="B64" s="86"/>
      <c r="C64" s="86"/>
      <c r="D64" s="86"/>
      <c r="E64" s="404"/>
    </row>
    <row r="65" spans="1:5">
      <c r="A65" s="86"/>
      <c r="B65" s="86"/>
      <c r="C65" s="86"/>
      <c r="D65" s="86"/>
      <c r="E65" s="404"/>
    </row>
    <row r="66" spans="1:5">
      <c r="A66" s="86"/>
      <c r="B66" s="86"/>
      <c r="C66" s="86"/>
      <c r="D66" s="86"/>
      <c r="E66" s="404"/>
    </row>
    <row r="67" spans="1:5">
      <c r="A67" s="86"/>
      <c r="B67" s="86"/>
      <c r="C67" s="86"/>
      <c r="D67" s="86"/>
      <c r="E67" s="404"/>
    </row>
    <row r="68" spans="1:5">
      <c r="A68" s="86"/>
      <c r="B68" s="86"/>
      <c r="C68" s="86"/>
      <c r="D68" s="86"/>
      <c r="E68" s="404"/>
    </row>
    <row r="69" spans="1:5">
      <c r="A69" s="86"/>
      <c r="B69" s="86"/>
      <c r="C69" s="86"/>
      <c r="D69" s="86"/>
      <c r="E69" s="404"/>
    </row>
    <row r="70" spans="1:5">
      <c r="A70" s="86"/>
      <c r="B70" s="86"/>
      <c r="C70" s="86"/>
      <c r="D70" s="86"/>
      <c r="E70" s="404"/>
    </row>
    <row r="71" spans="1:5">
      <c r="A71" s="86"/>
      <c r="B71" s="86"/>
      <c r="C71" s="86"/>
      <c r="D71" s="86"/>
      <c r="E71" s="404"/>
    </row>
    <row r="72" spans="1:5">
      <c r="A72" s="86"/>
      <c r="B72" s="86"/>
      <c r="C72" s="86"/>
      <c r="D72" s="86"/>
      <c r="E72" s="404"/>
    </row>
    <row r="73" spans="1:5">
      <c r="A73" s="86"/>
      <c r="B73" s="86"/>
      <c r="C73" s="86"/>
      <c r="D73" s="86"/>
      <c r="E73" s="404"/>
    </row>
    <row r="74" spans="1:5">
      <c r="A74" s="86"/>
      <c r="B74" s="86"/>
      <c r="C74" s="86"/>
      <c r="D74" s="86"/>
      <c r="E74" s="404"/>
    </row>
    <row r="75" spans="1:5">
      <c r="A75" s="86"/>
      <c r="B75" s="86"/>
      <c r="C75" s="86"/>
      <c r="D75" s="86"/>
      <c r="E75" s="404"/>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6"/>
      <c r="B84" s="86"/>
      <c r="C84" s="86"/>
      <c r="D84" s="86"/>
      <c r="E84" s="86"/>
    </row>
    <row r="85" spans="1:5">
      <c r="A85" s="86"/>
      <c r="B85" s="86"/>
      <c r="C85" s="86"/>
      <c r="D85" s="86"/>
      <c r="E85" s="404"/>
    </row>
    <row r="86" spans="1:5">
      <c r="A86" s="86"/>
      <c r="B86" s="86"/>
      <c r="C86" s="86"/>
      <c r="D86" s="86"/>
      <c r="E86" s="426"/>
    </row>
    <row r="87" spans="1:5">
      <c r="A87" s="86"/>
      <c r="B87" s="86"/>
      <c r="C87" s="86"/>
      <c r="D87" s="86"/>
      <c r="E87" s="426"/>
    </row>
    <row r="88" spans="1:5">
      <c r="A88" s="86"/>
      <c r="B88" s="86"/>
      <c r="C88" s="86"/>
      <c r="D88" s="86"/>
      <c r="E88" s="426"/>
    </row>
    <row r="89" spans="1:5">
      <c r="A89" s="86"/>
      <c r="B89" s="86"/>
      <c r="C89" s="86"/>
      <c r="D89" s="86"/>
      <c r="E89" s="426"/>
    </row>
    <row r="90" spans="1:5">
      <c r="A90" s="86"/>
      <c r="B90" s="86"/>
      <c r="C90" s="86"/>
      <c r="D90" s="86"/>
      <c r="E90" s="426"/>
    </row>
    <row r="91" spans="1:5">
      <c r="A91" s="86"/>
      <c r="B91" s="86"/>
      <c r="C91" s="86"/>
      <c r="D91" s="86"/>
      <c r="E91" s="426"/>
    </row>
    <row r="92" spans="1:5">
      <c r="A92" s="86"/>
      <c r="B92" s="86"/>
      <c r="C92" s="86"/>
      <c r="D92" s="86"/>
      <c r="E92" s="426"/>
    </row>
    <row r="93" spans="1:5">
      <c r="A93" s="86"/>
      <c r="B93" s="86"/>
      <c r="C93" s="86"/>
      <c r="D93" s="86"/>
      <c r="E93" s="426"/>
    </row>
    <row r="94" spans="1:5">
      <c r="A94" s="86"/>
      <c r="B94" s="86"/>
      <c r="C94" s="86"/>
      <c r="D94" s="86"/>
      <c r="E94" s="426"/>
    </row>
    <row r="95" spans="1:5">
      <c r="A95" s="86"/>
      <c r="B95" s="86"/>
      <c r="C95" s="86"/>
      <c r="D95" s="86"/>
      <c r="E95" s="426"/>
    </row>
    <row r="96" spans="1:5">
      <c r="A96" s="86"/>
      <c r="B96" s="86"/>
      <c r="C96" s="86"/>
      <c r="D96" s="86"/>
      <c r="E96" s="426"/>
    </row>
    <row r="97" spans="1:5">
      <c r="A97" s="86"/>
      <c r="B97" s="86"/>
      <c r="C97" s="86"/>
      <c r="D97" s="86"/>
      <c r="E97" s="426"/>
    </row>
    <row r="98" spans="1:5">
      <c r="A98" s="86"/>
      <c r="B98" s="86"/>
      <c r="C98" s="86"/>
      <c r="D98" s="86"/>
      <c r="E98" s="426"/>
    </row>
    <row r="99" spans="1:5">
      <c r="A99" s="86"/>
      <c r="B99" s="86"/>
      <c r="C99" s="86"/>
      <c r="D99" s="86"/>
      <c r="E99" s="426"/>
    </row>
    <row r="100" spans="1:5">
      <c r="A100" s="86"/>
      <c r="B100" s="86"/>
      <c r="C100" s="86"/>
      <c r="D100" s="86"/>
      <c r="E100" s="426"/>
    </row>
    <row r="101" spans="1:5">
      <c r="A101" s="86"/>
      <c r="B101" s="86"/>
      <c r="C101" s="86"/>
      <c r="D101" s="86"/>
      <c r="E101" s="426"/>
    </row>
    <row r="102" spans="1:5">
      <c r="A102" s="86"/>
      <c r="B102" s="86"/>
      <c r="C102" s="86"/>
      <c r="D102" s="86"/>
      <c r="E102" s="426"/>
    </row>
    <row r="103" spans="1:5">
      <c r="A103" s="86"/>
      <c r="B103" s="86"/>
      <c r="C103" s="86"/>
      <c r="D103" s="86"/>
      <c r="E103" s="426"/>
    </row>
    <row r="104" spans="1:5">
      <c r="A104" s="86"/>
      <c r="B104" s="86"/>
      <c r="C104" s="86"/>
      <c r="D104" s="86"/>
      <c r="E104" s="426"/>
    </row>
    <row r="105" spans="1:5">
      <c r="A105" s="86"/>
      <c r="B105" s="86"/>
      <c r="C105" s="86"/>
      <c r="D105" s="86"/>
      <c r="E105" s="426"/>
    </row>
    <row r="106" spans="1:5">
      <c r="A106" s="86"/>
      <c r="B106" s="86"/>
      <c r="C106" s="86"/>
      <c r="D106" s="86"/>
      <c r="E106" s="426"/>
    </row>
    <row r="107" spans="1:5">
      <c r="A107" s="86"/>
      <c r="B107" s="86"/>
      <c r="C107" s="86"/>
      <c r="D107" s="86"/>
      <c r="E107" s="426"/>
    </row>
    <row r="108" spans="1:5">
      <c r="A108" s="86"/>
      <c r="B108" s="86"/>
      <c r="C108" s="86"/>
      <c r="D108" s="86"/>
      <c r="E108" s="426"/>
    </row>
    <row r="109" spans="1:5">
      <c r="A109" s="86"/>
      <c r="B109" s="86"/>
      <c r="C109" s="86"/>
      <c r="D109" s="86"/>
      <c r="E109" s="426"/>
    </row>
    <row r="110" spans="1:5">
      <c r="A110" s="86"/>
      <c r="B110" s="86"/>
      <c r="C110" s="86"/>
      <c r="D110" s="86"/>
      <c r="E110" s="426"/>
    </row>
    <row r="111" spans="1:5">
      <c r="A111" s="86"/>
      <c r="B111" s="86"/>
      <c r="C111" s="86"/>
      <c r="D111" s="86"/>
      <c r="E111" s="426"/>
    </row>
    <row r="112" spans="1:5">
      <c r="A112" s="86"/>
      <c r="B112" s="86"/>
      <c r="C112" s="86"/>
      <c r="D112" s="86"/>
      <c r="E112" s="426"/>
    </row>
    <row r="113" spans="1:5">
      <c r="A113" s="86"/>
      <c r="B113" s="86"/>
      <c r="C113" s="86"/>
      <c r="D113" s="86"/>
      <c r="E113" s="426"/>
    </row>
    <row r="114" spans="1:5">
      <c r="A114" s="86"/>
      <c r="B114" s="86"/>
      <c r="C114" s="86"/>
      <c r="D114" s="86"/>
      <c r="E114" s="426"/>
    </row>
    <row r="115" spans="1:5">
      <c r="A115" s="86"/>
      <c r="B115" s="86"/>
      <c r="C115" s="239"/>
      <c r="D115" s="86"/>
      <c r="E115" s="426"/>
    </row>
    <row r="116" spans="1:5">
      <c r="A116" s="86"/>
      <c r="B116" s="86"/>
      <c r="C116" s="86"/>
      <c r="D116" s="86"/>
      <c r="E116" s="426"/>
    </row>
    <row r="117" spans="1:5">
      <c r="A117" s="86"/>
      <c r="B117" s="86"/>
      <c r="C117" s="86"/>
      <c r="D117" s="86"/>
      <c r="E117" s="426"/>
    </row>
    <row r="118" spans="1:5">
      <c r="A118" s="86"/>
      <c r="B118" s="86"/>
      <c r="C118" s="86"/>
      <c r="D118" s="86"/>
      <c r="E118" s="426"/>
    </row>
    <row r="119" spans="1:5">
      <c r="A119" s="86"/>
      <c r="B119" s="86"/>
      <c r="C119" s="86"/>
      <c r="D119" s="86"/>
      <c r="E119" s="426"/>
    </row>
    <row r="120" spans="1:5">
      <c r="A120" s="86"/>
      <c r="B120" s="86"/>
      <c r="C120" s="86"/>
      <c r="D120" s="86"/>
      <c r="E120" s="426"/>
    </row>
    <row r="121" spans="1:5">
      <c r="A121" s="86"/>
      <c r="B121" s="86"/>
      <c r="C121" s="86"/>
      <c r="D121" s="86"/>
      <c r="E121" s="426"/>
    </row>
    <row r="122" spans="1:5">
      <c r="A122" s="86"/>
      <c r="B122" s="86"/>
      <c r="C122" s="86"/>
      <c r="D122" s="86"/>
      <c r="E122" s="426"/>
    </row>
    <row r="123" spans="1:5">
      <c r="A123" s="86"/>
      <c r="B123" s="86"/>
      <c r="C123" s="86"/>
      <c r="D123" s="86"/>
      <c r="E123" s="426"/>
    </row>
    <row r="124" spans="1:5">
      <c r="A124" s="86"/>
      <c r="B124" s="86"/>
      <c r="C124" s="86"/>
      <c r="D124" s="86"/>
      <c r="E124" s="426"/>
    </row>
    <row r="125" spans="1:5">
      <c r="A125" s="86"/>
      <c r="B125" s="86"/>
      <c r="C125" s="86"/>
      <c r="D125" s="86"/>
      <c r="E125" s="426"/>
    </row>
    <row r="126" spans="1:5">
      <c r="A126" s="86"/>
      <c r="B126" s="86"/>
      <c r="C126" s="86"/>
      <c r="D126" s="86"/>
      <c r="E126" s="426"/>
    </row>
  </sheetData>
  <phoneticPr fontId="0" type="noConversion"/>
  <pageMargins left="0.4" right="0.4" top="0.3" bottom="0.3" header="0.5" footer="0.5"/>
  <pageSetup scale="8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codeName="Sheet22"/>
  <dimension ref="A1:G126"/>
  <sheetViews>
    <sheetView defaultGridColor="0" colorId="22" zoomScaleNormal="100" workbookViewId="0">
      <pane xSplit="4" ySplit="12" topLeftCell="E13" activePane="bottomRight" state="frozen"/>
      <selection activeCell="G55" sqref="G55:H60"/>
      <selection pane="topRight" activeCell="G55" sqref="G55:H60"/>
      <selection pane="bottomLeft" activeCell="G55" sqref="G55:H60"/>
      <selection pane="bottomRight" activeCell="F13" sqref="F13"/>
    </sheetView>
  </sheetViews>
  <sheetFormatPr defaultColWidth="9.77734375" defaultRowHeight="15"/>
  <cols>
    <col min="1" max="1" width="4.77734375" customWidth="1"/>
    <col min="2" max="2" width="21.77734375" customWidth="1"/>
    <col min="3" max="3" width="28.77734375" customWidth="1"/>
    <col min="4" max="5" width="20.77734375" customWidth="1"/>
    <col min="6" max="6" width="11.33203125" bestFit="1" customWidth="1"/>
    <col min="7" max="7" width="10.44140625" bestFit="1" customWidth="1"/>
  </cols>
  <sheetData>
    <row r="1" spans="1:6" ht="15.75" thickBot="1">
      <c r="A1" t="str">
        <f>'Data sheet'!A57</f>
        <v>Annual Report of Veolia Water New York, Inc.                                              Year Ended  December 31, 2023</v>
      </c>
    </row>
    <row r="2" spans="1:6">
      <c r="A2" s="129"/>
      <c r="B2" s="130"/>
      <c r="C2" s="130"/>
      <c r="D2" s="130"/>
      <c r="E2" s="131"/>
    </row>
    <row r="3" spans="1:6" ht="15.75">
      <c r="A3" s="118" t="s">
        <v>771</v>
      </c>
      <c r="B3" s="5"/>
      <c r="C3" s="5"/>
      <c r="D3" s="5"/>
      <c r="E3" s="132"/>
    </row>
    <row r="4" spans="1:6">
      <c r="A4" s="97"/>
      <c r="B4" s="98"/>
      <c r="C4" s="98"/>
      <c r="D4" s="128"/>
      <c r="E4" s="225"/>
    </row>
    <row r="5" spans="1:6">
      <c r="A5" s="85"/>
      <c r="B5" s="86"/>
      <c r="C5" s="86"/>
      <c r="D5" s="86"/>
      <c r="E5" s="87"/>
    </row>
    <row r="6" spans="1:6">
      <c r="A6" s="85" t="s">
        <v>1563</v>
      </c>
      <c r="B6" s="86"/>
      <c r="C6" s="86"/>
      <c r="D6" s="86"/>
      <c r="E6" s="87"/>
    </row>
    <row r="7" spans="1:6">
      <c r="A7" s="85" t="s">
        <v>3146</v>
      </c>
      <c r="B7" s="86"/>
      <c r="C7" s="86"/>
      <c r="D7" s="86"/>
      <c r="E7" s="87"/>
    </row>
    <row r="8" spans="1:6">
      <c r="A8" s="85" t="s">
        <v>3147</v>
      </c>
      <c r="B8" s="86"/>
      <c r="C8" s="86"/>
      <c r="D8" s="86"/>
      <c r="E8" s="87"/>
    </row>
    <row r="9" spans="1:6">
      <c r="A9" s="97"/>
      <c r="B9" s="98"/>
      <c r="C9" s="98"/>
      <c r="D9" s="98"/>
      <c r="E9" s="101"/>
    </row>
    <row r="10" spans="1:6">
      <c r="A10" s="226"/>
      <c r="B10" s="90"/>
      <c r="C10" s="90"/>
      <c r="D10" s="91"/>
      <c r="E10" s="428" t="s">
        <v>4323</v>
      </c>
    </row>
    <row r="11" spans="1:6">
      <c r="A11" s="237" t="s">
        <v>1727</v>
      </c>
      <c r="C11" s="94" t="s">
        <v>4324</v>
      </c>
      <c r="D11" s="440"/>
      <c r="E11" s="428" t="s">
        <v>4325</v>
      </c>
    </row>
    <row r="12" spans="1:6">
      <c r="A12" s="240" t="s">
        <v>1739</v>
      </c>
      <c r="B12" s="133" t="s">
        <v>3279</v>
      </c>
      <c r="C12" s="121"/>
      <c r="D12" s="366"/>
      <c r="E12" s="424" t="s">
        <v>3280</v>
      </c>
    </row>
    <row r="13" spans="1:6">
      <c r="A13" s="237">
        <v>1</v>
      </c>
      <c r="B13" s="1780" t="s">
        <v>5468</v>
      </c>
      <c r="C13" s="1780" t="s">
        <v>5469</v>
      </c>
      <c r="D13" s="1780"/>
      <c r="E13" s="1781">
        <v>22613</v>
      </c>
    </row>
    <row r="14" spans="1:6">
      <c r="A14" s="237">
        <v>2</v>
      </c>
      <c r="B14" s="1780"/>
      <c r="C14" s="1780" t="s">
        <v>5010</v>
      </c>
      <c r="D14" s="1780"/>
      <c r="E14" s="1782">
        <v>29948</v>
      </c>
    </row>
    <row r="15" spans="1:6">
      <c r="A15" s="237">
        <v>3</v>
      </c>
      <c r="B15" s="1780"/>
      <c r="C15" s="1780"/>
      <c r="D15" s="1780"/>
      <c r="E15" s="1782"/>
    </row>
    <row r="16" spans="1:6">
      <c r="A16" s="237">
        <v>4</v>
      </c>
      <c r="B16" s="1780" t="s">
        <v>2865</v>
      </c>
      <c r="C16" s="1780" t="s">
        <v>4772</v>
      </c>
      <c r="D16" s="1780"/>
      <c r="E16" s="1782">
        <v>99597</v>
      </c>
      <c r="F16" s="1544"/>
    </row>
    <row r="17" spans="1:5">
      <c r="A17" s="237">
        <v>5</v>
      </c>
      <c r="B17" s="1780"/>
      <c r="C17" s="1780" t="s">
        <v>5470</v>
      </c>
      <c r="D17" s="1780"/>
      <c r="E17" s="1782">
        <v>69393</v>
      </c>
    </row>
    <row r="18" spans="1:5">
      <c r="A18" s="237">
        <v>6</v>
      </c>
      <c r="B18" s="1780"/>
      <c r="C18" s="1780" t="s">
        <v>5471</v>
      </c>
      <c r="D18" s="1780"/>
      <c r="E18" s="1782">
        <v>11206</v>
      </c>
    </row>
    <row r="19" spans="1:5">
      <c r="A19" s="237">
        <v>7</v>
      </c>
      <c r="B19" s="1780"/>
      <c r="C19" s="1780" t="s">
        <v>5010</v>
      </c>
      <c r="D19" s="1780"/>
      <c r="E19" s="1782">
        <v>7323</v>
      </c>
    </row>
    <row r="20" spans="1:5">
      <c r="A20" s="237">
        <v>8</v>
      </c>
      <c r="B20" s="1780"/>
      <c r="C20" s="1780"/>
      <c r="D20" s="1780"/>
      <c r="E20" s="1782"/>
    </row>
    <row r="21" spans="1:5">
      <c r="A21" s="237">
        <v>9</v>
      </c>
      <c r="B21" s="1780" t="s">
        <v>2867</v>
      </c>
      <c r="C21" s="1780" t="s">
        <v>5010</v>
      </c>
      <c r="D21" s="1780"/>
      <c r="E21" s="1782">
        <v>4045</v>
      </c>
    </row>
    <row r="22" spans="1:5">
      <c r="A22" s="237">
        <v>10</v>
      </c>
      <c r="B22" s="1780"/>
      <c r="C22" s="1780"/>
      <c r="D22" s="1780"/>
      <c r="E22" s="1782"/>
    </row>
    <row r="23" spans="1:5">
      <c r="A23" s="237">
        <v>11</v>
      </c>
      <c r="B23" s="1780" t="s">
        <v>3493</v>
      </c>
      <c r="C23" s="1780" t="s">
        <v>5250</v>
      </c>
      <c r="D23" s="1780"/>
      <c r="E23" s="1782">
        <v>191528</v>
      </c>
    </row>
    <row r="24" spans="1:5">
      <c r="A24" s="237">
        <v>12</v>
      </c>
      <c r="B24" s="1780"/>
      <c r="C24" s="1780" t="s">
        <v>5472</v>
      </c>
      <c r="D24" s="1780"/>
      <c r="E24" s="1782">
        <v>24200</v>
      </c>
    </row>
    <row r="25" spans="1:5">
      <c r="A25" s="237">
        <v>13</v>
      </c>
      <c r="B25" s="1780"/>
      <c r="C25" s="1780" t="s">
        <v>5473</v>
      </c>
      <c r="D25" s="1780"/>
      <c r="E25" s="1782">
        <v>52642</v>
      </c>
    </row>
    <row r="26" spans="1:5">
      <c r="A26" s="237">
        <v>14</v>
      </c>
      <c r="B26" s="1780"/>
      <c r="C26" s="1780" t="s">
        <v>5474</v>
      </c>
      <c r="D26" s="1780"/>
      <c r="E26" s="1782">
        <v>19776</v>
      </c>
    </row>
    <row r="27" spans="1:5">
      <c r="A27" s="237">
        <v>15</v>
      </c>
      <c r="B27" s="1780"/>
      <c r="C27" s="1780" t="s">
        <v>5010</v>
      </c>
      <c r="D27" s="1780"/>
      <c r="E27" s="1782">
        <v>1674</v>
      </c>
    </row>
    <row r="28" spans="1:5">
      <c r="A28" s="237">
        <v>16</v>
      </c>
      <c r="B28" s="1780"/>
      <c r="C28" s="1780"/>
      <c r="D28" s="1780"/>
      <c r="E28" s="1782"/>
    </row>
    <row r="29" spans="1:5">
      <c r="A29" s="237">
        <v>17</v>
      </c>
      <c r="B29" s="1780" t="s">
        <v>4722</v>
      </c>
      <c r="C29" s="1780" t="s">
        <v>5475</v>
      </c>
      <c r="D29" s="1780"/>
      <c r="E29" s="1782">
        <v>12241</v>
      </c>
    </row>
    <row r="30" spans="1:5">
      <c r="A30" s="237">
        <v>18</v>
      </c>
      <c r="B30" s="1780"/>
      <c r="C30" s="1780" t="s">
        <v>5476</v>
      </c>
      <c r="D30" s="1780"/>
      <c r="E30" s="1782">
        <v>126139</v>
      </c>
    </row>
    <row r="31" spans="1:5">
      <c r="A31" s="237">
        <v>19</v>
      </c>
      <c r="B31" s="1780"/>
      <c r="C31" s="1780" t="s">
        <v>5010</v>
      </c>
      <c r="D31" s="1780"/>
      <c r="E31" s="1782">
        <v>1587</v>
      </c>
    </row>
    <row r="32" spans="1:5">
      <c r="A32" s="237">
        <v>20</v>
      </c>
      <c r="B32" s="1780"/>
      <c r="C32" s="1780"/>
      <c r="D32" s="1780"/>
      <c r="E32" s="1782"/>
    </row>
    <row r="33" spans="1:5">
      <c r="A33" s="237">
        <v>21</v>
      </c>
      <c r="B33" s="1780" t="s">
        <v>4927</v>
      </c>
      <c r="C33" s="1780" t="s">
        <v>5006</v>
      </c>
      <c r="D33" s="1780"/>
      <c r="E33" s="1782">
        <v>24539</v>
      </c>
    </row>
    <row r="34" spans="1:5">
      <c r="A34" s="237">
        <v>22</v>
      </c>
      <c r="B34" s="1780"/>
      <c r="C34" s="1780" t="s">
        <v>5477</v>
      </c>
      <c r="D34" s="1780"/>
      <c r="E34" s="1782">
        <v>439861</v>
      </c>
    </row>
    <row r="35" spans="1:5">
      <c r="A35" s="237">
        <v>23</v>
      </c>
      <c r="B35" s="1780"/>
      <c r="C35" s="1780"/>
      <c r="D35" s="1780"/>
      <c r="E35" s="1782"/>
    </row>
    <row r="36" spans="1:5">
      <c r="A36" s="237">
        <v>24</v>
      </c>
      <c r="B36" s="1780" t="s">
        <v>4723</v>
      </c>
      <c r="C36" s="1780" t="s">
        <v>5010</v>
      </c>
      <c r="D36" s="1780"/>
      <c r="E36" s="1782">
        <v>-1250</v>
      </c>
    </row>
    <row r="37" spans="1:5">
      <c r="A37" s="237">
        <v>25</v>
      </c>
      <c r="B37" s="1780"/>
      <c r="C37" s="1780"/>
      <c r="D37" s="1780"/>
      <c r="E37" s="1782"/>
    </row>
    <row r="38" spans="1:5">
      <c r="A38" s="237">
        <v>26</v>
      </c>
      <c r="B38" s="1780" t="s">
        <v>3489</v>
      </c>
      <c r="C38" s="1780" t="s">
        <v>5021</v>
      </c>
      <c r="D38" s="1780"/>
      <c r="E38" s="1782">
        <v>24993</v>
      </c>
    </row>
    <row r="39" spans="1:5">
      <c r="A39" s="237">
        <v>27</v>
      </c>
      <c r="B39" s="1780"/>
      <c r="C39" s="1780" t="s">
        <v>5022</v>
      </c>
      <c r="D39" s="1780"/>
      <c r="E39" s="1782">
        <v>15347</v>
      </c>
    </row>
    <row r="40" spans="1:5">
      <c r="A40" s="237">
        <v>28</v>
      </c>
      <c r="B40" s="1780"/>
      <c r="C40" s="1780" t="s">
        <v>5478</v>
      </c>
      <c r="D40" s="1780"/>
      <c r="E40" s="1782">
        <v>398266</v>
      </c>
    </row>
    <row r="41" spans="1:5">
      <c r="A41" s="237">
        <v>29</v>
      </c>
      <c r="B41" s="1780"/>
      <c r="C41" s="1780" t="s">
        <v>5479</v>
      </c>
      <c r="D41" s="1780"/>
      <c r="E41" s="1782">
        <v>22990</v>
      </c>
    </row>
    <row r="42" spans="1:5">
      <c r="A42" s="237">
        <v>30</v>
      </c>
      <c r="B42" s="1780"/>
      <c r="C42" s="1780" t="s">
        <v>5480</v>
      </c>
      <c r="D42" s="1780"/>
      <c r="E42" s="1782">
        <v>10815</v>
      </c>
    </row>
    <row r="43" spans="1:5">
      <c r="A43" s="237">
        <v>31</v>
      </c>
      <c r="B43" s="1780"/>
      <c r="C43" s="1780" t="s">
        <v>5481</v>
      </c>
      <c r="D43" s="1780"/>
      <c r="E43" s="1782">
        <v>298636</v>
      </c>
    </row>
    <row r="44" spans="1:5">
      <c r="A44" s="237">
        <v>32</v>
      </c>
      <c r="B44" s="1780"/>
      <c r="C44" s="1780" t="s">
        <v>5482</v>
      </c>
      <c r="D44" s="1780"/>
      <c r="E44" s="1782">
        <v>631016</v>
      </c>
    </row>
    <row r="45" spans="1:5">
      <c r="A45" s="237">
        <v>33</v>
      </c>
      <c r="B45" s="1780"/>
      <c r="C45" s="1780" t="s">
        <v>5483</v>
      </c>
      <c r="D45" s="1780"/>
      <c r="E45" s="1782">
        <v>846951</v>
      </c>
    </row>
    <row r="46" spans="1:5">
      <c r="A46" s="237">
        <v>34</v>
      </c>
      <c r="B46" s="1780"/>
      <c r="C46" s="1780" t="s">
        <v>5484</v>
      </c>
      <c r="D46" s="1780"/>
      <c r="E46" s="1782">
        <v>29399</v>
      </c>
    </row>
    <row r="47" spans="1:5">
      <c r="A47" s="237">
        <v>35</v>
      </c>
      <c r="B47" s="1780"/>
      <c r="C47" s="1780" t="s">
        <v>5010</v>
      </c>
      <c r="D47" s="1780"/>
      <c r="E47" s="1782">
        <v>2967</v>
      </c>
    </row>
    <row r="48" spans="1:5">
      <c r="A48" s="237">
        <v>36</v>
      </c>
      <c r="B48" s="1780"/>
      <c r="C48" s="1780"/>
      <c r="D48" s="1780"/>
      <c r="E48" s="1782"/>
    </row>
    <row r="49" spans="1:7">
      <c r="A49" s="237">
        <v>37</v>
      </c>
      <c r="B49" s="1780" t="s">
        <v>4908</v>
      </c>
      <c r="C49" s="1780" t="s">
        <v>5004</v>
      </c>
      <c r="D49" s="1780"/>
      <c r="E49" s="1782">
        <v>47723</v>
      </c>
    </row>
    <row r="50" spans="1:7">
      <c r="A50" s="237">
        <v>38</v>
      </c>
      <c r="B50" s="1780"/>
      <c r="C50" s="1780" t="s">
        <v>5005</v>
      </c>
      <c r="D50" s="1780"/>
      <c r="E50" s="1782">
        <v>61837</v>
      </c>
    </row>
    <row r="51" spans="1:7">
      <c r="A51" s="237">
        <v>39</v>
      </c>
      <c r="B51" s="1780"/>
      <c r="C51" s="1780" t="s">
        <v>5007</v>
      </c>
      <c r="D51" s="1780"/>
      <c r="E51" s="1782">
        <v>114541</v>
      </c>
    </row>
    <row r="52" spans="1:7">
      <c r="A52" s="237">
        <v>40</v>
      </c>
      <c r="B52" s="1780"/>
      <c r="C52" s="1780" t="s">
        <v>5008</v>
      </c>
      <c r="D52" s="1780"/>
      <c r="E52" s="1782">
        <v>43186</v>
      </c>
    </row>
    <row r="53" spans="1:7">
      <c r="A53" s="237">
        <v>41</v>
      </c>
      <c r="B53" s="1780"/>
      <c r="C53" s="1780" t="s">
        <v>5009</v>
      </c>
      <c r="D53" s="1780"/>
      <c r="E53" s="1782">
        <v>107956</v>
      </c>
    </row>
    <row r="54" spans="1:7">
      <c r="A54" s="237">
        <v>42</v>
      </c>
      <c r="B54" s="86"/>
      <c r="C54" s="1780" t="s">
        <v>5485</v>
      </c>
      <c r="D54" s="1780"/>
      <c r="E54" s="1782">
        <v>30936</v>
      </c>
    </row>
    <row r="55" spans="1:7">
      <c r="A55" s="237">
        <v>43</v>
      </c>
      <c r="B55" s="1780"/>
      <c r="C55" s="1780" t="s">
        <v>5486</v>
      </c>
      <c r="D55" s="1780"/>
      <c r="E55" s="1782">
        <v>112112</v>
      </c>
    </row>
    <row r="56" spans="1:7">
      <c r="A56" s="237">
        <v>44</v>
      </c>
      <c r="B56" s="1780"/>
      <c r="C56" s="1780"/>
      <c r="D56" s="1780"/>
      <c r="E56" s="1782"/>
    </row>
    <row r="57" spans="1:7" ht="15.75" thickBot="1">
      <c r="A57" s="443">
        <v>45</v>
      </c>
      <c r="B57" s="444" t="s">
        <v>518</v>
      </c>
      <c r="C57" s="444"/>
      <c r="D57" s="113"/>
      <c r="E57" s="401">
        <f>SUM(E13:E56)</f>
        <v>3936733</v>
      </c>
      <c r="G57" s="140"/>
    </row>
    <row r="58" spans="1:7">
      <c r="A58" t="s">
        <v>2024</v>
      </c>
      <c r="E58" s="136"/>
    </row>
    <row r="59" spans="1:7">
      <c r="A59" s="4" t="s">
        <v>3368</v>
      </c>
      <c r="B59" s="5"/>
      <c r="C59" s="5"/>
      <c r="D59" s="5"/>
      <c r="E59" s="406"/>
    </row>
    <row r="60" spans="1:7">
      <c r="A60" s="5"/>
      <c r="B60" s="5"/>
      <c r="C60" s="5"/>
      <c r="D60" s="5"/>
      <c r="E60" s="406"/>
    </row>
    <row r="61" spans="1:7">
      <c r="A61" s="86"/>
      <c r="B61" s="86"/>
      <c r="C61" s="86"/>
      <c r="D61" s="86"/>
      <c r="E61" s="404"/>
    </row>
    <row r="62" spans="1:7">
      <c r="A62" s="86"/>
      <c r="B62" s="86"/>
      <c r="C62" s="86"/>
      <c r="D62" s="86"/>
      <c r="E62" s="404"/>
    </row>
    <row r="63" spans="1:7">
      <c r="A63" s="86"/>
      <c r="B63" s="86"/>
      <c r="C63" s="86"/>
      <c r="D63" s="86"/>
      <c r="E63" s="404"/>
    </row>
    <row r="64" spans="1:7">
      <c r="A64" s="86"/>
      <c r="B64" s="86"/>
      <c r="C64" s="86"/>
      <c r="D64" s="86"/>
      <c r="E64" s="404"/>
    </row>
    <row r="65" spans="1:5">
      <c r="A65" s="86"/>
      <c r="B65" s="86"/>
      <c r="C65" s="86"/>
      <c r="D65" s="86"/>
      <c r="E65" s="404"/>
    </row>
    <row r="66" spans="1:5">
      <c r="A66" s="86"/>
      <c r="B66" s="86"/>
      <c r="C66" s="86"/>
      <c r="D66" s="86"/>
      <c r="E66" s="404"/>
    </row>
    <row r="67" spans="1:5">
      <c r="A67" s="86"/>
      <c r="B67" s="86"/>
      <c r="C67" s="86"/>
      <c r="D67" s="86"/>
      <c r="E67" s="404"/>
    </row>
    <row r="68" spans="1:5">
      <c r="A68" s="86"/>
      <c r="B68" s="86"/>
      <c r="C68" s="86"/>
      <c r="D68" s="86"/>
      <c r="E68" s="404"/>
    </row>
    <row r="69" spans="1:5">
      <c r="A69" s="86"/>
      <c r="B69" s="86"/>
      <c r="C69" s="86"/>
      <c r="D69" s="86"/>
      <c r="E69" s="404"/>
    </row>
    <row r="70" spans="1:5">
      <c r="A70" s="86"/>
      <c r="B70" s="86"/>
      <c r="C70" s="86"/>
      <c r="D70" s="86"/>
      <c r="E70" s="404"/>
    </row>
    <row r="71" spans="1:5">
      <c r="A71" s="86"/>
      <c r="B71" s="86"/>
      <c r="C71" s="86"/>
      <c r="D71" s="86"/>
      <c r="E71" s="404"/>
    </row>
    <row r="72" spans="1:5">
      <c r="A72" s="86"/>
      <c r="B72" s="86"/>
      <c r="C72" s="86"/>
      <c r="D72" s="86"/>
      <c r="E72" s="404"/>
    </row>
    <row r="73" spans="1:5">
      <c r="A73" s="86"/>
      <c r="B73" s="86"/>
      <c r="C73" s="86"/>
      <c r="D73" s="86"/>
      <c r="E73" s="404"/>
    </row>
    <row r="74" spans="1:5">
      <c r="A74" s="86"/>
      <c r="B74" s="86"/>
      <c r="C74" s="86"/>
      <c r="D74" s="86"/>
      <c r="E74" s="404"/>
    </row>
    <row r="75" spans="1:5">
      <c r="A75" s="86"/>
      <c r="B75" s="86"/>
      <c r="C75" s="86"/>
      <c r="D75" s="86"/>
      <c r="E75" s="404"/>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6"/>
      <c r="B84" s="86"/>
      <c r="C84" s="86"/>
      <c r="D84" s="86"/>
      <c r="E84" s="86"/>
    </row>
    <row r="85" spans="1:5">
      <c r="A85" s="86"/>
      <c r="B85" s="86"/>
      <c r="C85" s="86"/>
      <c r="D85" s="86"/>
      <c r="E85" s="404"/>
    </row>
    <row r="86" spans="1:5">
      <c r="A86" s="86"/>
      <c r="B86" s="86"/>
      <c r="C86" s="86"/>
      <c r="D86" s="86"/>
      <c r="E86" s="426"/>
    </row>
    <row r="87" spans="1:5">
      <c r="A87" s="86"/>
      <c r="B87" s="86"/>
      <c r="C87" s="86"/>
      <c r="D87" s="86"/>
      <c r="E87" s="426"/>
    </row>
    <row r="88" spans="1:5">
      <c r="A88" s="86"/>
      <c r="B88" s="86"/>
      <c r="C88" s="86"/>
      <c r="D88" s="86"/>
      <c r="E88" s="426"/>
    </row>
    <row r="89" spans="1:5">
      <c r="A89" s="86"/>
      <c r="B89" s="86"/>
      <c r="C89" s="86"/>
      <c r="D89" s="86"/>
      <c r="E89" s="426"/>
    </row>
    <row r="90" spans="1:5">
      <c r="A90" s="86"/>
      <c r="B90" s="86"/>
      <c r="C90" s="86"/>
      <c r="D90" s="86"/>
      <c r="E90" s="426"/>
    </row>
    <row r="91" spans="1:5">
      <c r="A91" s="86"/>
      <c r="B91" s="86"/>
      <c r="C91" s="86"/>
      <c r="D91" s="86"/>
      <c r="E91" s="426"/>
    </row>
    <row r="92" spans="1:5">
      <c r="A92" s="86"/>
      <c r="B92" s="86"/>
      <c r="C92" s="86"/>
      <c r="D92" s="86"/>
      <c r="E92" s="426"/>
    </row>
    <row r="93" spans="1:5">
      <c r="A93" s="86"/>
      <c r="B93" s="86"/>
      <c r="C93" s="86"/>
      <c r="D93" s="86"/>
      <c r="E93" s="426"/>
    </row>
    <row r="94" spans="1:5">
      <c r="A94" s="86"/>
      <c r="B94" s="86"/>
      <c r="C94" s="86"/>
      <c r="D94" s="86"/>
      <c r="E94" s="426"/>
    </row>
    <row r="95" spans="1:5">
      <c r="A95" s="86"/>
      <c r="B95" s="86"/>
      <c r="C95" s="86"/>
      <c r="D95" s="86"/>
      <c r="E95" s="426"/>
    </row>
    <row r="96" spans="1:5">
      <c r="A96" s="86"/>
      <c r="B96" s="86"/>
      <c r="C96" s="86"/>
      <c r="D96" s="86"/>
      <c r="E96" s="426"/>
    </row>
    <row r="97" spans="1:5">
      <c r="A97" s="86"/>
      <c r="B97" s="86"/>
      <c r="C97" s="86"/>
      <c r="D97" s="86"/>
      <c r="E97" s="426"/>
    </row>
    <row r="98" spans="1:5">
      <c r="A98" s="86"/>
      <c r="B98" s="86"/>
      <c r="C98" s="86"/>
      <c r="D98" s="86"/>
      <c r="E98" s="426"/>
    </row>
    <row r="99" spans="1:5">
      <c r="A99" s="86"/>
      <c r="B99" s="86"/>
      <c r="C99" s="86"/>
      <c r="D99" s="86"/>
      <c r="E99" s="426"/>
    </row>
    <row r="100" spans="1:5">
      <c r="A100" s="86"/>
      <c r="B100" s="86"/>
      <c r="C100" s="86"/>
      <c r="D100" s="86"/>
      <c r="E100" s="426"/>
    </row>
    <row r="101" spans="1:5">
      <c r="A101" s="86"/>
      <c r="B101" s="86"/>
      <c r="C101" s="86"/>
      <c r="D101" s="86"/>
      <c r="E101" s="426"/>
    </row>
    <row r="102" spans="1:5">
      <c r="A102" s="86"/>
      <c r="B102" s="86"/>
      <c r="C102" s="86"/>
      <c r="D102" s="86"/>
      <c r="E102" s="426"/>
    </row>
    <row r="103" spans="1:5">
      <c r="A103" s="86"/>
      <c r="B103" s="86"/>
      <c r="C103" s="86"/>
      <c r="D103" s="86"/>
      <c r="E103" s="426"/>
    </row>
    <row r="104" spans="1:5">
      <c r="A104" s="86"/>
      <c r="B104" s="86"/>
      <c r="C104" s="86"/>
      <c r="D104" s="86"/>
      <c r="E104" s="426"/>
    </row>
    <row r="105" spans="1:5">
      <c r="A105" s="86"/>
      <c r="B105" s="86"/>
      <c r="C105" s="86"/>
      <c r="D105" s="86"/>
      <c r="E105" s="426"/>
    </row>
    <row r="106" spans="1:5">
      <c r="A106" s="86"/>
      <c r="B106" s="86"/>
      <c r="C106" s="86"/>
      <c r="D106" s="86"/>
      <c r="E106" s="426"/>
    </row>
    <row r="107" spans="1:5">
      <c r="A107" s="86"/>
      <c r="B107" s="86"/>
      <c r="C107" s="86"/>
      <c r="D107" s="86"/>
      <c r="E107" s="426"/>
    </row>
    <row r="108" spans="1:5">
      <c r="A108" s="86"/>
      <c r="B108" s="86"/>
      <c r="C108" s="86"/>
      <c r="D108" s="86"/>
      <c r="E108" s="426"/>
    </row>
    <row r="109" spans="1:5">
      <c r="A109" s="86"/>
      <c r="B109" s="86"/>
      <c r="C109" s="86"/>
      <c r="D109" s="86"/>
      <c r="E109" s="426"/>
    </row>
    <row r="110" spans="1:5">
      <c r="A110" s="86"/>
      <c r="B110" s="86"/>
      <c r="C110" s="86"/>
      <c r="D110" s="86"/>
      <c r="E110" s="426"/>
    </row>
    <row r="111" spans="1:5">
      <c r="A111" s="86"/>
      <c r="B111" s="86"/>
      <c r="C111" s="86"/>
      <c r="D111" s="86"/>
      <c r="E111" s="426"/>
    </row>
    <row r="112" spans="1:5">
      <c r="A112" s="86"/>
      <c r="B112" s="86"/>
      <c r="C112" s="86"/>
      <c r="D112" s="86"/>
      <c r="E112" s="426"/>
    </row>
    <row r="113" spans="1:5">
      <c r="A113" s="86"/>
      <c r="B113" s="86"/>
      <c r="C113" s="86"/>
      <c r="D113" s="86"/>
      <c r="E113" s="426"/>
    </row>
    <row r="114" spans="1:5">
      <c r="A114" s="86"/>
      <c r="B114" s="86"/>
      <c r="C114" s="86"/>
      <c r="D114" s="86"/>
      <c r="E114" s="426"/>
    </row>
    <row r="115" spans="1:5">
      <c r="A115" s="86"/>
      <c r="B115" s="86"/>
      <c r="C115" s="239"/>
      <c r="D115" s="86"/>
      <c r="E115" s="426"/>
    </row>
    <row r="116" spans="1:5">
      <c r="A116" s="86"/>
      <c r="B116" s="86"/>
      <c r="C116" s="86"/>
      <c r="D116" s="86"/>
      <c r="E116" s="426"/>
    </row>
    <row r="117" spans="1:5">
      <c r="A117" s="86"/>
      <c r="B117" s="86"/>
      <c r="C117" s="86"/>
      <c r="D117" s="86"/>
      <c r="E117" s="426"/>
    </row>
    <row r="118" spans="1:5">
      <c r="A118" s="86"/>
      <c r="B118" s="86"/>
      <c r="C118" s="86"/>
      <c r="D118" s="86"/>
      <c r="E118" s="426"/>
    </row>
    <row r="119" spans="1:5">
      <c r="A119" s="86"/>
      <c r="B119" s="86"/>
      <c r="C119" s="86"/>
      <c r="D119" s="86"/>
      <c r="E119" s="426"/>
    </row>
    <row r="120" spans="1:5">
      <c r="A120" s="86"/>
      <c r="B120" s="86"/>
      <c r="C120" s="86"/>
      <c r="D120" s="86"/>
      <c r="E120" s="426"/>
    </row>
    <row r="121" spans="1:5">
      <c r="A121" s="86"/>
      <c r="B121" s="86"/>
      <c r="C121" s="86"/>
      <c r="D121" s="86"/>
      <c r="E121" s="426"/>
    </row>
    <row r="122" spans="1:5">
      <c r="A122" s="86"/>
      <c r="B122" s="86"/>
      <c r="C122" s="86"/>
      <c r="D122" s="86"/>
      <c r="E122" s="426"/>
    </row>
    <row r="123" spans="1:5">
      <c r="A123" s="86"/>
      <c r="B123" s="86"/>
      <c r="C123" s="86"/>
      <c r="D123" s="86"/>
      <c r="E123" s="426"/>
    </row>
    <row r="124" spans="1:5">
      <c r="A124" s="86"/>
      <c r="B124" s="86"/>
      <c r="C124" s="86"/>
      <c r="D124" s="86"/>
      <c r="E124" s="426"/>
    </row>
    <row r="125" spans="1:5">
      <c r="A125" s="86"/>
      <c r="B125" s="86"/>
      <c r="C125" s="86"/>
      <c r="D125" s="86"/>
      <c r="E125" s="426"/>
    </row>
    <row r="126" spans="1:5">
      <c r="A126" s="86"/>
      <c r="B126" s="86"/>
      <c r="C126" s="86"/>
      <c r="D126" s="86"/>
      <c r="E126" s="426"/>
    </row>
  </sheetData>
  <phoneticPr fontId="0" type="noConversion"/>
  <pageMargins left="0.4" right="0.4" top="0.3" bottom="0.3" header="0.5" footer="0.5"/>
  <pageSetup scale="8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9"/>
  <dimension ref="A1:G126"/>
  <sheetViews>
    <sheetView zoomScaleNormal="100" workbookViewId="0">
      <pane xSplit="4" ySplit="12" topLeftCell="E13" activePane="bottomRight" state="frozen"/>
      <selection activeCell="G55" sqref="G55:H60"/>
      <selection pane="topRight" activeCell="G55" sqref="G55:H60"/>
      <selection pane="bottomLeft" activeCell="G55" sqref="G55:H60"/>
      <selection pane="bottomRight" activeCell="J57" sqref="J57"/>
    </sheetView>
  </sheetViews>
  <sheetFormatPr defaultColWidth="9.77734375" defaultRowHeight="15"/>
  <cols>
    <col min="1" max="1" width="4.77734375" customWidth="1"/>
    <col min="2" max="2" width="21.77734375" customWidth="1"/>
    <col min="3" max="3" width="28.77734375" customWidth="1"/>
    <col min="4" max="5" width="20.77734375" customWidth="1"/>
    <col min="6" max="6" width="11.33203125" bestFit="1" customWidth="1"/>
    <col min="7" max="7" width="10.44140625" bestFit="1" customWidth="1"/>
  </cols>
  <sheetData>
    <row r="1" spans="1:6" ht="15.75" thickBot="1">
      <c r="A1" t="str">
        <f>'Data sheet'!A57</f>
        <v>Annual Report of Veolia Water New York, Inc.                                              Year Ended  December 31, 2023</v>
      </c>
    </row>
    <row r="2" spans="1:6">
      <c r="A2" s="129"/>
      <c r="B2" s="130"/>
      <c r="C2" s="130"/>
      <c r="D2" s="130"/>
      <c r="E2" s="131"/>
    </row>
    <row r="3" spans="1:6" ht="15.75">
      <c r="A3" s="118" t="s">
        <v>771</v>
      </c>
      <c r="B3" s="5"/>
      <c r="C3" s="5"/>
      <c r="D3" s="5"/>
      <c r="E3" s="132"/>
    </row>
    <row r="4" spans="1:6">
      <c r="A4" s="97"/>
      <c r="B4" s="98"/>
      <c r="C4" s="98"/>
      <c r="D4" s="128"/>
      <c r="E4" s="225"/>
    </row>
    <row r="5" spans="1:6">
      <c r="A5" s="85"/>
      <c r="B5" s="86"/>
      <c r="C5" s="86"/>
      <c r="D5" s="86"/>
      <c r="E5" s="87"/>
    </row>
    <row r="6" spans="1:6">
      <c r="A6" s="85" t="s">
        <v>1563</v>
      </c>
      <c r="B6" s="86"/>
      <c r="C6" s="86"/>
      <c r="D6" s="86"/>
      <c r="E6" s="87"/>
    </row>
    <row r="7" spans="1:6">
      <c r="A7" s="85" t="s">
        <v>3146</v>
      </c>
      <c r="B7" s="86"/>
      <c r="C7" s="86"/>
      <c r="D7" s="86"/>
      <c r="E7" s="87"/>
    </row>
    <row r="8" spans="1:6">
      <c r="A8" s="85" t="s">
        <v>3147</v>
      </c>
      <c r="B8" s="86"/>
      <c r="C8" s="86"/>
      <c r="D8" s="86"/>
      <c r="E8" s="87"/>
    </row>
    <row r="9" spans="1:6">
      <c r="A9" s="97"/>
      <c r="B9" s="98"/>
      <c r="C9" s="98"/>
      <c r="D9" s="98"/>
      <c r="E9" s="101"/>
    </row>
    <row r="10" spans="1:6">
      <c r="A10" s="226"/>
      <c r="B10" s="90"/>
      <c r="C10" s="90"/>
      <c r="D10" s="91"/>
      <c r="E10" s="428" t="s">
        <v>4323</v>
      </c>
    </row>
    <row r="11" spans="1:6">
      <c r="A11" s="237" t="s">
        <v>1727</v>
      </c>
      <c r="C11" s="94" t="s">
        <v>4324</v>
      </c>
      <c r="D11" s="440"/>
      <c r="E11" s="428" t="s">
        <v>4325</v>
      </c>
    </row>
    <row r="12" spans="1:6">
      <c r="A12" s="240" t="s">
        <v>1739</v>
      </c>
      <c r="B12" s="133" t="s">
        <v>3279</v>
      </c>
      <c r="C12" s="121"/>
      <c r="D12" s="366"/>
      <c r="E12" s="424" t="s">
        <v>3280</v>
      </c>
    </row>
    <row r="13" spans="1:6">
      <c r="A13" s="237">
        <v>1</v>
      </c>
      <c r="B13" s="1780" t="s">
        <v>5487</v>
      </c>
      <c r="C13" s="1780" t="s">
        <v>5488</v>
      </c>
      <c r="D13" s="1780"/>
      <c r="E13" s="1781">
        <v>150547</v>
      </c>
    </row>
    <row r="14" spans="1:6">
      <c r="A14" s="237">
        <v>2</v>
      </c>
      <c r="B14" s="1780"/>
      <c r="C14" s="1780" t="s">
        <v>5010</v>
      </c>
      <c r="D14" s="1780"/>
      <c r="E14" s="1782">
        <v>27378</v>
      </c>
    </row>
    <row r="15" spans="1:6">
      <c r="A15" s="237">
        <v>3</v>
      </c>
      <c r="B15" s="1780"/>
      <c r="C15" s="1780"/>
      <c r="D15" s="1780"/>
      <c r="E15" s="1782"/>
    </row>
    <row r="16" spans="1:6">
      <c r="A16" s="237">
        <v>4</v>
      </c>
      <c r="B16" s="1780" t="s">
        <v>5489</v>
      </c>
      <c r="C16" s="1780" t="s">
        <v>5490</v>
      </c>
      <c r="D16" s="1780"/>
      <c r="E16" s="1782">
        <v>55479</v>
      </c>
      <c r="F16" s="1544"/>
    </row>
    <row r="17" spans="1:5">
      <c r="A17" s="237">
        <v>5</v>
      </c>
      <c r="B17" s="1780"/>
      <c r="C17" s="1780" t="s">
        <v>5010</v>
      </c>
      <c r="D17" s="1780"/>
      <c r="E17" s="1782">
        <v>15</v>
      </c>
    </row>
    <row r="18" spans="1:5">
      <c r="A18" s="237">
        <v>6</v>
      </c>
      <c r="B18" s="1780"/>
      <c r="C18" s="1780"/>
      <c r="D18" s="1780"/>
      <c r="E18" s="1782"/>
    </row>
    <row r="19" spans="1:5">
      <c r="A19" s="237">
        <v>7</v>
      </c>
      <c r="B19" s="1780" t="s">
        <v>2860</v>
      </c>
      <c r="C19" s="1780" t="s">
        <v>5010</v>
      </c>
      <c r="D19" s="1780"/>
      <c r="E19" s="1782">
        <v>5807</v>
      </c>
    </row>
    <row r="20" spans="1:5">
      <c r="A20" s="237">
        <v>8</v>
      </c>
      <c r="B20" s="1780"/>
      <c r="C20" s="1780"/>
      <c r="D20" s="1780"/>
      <c r="E20" s="1782"/>
    </row>
    <row r="21" spans="1:5">
      <c r="A21" s="237">
        <v>9</v>
      </c>
      <c r="B21" s="1780" t="s">
        <v>1344</v>
      </c>
      <c r="C21" s="1780" t="s">
        <v>4724</v>
      </c>
      <c r="D21" s="1780"/>
      <c r="E21" s="1782">
        <v>10200</v>
      </c>
    </row>
    <row r="22" spans="1:5">
      <c r="A22" s="237">
        <v>10</v>
      </c>
      <c r="B22" s="1780"/>
      <c r="C22" s="1780" t="s">
        <v>4773</v>
      </c>
      <c r="D22" s="1780"/>
      <c r="E22" s="1782">
        <v>561044</v>
      </c>
    </row>
    <row r="23" spans="1:5">
      <c r="A23" s="237">
        <v>11</v>
      </c>
      <c r="B23" s="1780"/>
      <c r="C23" s="1780" t="s">
        <v>5251</v>
      </c>
      <c r="D23" s="1780"/>
      <c r="E23" s="1782">
        <v>31803</v>
      </c>
    </row>
    <row r="24" spans="1:5">
      <c r="A24" s="237">
        <v>12</v>
      </c>
      <c r="B24" s="1780"/>
      <c r="C24" s="1780" t="s">
        <v>5491</v>
      </c>
      <c r="D24" s="1780"/>
      <c r="E24" s="1782">
        <v>39572</v>
      </c>
    </row>
    <row r="25" spans="1:5">
      <c r="A25" s="237">
        <v>13</v>
      </c>
      <c r="B25" s="1780"/>
      <c r="C25" s="1780" t="s">
        <v>5492</v>
      </c>
      <c r="D25" s="1780"/>
      <c r="E25" s="1782">
        <v>112189</v>
      </c>
    </row>
    <row r="26" spans="1:5">
      <c r="A26" s="237">
        <v>14</v>
      </c>
      <c r="B26" s="1780"/>
      <c r="C26" s="1780" t="s">
        <v>5010</v>
      </c>
      <c r="D26" s="1780"/>
      <c r="E26" s="1782">
        <v>4480</v>
      </c>
    </row>
    <row r="27" spans="1:5">
      <c r="A27" s="237">
        <v>15</v>
      </c>
      <c r="B27" s="1780"/>
      <c r="C27" s="1780"/>
      <c r="D27" s="1780"/>
      <c r="E27" s="1782"/>
    </row>
    <row r="28" spans="1:5">
      <c r="A28" s="237">
        <v>16</v>
      </c>
      <c r="B28" s="1780" t="s">
        <v>377</v>
      </c>
      <c r="C28" s="1780" t="s">
        <v>5252</v>
      </c>
      <c r="D28" s="1780"/>
      <c r="E28" s="1782">
        <v>31027</v>
      </c>
    </row>
    <row r="29" spans="1:5">
      <c r="A29" s="237">
        <v>17</v>
      </c>
      <c r="B29" s="1780"/>
      <c r="C29" s="1780" t="s">
        <v>5493</v>
      </c>
      <c r="D29" s="1780"/>
      <c r="E29" s="1782">
        <v>22773</v>
      </c>
    </row>
    <row r="30" spans="1:5">
      <c r="A30" s="237">
        <v>18</v>
      </c>
      <c r="B30" s="1780"/>
      <c r="C30" s="1780" t="s">
        <v>5494</v>
      </c>
      <c r="D30" s="1780"/>
      <c r="E30" s="1782">
        <v>16137</v>
      </c>
    </row>
    <row r="31" spans="1:5">
      <c r="A31" s="237">
        <v>19</v>
      </c>
      <c r="B31" s="1780"/>
      <c r="C31" s="1780" t="s">
        <v>5495</v>
      </c>
      <c r="D31" s="1780"/>
      <c r="E31" s="1782">
        <v>51385</v>
      </c>
    </row>
    <row r="32" spans="1:5">
      <c r="A32" s="237">
        <v>20</v>
      </c>
      <c r="B32" s="1780"/>
      <c r="C32" s="1780" t="s">
        <v>5010</v>
      </c>
      <c r="D32" s="1780"/>
      <c r="E32" s="1782">
        <v>15214</v>
      </c>
    </row>
    <row r="33" spans="1:5">
      <c r="A33" s="237">
        <v>21</v>
      </c>
      <c r="B33" s="1780"/>
      <c r="C33" s="1780"/>
      <c r="D33" s="1780"/>
      <c r="E33" s="1782"/>
    </row>
    <row r="34" spans="1:5">
      <c r="A34" s="237">
        <v>22</v>
      </c>
      <c r="B34" s="1780" t="s">
        <v>5496</v>
      </c>
      <c r="C34" s="1780" t="s">
        <v>5010</v>
      </c>
      <c r="D34" s="1780"/>
      <c r="E34" s="1782">
        <v>-9497</v>
      </c>
    </row>
    <row r="35" spans="1:5">
      <c r="A35" s="237">
        <v>23</v>
      </c>
      <c r="B35" s="1780"/>
      <c r="C35" s="1780"/>
      <c r="D35" s="1780"/>
      <c r="E35" s="1782"/>
    </row>
    <row r="36" spans="1:5">
      <c r="A36" s="237">
        <v>24</v>
      </c>
      <c r="B36" s="1780" t="s">
        <v>3491</v>
      </c>
      <c r="C36" s="1780" t="s">
        <v>5020</v>
      </c>
      <c r="D36" s="1780"/>
      <c r="E36" s="1782">
        <v>195648</v>
      </c>
    </row>
    <row r="37" spans="1:5">
      <c r="A37" s="237">
        <v>25</v>
      </c>
      <c r="B37" s="1780"/>
      <c r="C37" s="1780" t="s">
        <v>5253</v>
      </c>
      <c r="D37" s="1780"/>
      <c r="E37" s="1782">
        <v>46650</v>
      </c>
    </row>
    <row r="38" spans="1:5">
      <c r="A38" s="237">
        <v>26</v>
      </c>
      <c r="B38" s="1780"/>
      <c r="C38" s="1780" t="s">
        <v>5023</v>
      </c>
      <c r="D38" s="1780"/>
      <c r="E38" s="1782">
        <v>12941</v>
      </c>
    </row>
    <row r="39" spans="1:5">
      <c r="A39" s="237">
        <v>27</v>
      </c>
      <c r="B39" s="1780"/>
      <c r="C39" s="1780" t="s">
        <v>5254</v>
      </c>
      <c r="D39" s="1780"/>
      <c r="E39" s="1782">
        <v>36279</v>
      </c>
    </row>
    <row r="40" spans="1:5">
      <c r="A40" s="237">
        <v>28</v>
      </c>
      <c r="B40" s="1780"/>
      <c r="C40" s="1780" t="s">
        <v>5497</v>
      </c>
      <c r="D40" s="1780"/>
      <c r="E40" s="1782">
        <v>18970</v>
      </c>
    </row>
    <row r="41" spans="1:5">
      <c r="A41" s="237">
        <v>29</v>
      </c>
      <c r="B41" s="1780"/>
      <c r="C41" s="1780" t="s">
        <v>5498</v>
      </c>
      <c r="D41" s="1780"/>
      <c r="E41" s="1782">
        <v>708428</v>
      </c>
    </row>
    <row r="42" spans="1:5">
      <c r="A42" s="237">
        <v>30</v>
      </c>
      <c r="B42" s="1780"/>
      <c r="C42" s="1780" t="s">
        <v>5499</v>
      </c>
      <c r="D42" s="1780"/>
      <c r="E42" s="1782">
        <v>19780</v>
      </c>
    </row>
    <row r="43" spans="1:5">
      <c r="A43" s="237">
        <v>31</v>
      </c>
      <c r="B43" s="1780"/>
      <c r="C43" s="1780" t="s">
        <v>5500</v>
      </c>
      <c r="D43" s="1780"/>
      <c r="E43" s="1782">
        <v>706701</v>
      </c>
    </row>
    <row r="44" spans="1:5">
      <c r="A44" s="237">
        <v>32</v>
      </c>
      <c r="B44" s="1780"/>
      <c r="C44" s="1780" t="s">
        <v>5501</v>
      </c>
      <c r="D44" s="1780"/>
      <c r="E44" s="1782">
        <v>164979</v>
      </c>
    </row>
    <row r="45" spans="1:5">
      <c r="A45" s="237">
        <v>33</v>
      </c>
      <c r="B45" s="1780"/>
      <c r="C45" s="1780" t="s">
        <v>5010</v>
      </c>
      <c r="D45" s="1780"/>
      <c r="E45" s="1782">
        <v>25390</v>
      </c>
    </row>
    <row r="46" spans="1:5">
      <c r="A46" s="237">
        <v>34</v>
      </c>
      <c r="B46" s="1780"/>
      <c r="C46" s="1780"/>
      <c r="D46" s="1780"/>
      <c r="E46" s="1782"/>
    </row>
    <row r="47" spans="1:5">
      <c r="A47" s="237">
        <v>35</v>
      </c>
      <c r="B47" s="1780" t="s">
        <v>1300</v>
      </c>
      <c r="C47" s="1780" t="s">
        <v>5255</v>
      </c>
      <c r="D47" s="1780"/>
      <c r="E47" s="1782">
        <v>15401</v>
      </c>
    </row>
    <row r="48" spans="1:5">
      <c r="A48" s="237">
        <v>36</v>
      </c>
      <c r="B48" s="1780"/>
      <c r="C48" s="1780" t="s">
        <v>5024</v>
      </c>
      <c r="D48" s="1780"/>
      <c r="E48" s="1782">
        <v>10649</v>
      </c>
    </row>
    <row r="49" spans="1:7">
      <c r="A49" s="237">
        <v>37</v>
      </c>
      <c r="B49" s="1780"/>
      <c r="C49" s="1780" t="s">
        <v>5256</v>
      </c>
      <c r="D49" s="1780"/>
      <c r="E49" s="1782">
        <v>17662</v>
      </c>
    </row>
    <row r="50" spans="1:7">
      <c r="A50" s="237">
        <v>38</v>
      </c>
      <c r="B50" s="1780"/>
      <c r="C50" s="1780" t="s">
        <v>5257</v>
      </c>
      <c r="D50" s="1780"/>
      <c r="E50" s="1782">
        <v>16334</v>
      </c>
    </row>
    <row r="51" spans="1:7">
      <c r="A51" s="237">
        <v>39</v>
      </c>
      <c r="B51" s="1780"/>
      <c r="C51" s="1780" t="s">
        <v>5502</v>
      </c>
      <c r="D51" s="1780"/>
      <c r="E51" s="1782">
        <v>63596</v>
      </c>
    </row>
    <row r="52" spans="1:7">
      <c r="A52" s="237">
        <v>40</v>
      </c>
      <c r="B52" s="1780"/>
      <c r="C52" s="1780" t="s">
        <v>5503</v>
      </c>
      <c r="D52" s="1780"/>
      <c r="E52" s="1782">
        <v>110149</v>
      </c>
    </row>
    <row r="53" spans="1:7">
      <c r="A53" s="237">
        <v>41</v>
      </c>
      <c r="B53" s="1780"/>
      <c r="C53" s="1780" t="s">
        <v>5010</v>
      </c>
      <c r="D53" s="1780"/>
      <c r="E53" s="1782">
        <v>60636</v>
      </c>
    </row>
    <row r="54" spans="1:7">
      <c r="A54" s="237">
        <v>42</v>
      </c>
      <c r="B54" s="86"/>
      <c r="C54" s="1780"/>
      <c r="D54" s="1780"/>
      <c r="E54" s="1782"/>
    </row>
    <row r="55" spans="1:7">
      <c r="A55" s="237">
        <v>43</v>
      </c>
      <c r="B55" s="1780"/>
      <c r="C55" s="1780"/>
      <c r="D55" s="1780"/>
      <c r="E55" s="1782"/>
    </row>
    <row r="56" spans="1:7">
      <c r="A56" s="237">
        <v>44</v>
      </c>
      <c r="B56" s="1780"/>
      <c r="C56" s="1780"/>
      <c r="D56" s="1780"/>
      <c r="E56" s="1782"/>
    </row>
    <row r="57" spans="1:7" ht="15.75" thickBot="1">
      <c r="A57" s="443">
        <v>45</v>
      </c>
      <c r="B57" s="398" t="s">
        <v>4775</v>
      </c>
      <c r="C57" s="485"/>
      <c r="D57" s="2528"/>
      <c r="E57" s="2529">
        <f>SUM(E13:E56)</f>
        <v>3355746</v>
      </c>
      <c r="G57" s="140"/>
    </row>
    <row r="58" spans="1:7">
      <c r="A58" t="s">
        <v>2024</v>
      </c>
      <c r="E58" s="136"/>
    </row>
    <row r="59" spans="1:7">
      <c r="A59" s="5" t="s">
        <v>5040</v>
      </c>
      <c r="B59" s="5"/>
      <c r="C59" s="5"/>
      <c r="D59" s="5"/>
      <c r="E59" s="406"/>
    </row>
    <row r="60" spans="1:7">
      <c r="A60" s="5"/>
      <c r="B60" s="5"/>
      <c r="C60" s="5"/>
      <c r="D60" s="5"/>
      <c r="E60" s="406"/>
    </row>
    <row r="61" spans="1:7">
      <c r="A61" s="86"/>
      <c r="B61" s="86"/>
      <c r="C61" s="86"/>
      <c r="D61" s="86"/>
      <c r="E61" s="404"/>
    </row>
    <row r="62" spans="1:7">
      <c r="A62" s="86"/>
      <c r="B62" s="86"/>
      <c r="C62" s="86"/>
      <c r="D62" s="86"/>
      <c r="E62" s="404"/>
    </row>
    <row r="63" spans="1:7">
      <c r="A63" s="86"/>
      <c r="B63" s="86"/>
      <c r="C63" s="86"/>
      <c r="D63" s="86"/>
      <c r="E63" s="404"/>
    </row>
    <row r="64" spans="1:7">
      <c r="A64" s="86"/>
      <c r="B64" s="86"/>
      <c r="C64" s="86"/>
      <c r="D64" s="86"/>
      <c r="E64" s="404"/>
    </row>
    <row r="65" spans="1:5">
      <c r="A65" s="86"/>
      <c r="B65" s="86"/>
      <c r="C65" s="86"/>
      <c r="D65" s="86"/>
      <c r="E65" s="404"/>
    </row>
    <row r="66" spans="1:5">
      <c r="A66" s="86"/>
      <c r="B66" s="86"/>
      <c r="C66" s="86"/>
      <c r="D66" s="86"/>
      <c r="E66" s="404"/>
    </row>
    <row r="67" spans="1:5">
      <c r="A67" s="86"/>
      <c r="B67" s="86"/>
      <c r="C67" s="86"/>
      <c r="D67" s="86"/>
      <c r="E67" s="404"/>
    </row>
    <row r="68" spans="1:5">
      <c r="A68" s="86"/>
      <c r="B68" s="86"/>
      <c r="C68" s="86"/>
      <c r="D68" s="86"/>
      <c r="E68" s="404"/>
    </row>
    <row r="69" spans="1:5">
      <c r="A69" s="86"/>
      <c r="B69" s="86"/>
      <c r="C69" s="86"/>
      <c r="D69" s="86"/>
      <c r="E69" s="404"/>
    </row>
    <row r="70" spans="1:5">
      <c r="A70" s="86"/>
      <c r="B70" s="86"/>
      <c r="C70" s="86"/>
      <c r="D70" s="86"/>
      <c r="E70" s="404"/>
    </row>
    <row r="71" spans="1:5">
      <c r="A71" s="86"/>
      <c r="B71" s="86"/>
      <c r="C71" s="86"/>
      <c r="D71" s="86"/>
      <c r="E71" s="404"/>
    </row>
    <row r="72" spans="1:5">
      <c r="A72" s="86"/>
      <c r="B72" s="86"/>
      <c r="C72" s="86"/>
      <c r="D72" s="86"/>
      <c r="E72" s="404"/>
    </row>
    <row r="73" spans="1:5">
      <c r="A73" s="86"/>
      <c r="B73" s="86"/>
      <c r="C73" s="86"/>
      <c r="D73" s="86"/>
      <c r="E73" s="404"/>
    </row>
    <row r="74" spans="1:5">
      <c r="A74" s="86"/>
      <c r="B74" s="86"/>
      <c r="C74" s="86"/>
      <c r="D74" s="86"/>
      <c r="E74" s="404"/>
    </row>
    <row r="75" spans="1:5">
      <c r="A75" s="86"/>
      <c r="B75" s="86"/>
      <c r="C75" s="86"/>
      <c r="D75" s="86"/>
      <c r="E75" s="404"/>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6"/>
      <c r="B84" s="86"/>
      <c r="C84" s="86"/>
      <c r="D84" s="86"/>
      <c r="E84" s="86"/>
    </row>
    <row r="85" spans="1:5">
      <c r="A85" s="86"/>
      <c r="B85" s="86"/>
      <c r="C85" s="86"/>
      <c r="D85" s="86"/>
      <c r="E85" s="404"/>
    </row>
    <row r="86" spans="1:5">
      <c r="A86" s="86"/>
      <c r="B86" s="86"/>
      <c r="C86" s="86"/>
      <c r="D86" s="86"/>
      <c r="E86" s="426"/>
    </row>
    <row r="87" spans="1:5">
      <c r="A87" s="86"/>
      <c r="B87" s="86"/>
      <c r="C87" s="86"/>
      <c r="D87" s="86"/>
      <c r="E87" s="426"/>
    </row>
    <row r="88" spans="1:5">
      <c r="A88" s="86"/>
      <c r="B88" s="86"/>
      <c r="C88" s="86"/>
      <c r="D88" s="86"/>
      <c r="E88" s="426"/>
    </row>
    <row r="89" spans="1:5">
      <c r="A89" s="86"/>
      <c r="B89" s="86"/>
      <c r="C89" s="86"/>
      <c r="D89" s="86"/>
      <c r="E89" s="426"/>
    </row>
    <row r="90" spans="1:5">
      <c r="A90" s="86"/>
      <c r="B90" s="86"/>
      <c r="C90" s="86"/>
      <c r="D90" s="86"/>
      <c r="E90" s="426"/>
    </row>
    <row r="91" spans="1:5">
      <c r="A91" s="86"/>
      <c r="B91" s="86"/>
      <c r="C91" s="86"/>
      <c r="D91" s="86"/>
      <c r="E91" s="426"/>
    </row>
    <row r="92" spans="1:5">
      <c r="A92" s="86"/>
      <c r="B92" s="86"/>
      <c r="C92" s="86"/>
      <c r="D92" s="86"/>
      <c r="E92" s="426"/>
    </row>
    <row r="93" spans="1:5">
      <c r="A93" s="86"/>
      <c r="B93" s="86"/>
      <c r="C93" s="86"/>
      <c r="D93" s="86"/>
      <c r="E93" s="426"/>
    </row>
    <row r="94" spans="1:5">
      <c r="A94" s="86"/>
      <c r="B94" s="86"/>
      <c r="C94" s="86"/>
      <c r="D94" s="86"/>
      <c r="E94" s="426"/>
    </row>
    <row r="95" spans="1:5">
      <c r="A95" s="86"/>
      <c r="B95" s="86"/>
      <c r="C95" s="86"/>
      <c r="D95" s="86"/>
      <c r="E95" s="426"/>
    </row>
    <row r="96" spans="1:5">
      <c r="A96" s="86"/>
      <c r="B96" s="86"/>
      <c r="C96" s="86"/>
      <c r="D96" s="86"/>
      <c r="E96" s="426"/>
    </row>
    <row r="97" spans="1:5">
      <c r="A97" s="86"/>
      <c r="B97" s="86"/>
      <c r="C97" s="86"/>
      <c r="D97" s="86"/>
      <c r="E97" s="426"/>
    </row>
    <row r="98" spans="1:5">
      <c r="A98" s="86"/>
      <c r="B98" s="86"/>
      <c r="C98" s="86"/>
      <c r="D98" s="86"/>
      <c r="E98" s="426"/>
    </row>
    <row r="99" spans="1:5">
      <c r="A99" s="86"/>
      <c r="B99" s="86"/>
      <c r="C99" s="86"/>
      <c r="D99" s="86"/>
      <c r="E99" s="426"/>
    </row>
    <row r="100" spans="1:5">
      <c r="A100" s="86"/>
      <c r="B100" s="86"/>
      <c r="C100" s="86"/>
      <c r="D100" s="86"/>
      <c r="E100" s="426"/>
    </row>
    <row r="101" spans="1:5">
      <c r="A101" s="86"/>
      <c r="B101" s="86"/>
      <c r="C101" s="86"/>
      <c r="D101" s="86"/>
      <c r="E101" s="426"/>
    </row>
    <row r="102" spans="1:5">
      <c r="A102" s="86"/>
      <c r="B102" s="86"/>
      <c r="C102" s="86"/>
      <c r="D102" s="86"/>
      <c r="E102" s="426"/>
    </row>
    <row r="103" spans="1:5">
      <c r="A103" s="86"/>
      <c r="B103" s="86"/>
      <c r="C103" s="86"/>
      <c r="D103" s="86"/>
      <c r="E103" s="426"/>
    </row>
    <row r="104" spans="1:5">
      <c r="A104" s="86"/>
      <c r="B104" s="86"/>
      <c r="C104" s="86"/>
      <c r="D104" s="86"/>
      <c r="E104" s="426"/>
    </row>
    <row r="105" spans="1:5">
      <c r="A105" s="86"/>
      <c r="B105" s="86"/>
      <c r="C105" s="86"/>
      <c r="D105" s="86"/>
      <c r="E105" s="426"/>
    </row>
    <row r="106" spans="1:5">
      <c r="A106" s="86"/>
      <c r="B106" s="86"/>
      <c r="C106" s="86"/>
      <c r="D106" s="86"/>
      <c r="E106" s="426"/>
    </row>
    <row r="107" spans="1:5">
      <c r="A107" s="86"/>
      <c r="B107" s="86"/>
      <c r="C107" s="86"/>
      <c r="D107" s="86"/>
      <c r="E107" s="426"/>
    </row>
    <row r="108" spans="1:5">
      <c r="A108" s="86"/>
      <c r="B108" s="86"/>
      <c r="C108" s="86"/>
      <c r="D108" s="86"/>
      <c r="E108" s="426"/>
    </row>
    <row r="109" spans="1:5">
      <c r="A109" s="86"/>
      <c r="B109" s="86"/>
      <c r="C109" s="86"/>
      <c r="D109" s="86"/>
      <c r="E109" s="426"/>
    </row>
    <row r="110" spans="1:5">
      <c r="A110" s="86"/>
      <c r="B110" s="86"/>
      <c r="C110" s="86"/>
      <c r="D110" s="86"/>
      <c r="E110" s="426"/>
    </row>
    <row r="111" spans="1:5">
      <c r="A111" s="86"/>
      <c r="B111" s="86"/>
      <c r="C111" s="86"/>
      <c r="D111" s="86"/>
      <c r="E111" s="426"/>
    </row>
    <row r="112" spans="1:5">
      <c r="A112" s="86"/>
      <c r="B112" s="86"/>
      <c r="C112" s="86"/>
      <c r="D112" s="86"/>
      <c r="E112" s="426"/>
    </row>
    <row r="113" spans="1:5">
      <c r="A113" s="86"/>
      <c r="B113" s="86"/>
      <c r="C113" s="86"/>
      <c r="D113" s="86"/>
      <c r="E113" s="426"/>
    </row>
    <row r="114" spans="1:5">
      <c r="A114" s="86"/>
      <c r="B114" s="86"/>
      <c r="C114" s="86"/>
      <c r="D114" s="86"/>
      <c r="E114" s="426"/>
    </row>
    <row r="115" spans="1:5">
      <c r="A115" s="86"/>
      <c r="B115" s="86"/>
      <c r="C115" s="239"/>
      <c r="D115" s="86"/>
      <c r="E115" s="426"/>
    </row>
    <row r="116" spans="1:5">
      <c r="A116" s="86"/>
      <c r="B116" s="86"/>
      <c r="C116" s="86"/>
      <c r="D116" s="86"/>
      <c r="E116" s="426"/>
    </row>
    <row r="117" spans="1:5">
      <c r="A117" s="86"/>
      <c r="B117" s="86"/>
      <c r="C117" s="86"/>
      <c r="D117" s="86"/>
      <c r="E117" s="426"/>
    </row>
    <row r="118" spans="1:5">
      <c r="A118" s="86"/>
      <c r="B118" s="86"/>
      <c r="C118" s="86"/>
      <c r="D118" s="86"/>
      <c r="E118" s="426"/>
    </row>
    <row r="119" spans="1:5">
      <c r="A119" s="86"/>
      <c r="B119" s="86"/>
      <c r="C119" s="86"/>
      <c r="D119" s="86"/>
      <c r="E119" s="426"/>
    </row>
    <row r="120" spans="1:5">
      <c r="A120" s="86"/>
      <c r="B120" s="86"/>
      <c r="C120" s="86"/>
      <c r="D120" s="86"/>
      <c r="E120" s="426"/>
    </row>
    <row r="121" spans="1:5">
      <c r="A121" s="86"/>
      <c r="B121" s="86"/>
      <c r="C121" s="86"/>
      <c r="D121" s="86"/>
      <c r="E121" s="426"/>
    </row>
    <row r="122" spans="1:5">
      <c r="A122" s="86"/>
      <c r="B122" s="86"/>
      <c r="C122" s="86"/>
      <c r="D122" s="86"/>
      <c r="E122" s="426"/>
    </row>
    <row r="123" spans="1:5">
      <c r="A123" s="86"/>
      <c r="B123" s="86"/>
      <c r="C123" s="86"/>
      <c r="D123" s="86"/>
      <c r="E123" s="426"/>
    </row>
    <row r="124" spans="1:5">
      <c r="A124" s="86"/>
      <c r="B124" s="86"/>
      <c r="C124" s="86"/>
      <c r="D124" s="86"/>
      <c r="E124" s="426"/>
    </row>
    <row r="125" spans="1:5">
      <c r="A125" s="86"/>
      <c r="B125" s="86"/>
      <c r="C125" s="86"/>
      <c r="D125" s="86"/>
      <c r="E125" s="426"/>
    </row>
    <row r="126" spans="1:5">
      <c r="A126" s="86"/>
      <c r="B126" s="86"/>
      <c r="C126" s="86"/>
      <c r="D126" s="86"/>
      <c r="E126" s="426"/>
    </row>
  </sheetData>
  <phoneticPr fontId="0" type="noConversion"/>
  <pageMargins left="0.65" right="0.15" top="0.3" bottom="0.3" header="0.5" footer="0.5"/>
  <pageSetup scale="8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126"/>
  <sheetViews>
    <sheetView zoomScaleNormal="100" workbookViewId="0">
      <pane xSplit="4" ySplit="12" topLeftCell="E13" activePane="bottomRight" state="frozen"/>
      <selection activeCell="G55" sqref="G55:H60"/>
      <selection pane="topRight" activeCell="G55" sqref="G55:H60"/>
      <selection pane="bottomLeft" activeCell="G55" sqref="G55:H60"/>
      <selection pane="bottomRight" activeCell="G16" sqref="G16"/>
    </sheetView>
  </sheetViews>
  <sheetFormatPr defaultColWidth="9.77734375" defaultRowHeight="15"/>
  <cols>
    <col min="1" max="1" width="4.77734375" customWidth="1"/>
    <col min="2" max="2" width="21.77734375" customWidth="1"/>
    <col min="3" max="3" width="28.77734375" customWidth="1"/>
    <col min="4" max="5" width="20.77734375" customWidth="1"/>
    <col min="6" max="6" width="11.33203125" bestFit="1" customWidth="1"/>
    <col min="7" max="7" width="10.44140625" bestFit="1" customWidth="1"/>
  </cols>
  <sheetData>
    <row r="1" spans="1:6" ht="15.75" thickBot="1">
      <c r="A1" t="str">
        <f>'Data sheet'!A57</f>
        <v>Annual Report of Veolia Water New York, Inc.                                              Year Ended  December 31, 2023</v>
      </c>
    </row>
    <row r="2" spans="1:6">
      <c r="A2" s="129"/>
      <c r="B2" s="130"/>
      <c r="C2" s="130"/>
      <c r="D2" s="130"/>
      <c r="E2" s="131"/>
    </row>
    <row r="3" spans="1:6" ht="15.75">
      <c r="A3" s="118" t="s">
        <v>771</v>
      </c>
      <c r="B3" s="5"/>
      <c r="C3" s="5"/>
      <c r="D3" s="5"/>
      <c r="E3" s="132"/>
    </row>
    <row r="4" spans="1:6">
      <c r="A4" s="97"/>
      <c r="B4" s="98"/>
      <c r="C4" s="98"/>
      <c r="D4" s="128"/>
      <c r="E4" s="225"/>
    </row>
    <row r="5" spans="1:6">
      <c r="A5" s="85"/>
      <c r="B5" s="86"/>
      <c r="C5" s="86"/>
      <c r="D5" s="86"/>
      <c r="E5" s="87"/>
    </row>
    <row r="6" spans="1:6">
      <c r="A6" s="85" t="s">
        <v>1563</v>
      </c>
      <c r="B6" s="86"/>
      <c r="C6" s="86"/>
      <c r="D6" s="86"/>
      <c r="E6" s="87"/>
    </row>
    <row r="7" spans="1:6">
      <c r="A7" s="85" t="s">
        <v>3146</v>
      </c>
      <c r="B7" s="86"/>
      <c r="C7" s="86"/>
      <c r="D7" s="86"/>
      <c r="E7" s="87"/>
    </row>
    <row r="8" spans="1:6">
      <c r="A8" s="85" t="s">
        <v>3147</v>
      </c>
      <c r="B8" s="86"/>
      <c r="C8" s="86"/>
      <c r="D8" s="86"/>
      <c r="E8" s="87"/>
    </row>
    <row r="9" spans="1:6">
      <c r="A9" s="97"/>
      <c r="B9" s="98"/>
      <c r="C9" s="98"/>
      <c r="D9" s="98"/>
      <c r="E9" s="101"/>
    </row>
    <row r="10" spans="1:6">
      <c r="A10" s="226"/>
      <c r="B10" s="90"/>
      <c r="C10" s="90"/>
      <c r="D10" s="91"/>
      <c r="E10" s="428" t="s">
        <v>4323</v>
      </c>
    </row>
    <row r="11" spans="1:6">
      <c r="A11" s="237" t="s">
        <v>1727</v>
      </c>
      <c r="C11" s="94" t="s">
        <v>4324</v>
      </c>
      <c r="D11" s="440"/>
      <c r="E11" s="428" t="s">
        <v>4325</v>
      </c>
    </row>
    <row r="12" spans="1:6">
      <c r="A12" s="240" t="s">
        <v>1739</v>
      </c>
      <c r="B12" s="133" t="s">
        <v>3279</v>
      </c>
      <c r="C12" s="121"/>
      <c r="D12" s="366"/>
      <c r="E12" s="424" t="s">
        <v>3280</v>
      </c>
    </row>
    <row r="13" spans="1:6">
      <c r="A13" s="237">
        <v>1</v>
      </c>
      <c r="B13" s="1780" t="s">
        <v>4862</v>
      </c>
      <c r="C13" s="1780" t="s">
        <v>4731</v>
      </c>
      <c r="D13" s="1780"/>
      <c r="E13" s="1781">
        <v>14337</v>
      </c>
    </row>
    <row r="14" spans="1:6">
      <c r="A14" s="237">
        <v>2</v>
      </c>
      <c r="B14" s="1780"/>
      <c r="C14" s="1780" t="s">
        <v>5258</v>
      </c>
      <c r="D14" s="1780"/>
      <c r="E14" s="1782">
        <v>12915</v>
      </c>
    </row>
    <row r="15" spans="1:6">
      <c r="A15" s="237">
        <v>3</v>
      </c>
      <c r="B15" s="1780"/>
      <c r="C15" s="1780" t="s">
        <v>5504</v>
      </c>
      <c r="D15" s="1780"/>
      <c r="E15" s="1782">
        <v>107800</v>
      </c>
    </row>
    <row r="16" spans="1:6">
      <c r="A16" s="237">
        <v>4</v>
      </c>
      <c r="B16" s="1780"/>
      <c r="C16" s="1780" t="s">
        <v>5505</v>
      </c>
      <c r="D16" s="1780"/>
      <c r="E16" s="1782">
        <v>18908</v>
      </c>
      <c r="F16" s="1544"/>
    </row>
    <row r="17" spans="1:5">
      <c r="A17" s="237">
        <v>5</v>
      </c>
      <c r="B17" s="1780"/>
      <c r="C17" s="1780" t="s">
        <v>5506</v>
      </c>
      <c r="D17" s="1780"/>
      <c r="E17" s="1782">
        <v>12177</v>
      </c>
    </row>
    <row r="18" spans="1:5">
      <c r="A18" s="237">
        <v>6</v>
      </c>
      <c r="B18" s="1780"/>
      <c r="C18" s="1780" t="s">
        <v>5507</v>
      </c>
      <c r="D18" s="1780"/>
      <c r="E18" s="1782">
        <v>50509</v>
      </c>
    </row>
    <row r="19" spans="1:5">
      <c r="A19" s="237">
        <v>7</v>
      </c>
      <c r="B19" s="1780"/>
      <c r="C19" s="1780" t="s">
        <v>5508</v>
      </c>
      <c r="D19" s="1780"/>
      <c r="E19" s="1782">
        <v>338596</v>
      </c>
    </row>
    <row r="20" spans="1:5">
      <c r="A20" s="237">
        <v>8</v>
      </c>
      <c r="B20" s="1780"/>
      <c r="C20" s="1780" t="s">
        <v>5509</v>
      </c>
      <c r="D20" s="1780"/>
      <c r="E20" s="1782">
        <v>156458</v>
      </c>
    </row>
    <row r="21" spans="1:5">
      <c r="A21" s="237">
        <v>9</v>
      </c>
      <c r="B21" s="1780"/>
      <c r="C21" s="1780" t="s">
        <v>5010</v>
      </c>
      <c r="D21" s="1780"/>
      <c r="E21" s="1782">
        <v>35964</v>
      </c>
    </row>
    <row r="22" spans="1:5">
      <c r="A22" s="237">
        <v>10</v>
      </c>
      <c r="B22" s="1780"/>
      <c r="C22" s="1780"/>
      <c r="D22" s="1780"/>
      <c r="E22" s="1782"/>
    </row>
    <row r="23" spans="1:5">
      <c r="A23" s="237">
        <v>11</v>
      </c>
      <c r="B23" s="1780" t="s">
        <v>5259</v>
      </c>
      <c r="C23" s="1780" t="s">
        <v>5247</v>
      </c>
      <c r="D23" s="1780"/>
      <c r="E23" s="1782">
        <v>19162</v>
      </c>
    </row>
    <row r="24" spans="1:5">
      <c r="A24" s="237">
        <v>12</v>
      </c>
      <c r="B24" s="1780"/>
      <c r="C24" s="1780" t="s">
        <v>5510</v>
      </c>
      <c r="D24" s="1780"/>
      <c r="E24" s="1782">
        <v>21870</v>
      </c>
    </row>
    <row r="25" spans="1:5">
      <c r="A25" s="237">
        <v>13</v>
      </c>
      <c r="B25" s="1780"/>
      <c r="C25" s="1780" t="s">
        <v>5010</v>
      </c>
      <c r="D25" s="1780"/>
      <c r="E25" s="1782">
        <v>28</v>
      </c>
    </row>
    <row r="26" spans="1:5">
      <c r="A26" s="237">
        <v>14</v>
      </c>
      <c r="B26" s="1780"/>
      <c r="C26" s="1780"/>
      <c r="D26" s="1780"/>
      <c r="E26" s="1782"/>
    </row>
    <row r="27" spans="1:5">
      <c r="A27" s="237">
        <v>15</v>
      </c>
      <c r="B27" s="1780" t="s">
        <v>4822</v>
      </c>
      <c r="C27" s="1780" t="s">
        <v>5016</v>
      </c>
      <c r="D27" s="1780"/>
      <c r="E27" s="1782">
        <v>90194</v>
      </c>
    </row>
    <row r="28" spans="1:5">
      <c r="A28" s="237">
        <v>16</v>
      </c>
      <c r="B28" s="1780"/>
      <c r="C28" s="1780"/>
      <c r="D28" s="1780"/>
      <c r="E28" s="1782"/>
    </row>
    <row r="29" spans="1:5">
      <c r="A29" s="237">
        <v>17</v>
      </c>
      <c r="B29" s="1780" t="s">
        <v>2945</v>
      </c>
      <c r="C29" s="1780" t="s">
        <v>5511</v>
      </c>
      <c r="D29" s="1780"/>
      <c r="E29" s="1782">
        <v>688500</v>
      </c>
    </row>
    <row r="30" spans="1:5">
      <c r="A30" s="237">
        <v>18</v>
      </c>
      <c r="B30" s="1780"/>
      <c r="C30" s="1780" t="s">
        <v>5512</v>
      </c>
      <c r="D30" s="1780"/>
      <c r="E30" s="1782">
        <v>730185</v>
      </c>
    </row>
    <row r="31" spans="1:5">
      <c r="A31" s="237">
        <v>19</v>
      </c>
      <c r="B31" s="1780"/>
      <c r="C31" s="1780" t="s">
        <v>5025</v>
      </c>
      <c r="D31" s="1780"/>
      <c r="E31" s="1782">
        <v>38068</v>
      </c>
    </row>
    <row r="32" spans="1:5">
      <c r="A32" s="237">
        <v>20</v>
      </c>
      <c r="B32" s="1780"/>
      <c r="C32" s="1780" t="s">
        <v>5513</v>
      </c>
      <c r="D32" s="1780"/>
      <c r="E32" s="1782">
        <v>11877</v>
      </c>
    </row>
    <row r="33" spans="1:5">
      <c r="A33" s="237">
        <v>21</v>
      </c>
      <c r="B33" s="1780"/>
      <c r="C33" s="1780" t="s">
        <v>5514</v>
      </c>
      <c r="D33" s="1780"/>
      <c r="E33" s="1782">
        <v>22838</v>
      </c>
    </row>
    <row r="34" spans="1:5">
      <c r="A34" s="237">
        <v>22</v>
      </c>
      <c r="B34" s="1780"/>
      <c r="C34" s="1780" t="s">
        <v>5515</v>
      </c>
      <c r="D34" s="1780"/>
      <c r="E34" s="1782">
        <v>13684</v>
      </c>
    </row>
    <row r="35" spans="1:5">
      <c r="A35" s="237">
        <v>23</v>
      </c>
      <c r="B35" s="1780"/>
      <c r="C35" s="1780" t="s">
        <v>5516</v>
      </c>
      <c r="D35" s="1780"/>
      <c r="E35" s="1782">
        <v>59116</v>
      </c>
    </row>
    <row r="36" spans="1:5">
      <c r="A36" s="237">
        <v>24</v>
      </c>
      <c r="B36" s="1780"/>
      <c r="C36" s="1780" t="s">
        <v>5010</v>
      </c>
      <c r="D36" s="1780"/>
      <c r="E36" s="1782">
        <v>22050</v>
      </c>
    </row>
    <row r="37" spans="1:5">
      <c r="A37" s="237">
        <v>25</v>
      </c>
      <c r="B37" s="1780"/>
      <c r="C37" s="1780"/>
      <c r="D37" s="1780"/>
      <c r="E37" s="1782"/>
    </row>
    <row r="38" spans="1:5">
      <c r="A38" s="237">
        <v>26</v>
      </c>
      <c r="B38" s="1780" t="s">
        <v>929</v>
      </c>
      <c r="C38" s="1780" t="s">
        <v>5026</v>
      </c>
      <c r="D38" s="1780"/>
      <c r="E38" s="1782">
        <v>78218</v>
      </c>
    </row>
    <row r="39" spans="1:5">
      <c r="A39" s="237">
        <v>27</v>
      </c>
      <c r="B39" s="1780"/>
      <c r="C39" s="1780" t="s">
        <v>5027</v>
      </c>
      <c r="D39" s="1780"/>
      <c r="E39" s="1782">
        <v>27914</v>
      </c>
    </row>
    <row r="40" spans="1:5">
      <c r="A40" s="237">
        <v>28</v>
      </c>
      <c r="B40" s="1780"/>
      <c r="C40" s="1780" t="s">
        <v>5028</v>
      </c>
      <c r="D40" s="1780"/>
      <c r="E40" s="1782">
        <v>21080</v>
      </c>
    </row>
    <row r="41" spans="1:5">
      <c r="A41" s="237">
        <v>29</v>
      </c>
      <c r="B41" s="1780"/>
      <c r="C41" s="1780" t="s">
        <v>4774</v>
      </c>
      <c r="D41" s="1780"/>
      <c r="E41" s="1782">
        <v>24829</v>
      </c>
    </row>
    <row r="42" spans="1:5">
      <c r="A42" s="237">
        <v>30</v>
      </c>
      <c r="B42" s="1780"/>
      <c r="C42" s="1780" t="s">
        <v>5517</v>
      </c>
      <c r="D42" s="1780"/>
      <c r="E42" s="1782">
        <v>14786</v>
      </c>
    </row>
    <row r="43" spans="1:5">
      <c r="A43" s="237">
        <v>31</v>
      </c>
      <c r="B43" s="1780"/>
      <c r="C43" s="1780" t="s">
        <v>5518</v>
      </c>
      <c r="D43" s="1780"/>
      <c r="E43" s="1782">
        <v>47092</v>
      </c>
    </row>
    <row r="44" spans="1:5">
      <c r="A44" s="237">
        <v>32</v>
      </c>
      <c r="B44" s="1780"/>
      <c r="C44" s="1780" t="s">
        <v>5519</v>
      </c>
      <c r="D44" s="1780"/>
      <c r="E44" s="1782">
        <v>247009</v>
      </c>
    </row>
    <row r="45" spans="1:5">
      <c r="A45" s="237">
        <v>33</v>
      </c>
      <c r="B45" s="1780"/>
      <c r="C45" s="1780" t="s">
        <v>5520</v>
      </c>
      <c r="D45" s="1780"/>
      <c r="E45" s="1782">
        <v>813788</v>
      </c>
    </row>
    <row r="46" spans="1:5">
      <c r="A46" s="237">
        <v>34</v>
      </c>
      <c r="B46" s="1780"/>
      <c r="C46" s="1780" t="s">
        <v>5010</v>
      </c>
      <c r="D46" s="1780"/>
      <c r="E46" s="1782">
        <v>13696</v>
      </c>
    </row>
    <row r="47" spans="1:5">
      <c r="A47" s="237">
        <v>35</v>
      </c>
      <c r="B47" s="1780"/>
      <c r="C47" s="1780"/>
      <c r="D47" s="1780"/>
      <c r="E47" s="1782"/>
    </row>
    <row r="48" spans="1:5">
      <c r="A48" s="237">
        <v>36</v>
      </c>
      <c r="B48" s="1780" t="s">
        <v>5029</v>
      </c>
      <c r="C48" s="1780" t="s">
        <v>5521</v>
      </c>
      <c r="D48" s="1780"/>
      <c r="E48" s="1782">
        <v>325279</v>
      </c>
    </row>
    <row r="49" spans="1:7">
      <c r="A49" s="237">
        <v>37</v>
      </c>
      <c r="B49" s="1780"/>
      <c r="C49" s="1780"/>
      <c r="D49" s="1780"/>
      <c r="E49" s="1782"/>
    </row>
    <row r="50" spans="1:7">
      <c r="A50" s="237">
        <v>38</v>
      </c>
      <c r="B50" s="1780" t="s">
        <v>1348</v>
      </c>
      <c r="C50" s="1780" t="s">
        <v>5522</v>
      </c>
      <c r="D50" s="1780"/>
      <c r="E50" s="1782">
        <v>28676</v>
      </c>
    </row>
    <row r="51" spans="1:7">
      <c r="A51" s="237">
        <v>39</v>
      </c>
      <c r="B51" s="1780"/>
      <c r="C51" s="1780" t="s">
        <v>5010</v>
      </c>
      <c r="D51" s="1780"/>
      <c r="E51" s="1782">
        <v>6551</v>
      </c>
    </row>
    <row r="52" spans="1:7">
      <c r="A52" s="237">
        <v>40</v>
      </c>
      <c r="B52" s="1780"/>
      <c r="C52" s="1780"/>
      <c r="D52" s="1780"/>
      <c r="E52" s="1782"/>
    </row>
    <row r="53" spans="1:7">
      <c r="A53" s="237">
        <v>41</v>
      </c>
      <c r="B53" s="1780" t="s">
        <v>4371</v>
      </c>
      <c r="C53" s="1780" t="s">
        <v>5030</v>
      </c>
      <c r="D53" s="1780"/>
      <c r="E53" s="1782">
        <v>41229</v>
      </c>
    </row>
    <row r="54" spans="1:7">
      <c r="A54" s="237">
        <v>42</v>
      </c>
      <c r="B54" s="86"/>
      <c r="C54" s="1780" t="s">
        <v>5031</v>
      </c>
      <c r="D54" s="1780"/>
      <c r="E54" s="1782">
        <v>10589</v>
      </c>
    </row>
    <row r="55" spans="1:7">
      <c r="A55" s="237">
        <v>43</v>
      </c>
      <c r="B55" s="1780"/>
      <c r="C55" s="1780" t="s">
        <v>5523</v>
      </c>
      <c r="D55" s="1780"/>
      <c r="E55" s="1782">
        <v>23715</v>
      </c>
    </row>
    <row r="56" spans="1:7">
      <c r="A56" s="237">
        <v>44</v>
      </c>
      <c r="B56" s="1780"/>
      <c r="C56" s="1780" t="s">
        <v>5524</v>
      </c>
      <c r="D56" s="1780"/>
      <c r="E56" s="1782">
        <v>50003</v>
      </c>
    </row>
    <row r="57" spans="1:7" ht="15.75" thickBot="1">
      <c r="A57" s="443">
        <v>45</v>
      </c>
      <c r="B57" s="398" t="s">
        <v>4777</v>
      </c>
      <c r="C57" s="485"/>
      <c r="D57" s="2528"/>
      <c r="E57" s="2529">
        <f>SUM(E13:E56)</f>
        <v>4239690</v>
      </c>
      <c r="G57" s="140"/>
    </row>
    <row r="58" spans="1:7">
      <c r="A58" t="s">
        <v>2024</v>
      </c>
      <c r="E58" s="136"/>
    </row>
    <row r="59" spans="1:7">
      <c r="A59" s="5" t="s">
        <v>5039</v>
      </c>
      <c r="B59" s="5"/>
      <c r="C59" s="5"/>
      <c r="D59" s="5"/>
      <c r="E59" s="406"/>
    </row>
    <row r="60" spans="1:7">
      <c r="A60" s="5"/>
      <c r="B60" s="5"/>
      <c r="C60" s="5"/>
      <c r="D60" s="5"/>
      <c r="E60" s="406"/>
    </row>
    <row r="61" spans="1:7">
      <c r="A61" s="86"/>
      <c r="B61" s="86"/>
      <c r="C61" s="86"/>
      <c r="D61" s="86"/>
      <c r="E61" s="404"/>
    </row>
    <row r="62" spans="1:7">
      <c r="A62" s="86"/>
      <c r="B62" s="86"/>
      <c r="C62" s="86"/>
      <c r="D62" s="86"/>
      <c r="E62" s="404"/>
    </row>
    <row r="63" spans="1:7">
      <c r="A63" s="86"/>
      <c r="B63" s="86"/>
      <c r="C63" s="86"/>
      <c r="D63" s="86"/>
      <c r="E63" s="404"/>
    </row>
    <row r="64" spans="1:7">
      <c r="A64" s="86"/>
      <c r="B64" s="86"/>
      <c r="C64" s="86"/>
      <c r="D64" s="86"/>
      <c r="E64" s="404"/>
    </row>
    <row r="65" spans="1:5">
      <c r="A65" s="86"/>
      <c r="B65" s="86"/>
      <c r="C65" s="86"/>
      <c r="D65" s="86"/>
      <c r="E65" s="404"/>
    </row>
    <row r="66" spans="1:5">
      <c r="A66" s="86"/>
      <c r="B66" s="86"/>
      <c r="C66" s="86"/>
      <c r="D66" s="86"/>
      <c r="E66" s="404"/>
    </row>
    <row r="67" spans="1:5">
      <c r="A67" s="86"/>
      <c r="B67" s="86"/>
      <c r="C67" s="86"/>
      <c r="D67" s="86"/>
      <c r="E67" s="404"/>
    </row>
    <row r="68" spans="1:5">
      <c r="A68" s="86"/>
      <c r="B68" s="86"/>
      <c r="C68" s="86"/>
      <c r="D68" s="86"/>
      <c r="E68" s="404"/>
    </row>
    <row r="69" spans="1:5">
      <c r="A69" s="86"/>
      <c r="B69" s="86"/>
      <c r="C69" s="86"/>
      <c r="D69" s="86"/>
      <c r="E69" s="404"/>
    </row>
    <row r="70" spans="1:5">
      <c r="A70" s="86"/>
      <c r="B70" s="86"/>
      <c r="C70" s="86"/>
      <c r="D70" s="86"/>
      <c r="E70" s="404"/>
    </row>
    <row r="71" spans="1:5">
      <c r="A71" s="86"/>
      <c r="B71" s="86"/>
      <c r="C71" s="86"/>
      <c r="D71" s="86"/>
      <c r="E71" s="404"/>
    </row>
    <row r="72" spans="1:5">
      <c r="A72" s="86"/>
      <c r="B72" s="86"/>
      <c r="C72" s="86"/>
      <c r="D72" s="86"/>
      <c r="E72" s="404"/>
    </row>
    <row r="73" spans="1:5">
      <c r="A73" s="86"/>
      <c r="B73" s="86"/>
      <c r="C73" s="86"/>
      <c r="D73" s="86"/>
      <c r="E73" s="404"/>
    </row>
    <row r="74" spans="1:5">
      <c r="A74" s="86"/>
      <c r="B74" s="86"/>
      <c r="C74" s="86"/>
      <c r="D74" s="86"/>
      <c r="E74" s="404"/>
    </row>
    <row r="75" spans="1:5">
      <c r="A75" s="86"/>
      <c r="B75" s="86"/>
      <c r="C75" s="86"/>
      <c r="D75" s="86"/>
      <c r="E75" s="404"/>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6"/>
      <c r="B84" s="86"/>
      <c r="C84" s="86"/>
      <c r="D84" s="86"/>
      <c r="E84" s="86"/>
    </row>
    <row r="85" spans="1:5">
      <c r="A85" s="86"/>
      <c r="B85" s="86"/>
      <c r="C85" s="86"/>
      <c r="D85" s="86"/>
      <c r="E85" s="404"/>
    </row>
    <row r="86" spans="1:5">
      <c r="A86" s="86"/>
      <c r="B86" s="86"/>
      <c r="C86" s="86"/>
      <c r="D86" s="86"/>
      <c r="E86" s="426"/>
    </row>
    <row r="87" spans="1:5">
      <c r="A87" s="86"/>
      <c r="B87" s="86"/>
      <c r="C87" s="86"/>
      <c r="D87" s="86"/>
      <c r="E87" s="426"/>
    </row>
    <row r="88" spans="1:5">
      <c r="A88" s="86"/>
      <c r="B88" s="86"/>
      <c r="C88" s="86"/>
      <c r="D88" s="86"/>
      <c r="E88" s="426"/>
    </row>
    <row r="89" spans="1:5">
      <c r="A89" s="86"/>
      <c r="B89" s="86"/>
      <c r="C89" s="86"/>
      <c r="D89" s="86"/>
      <c r="E89" s="426"/>
    </row>
    <row r="90" spans="1:5">
      <c r="A90" s="86"/>
      <c r="B90" s="86"/>
      <c r="C90" s="86"/>
      <c r="D90" s="86"/>
      <c r="E90" s="426"/>
    </row>
    <row r="91" spans="1:5">
      <c r="A91" s="86"/>
      <c r="B91" s="86"/>
      <c r="C91" s="86"/>
      <c r="D91" s="86"/>
      <c r="E91" s="426"/>
    </row>
    <row r="92" spans="1:5">
      <c r="A92" s="86"/>
      <c r="B92" s="86"/>
      <c r="C92" s="86"/>
      <c r="D92" s="86"/>
      <c r="E92" s="426"/>
    </row>
    <row r="93" spans="1:5">
      <c r="A93" s="86"/>
      <c r="B93" s="86"/>
      <c r="C93" s="86"/>
      <c r="D93" s="86"/>
      <c r="E93" s="426"/>
    </row>
    <row r="94" spans="1:5">
      <c r="A94" s="86"/>
      <c r="B94" s="86"/>
      <c r="C94" s="86"/>
      <c r="D94" s="86"/>
      <c r="E94" s="426"/>
    </row>
    <row r="95" spans="1:5">
      <c r="A95" s="86"/>
      <c r="B95" s="86"/>
      <c r="C95" s="86"/>
      <c r="D95" s="86"/>
      <c r="E95" s="426"/>
    </row>
    <row r="96" spans="1:5">
      <c r="A96" s="86"/>
      <c r="B96" s="86"/>
      <c r="C96" s="86"/>
      <c r="D96" s="86"/>
      <c r="E96" s="426"/>
    </row>
    <row r="97" spans="1:5">
      <c r="A97" s="86"/>
      <c r="B97" s="86"/>
      <c r="C97" s="86"/>
      <c r="D97" s="86"/>
      <c r="E97" s="426"/>
    </row>
    <row r="98" spans="1:5">
      <c r="A98" s="86"/>
      <c r="B98" s="86"/>
      <c r="C98" s="86"/>
      <c r="D98" s="86"/>
      <c r="E98" s="426"/>
    </row>
    <row r="99" spans="1:5">
      <c r="A99" s="86"/>
      <c r="B99" s="86"/>
      <c r="C99" s="86"/>
      <c r="D99" s="86"/>
      <c r="E99" s="426"/>
    </row>
    <row r="100" spans="1:5">
      <c r="A100" s="86"/>
      <c r="B100" s="86"/>
      <c r="C100" s="86"/>
      <c r="D100" s="86"/>
      <c r="E100" s="426"/>
    </row>
    <row r="101" spans="1:5">
      <c r="A101" s="86"/>
      <c r="B101" s="86"/>
      <c r="C101" s="86"/>
      <c r="D101" s="86"/>
      <c r="E101" s="426"/>
    </row>
    <row r="102" spans="1:5">
      <c r="A102" s="86"/>
      <c r="B102" s="86"/>
      <c r="C102" s="86"/>
      <c r="D102" s="86"/>
      <c r="E102" s="426"/>
    </row>
    <row r="103" spans="1:5">
      <c r="A103" s="86"/>
      <c r="B103" s="86"/>
      <c r="C103" s="86"/>
      <c r="D103" s="86"/>
      <c r="E103" s="426"/>
    </row>
    <row r="104" spans="1:5">
      <c r="A104" s="86"/>
      <c r="B104" s="86"/>
      <c r="C104" s="86"/>
      <c r="D104" s="86"/>
      <c r="E104" s="426"/>
    </row>
    <row r="105" spans="1:5">
      <c r="A105" s="86"/>
      <c r="B105" s="86"/>
      <c r="C105" s="86"/>
      <c r="D105" s="86"/>
      <c r="E105" s="426"/>
    </row>
    <row r="106" spans="1:5">
      <c r="A106" s="86"/>
      <c r="B106" s="86"/>
      <c r="C106" s="86"/>
      <c r="D106" s="86"/>
      <c r="E106" s="426"/>
    </row>
    <row r="107" spans="1:5">
      <c r="A107" s="86"/>
      <c r="B107" s="86"/>
      <c r="C107" s="86"/>
      <c r="D107" s="86"/>
      <c r="E107" s="426"/>
    </row>
    <row r="108" spans="1:5">
      <c r="A108" s="86"/>
      <c r="B108" s="86"/>
      <c r="C108" s="86"/>
      <c r="D108" s="86"/>
      <c r="E108" s="426"/>
    </row>
    <row r="109" spans="1:5">
      <c r="A109" s="86"/>
      <c r="B109" s="86"/>
      <c r="C109" s="86"/>
      <c r="D109" s="86"/>
      <c r="E109" s="426"/>
    </row>
    <row r="110" spans="1:5">
      <c r="A110" s="86"/>
      <c r="B110" s="86"/>
      <c r="C110" s="86"/>
      <c r="D110" s="86"/>
      <c r="E110" s="426"/>
    </row>
    <row r="111" spans="1:5">
      <c r="A111" s="86"/>
      <c r="B111" s="86"/>
      <c r="C111" s="86"/>
      <c r="D111" s="86"/>
      <c r="E111" s="426"/>
    </row>
    <row r="112" spans="1:5">
      <c r="A112" s="86"/>
      <c r="B112" s="86"/>
      <c r="C112" s="86"/>
      <c r="D112" s="86"/>
      <c r="E112" s="426"/>
    </row>
    <row r="113" spans="1:5">
      <c r="A113" s="86"/>
      <c r="B113" s="86"/>
      <c r="C113" s="86"/>
      <c r="D113" s="86"/>
      <c r="E113" s="426"/>
    </row>
    <row r="114" spans="1:5">
      <c r="A114" s="86"/>
      <c r="B114" s="86"/>
      <c r="C114" s="86"/>
      <c r="D114" s="86"/>
      <c r="E114" s="426"/>
    </row>
    <row r="115" spans="1:5">
      <c r="A115" s="86"/>
      <c r="B115" s="86"/>
      <c r="C115" s="239"/>
      <c r="D115" s="86"/>
      <c r="E115" s="426"/>
    </row>
    <row r="116" spans="1:5">
      <c r="A116" s="86"/>
      <c r="B116" s="86"/>
      <c r="C116" s="86"/>
      <c r="D116" s="86"/>
      <c r="E116" s="426"/>
    </row>
    <row r="117" spans="1:5">
      <c r="A117" s="86"/>
      <c r="B117" s="86"/>
      <c r="C117" s="86"/>
      <c r="D117" s="86"/>
      <c r="E117" s="426"/>
    </row>
    <row r="118" spans="1:5">
      <c r="A118" s="86"/>
      <c r="B118" s="86"/>
      <c r="C118" s="86"/>
      <c r="D118" s="86"/>
      <c r="E118" s="426"/>
    </row>
    <row r="119" spans="1:5">
      <c r="A119" s="86"/>
      <c r="B119" s="86"/>
      <c r="C119" s="86"/>
      <c r="D119" s="86"/>
      <c r="E119" s="426"/>
    </row>
    <row r="120" spans="1:5">
      <c r="A120" s="86"/>
      <c r="B120" s="86"/>
      <c r="C120" s="86"/>
      <c r="D120" s="86"/>
      <c r="E120" s="426"/>
    </row>
    <row r="121" spans="1:5">
      <c r="A121" s="86"/>
      <c r="B121" s="86"/>
      <c r="C121" s="86"/>
      <c r="D121" s="86"/>
      <c r="E121" s="426"/>
    </row>
    <row r="122" spans="1:5">
      <c r="A122" s="86"/>
      <c r="B122" s="86"/>
      <c r="C122" s="86"/>
      <c r="D122" s="86"/>
      <c r="E122" s="426"/>
    </row>
    <row r="123" spans="1:5">
      <c r="A123" s="86"/>
      <c r="B123" s="86"/>
      <c r="C123" s="86"/>
      <c r="D123" s="86"/>
      <c r="E123" s="426"/>
    </row>
    <row r="124" spans="1:5">
      <c r="A124" s="86"/>
      <c r="B124" s="86"/>
      <c r="C124" s="86"/>
      <c r="D124" s="86"/>
      <c r="E124" s="426"/>
    </row>
    <row r="125" spans="1:5">
      <c r="A125" s="86"/>
      <c r="B125" s="86"/>
      <c r="C125" s="86"/>
      <c r="D125" s="86"/>
      <c r="E125" s="426"/>
    </row>
    <row r="126" spans="1:5">
      <c r="A126" s="86"/>
      <c r="B126" s="86"/>
      <c r="C126" s="86"/>
      <c r="D126" s="86"/>
      <c r="E126" s="426"/>
    </row>
  </sheetData>
  <pageMargins left="0.65" right="0.15" top="0.3" bottom="0.3" header="0.5" footer="0.5"/>
  <pageSetup scale="8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126"/>
  <sheetViews>
    <sheetView zoomScaleNormal="100" workbookViewId="0">
      <pane xSplit="4" ySplit="12" topLeftCell="E46" activePane="bottomRight" state="frozen"/>
      <selection activeCell="G55" sqref="G55:H60"/>
      <selection pane="topRight" activeCell="G55" sqref="G55:H60"/>
      <selection pane="bottomLeft" activeCell="G55" sqref="G55:H60"/>
      <selection pane="bottomRight" activeCell="E25" sqref="E25"/>
    </sheetView>
  </sheetViews>
  <sheetFormatPr defaultColWidth="9.77734375" defaultRowHeight="15"/>
  <cols>
    <col min="1" max="1" width="4.77734375" customWidth="1"/>
    <col min="2" max="2" width="21.77734375" customWidth="1"/>
    <col min="3" max="3" width="28.77734375" customWidth="1"/>
    <col min="4" max="5" width="20.77734375" customWidth="1"/>
    <col min="6" max="6" width="11.33203125" bestFit="1" customWidth="1"/>
    <col min="7" max="7" width="10.44140625" bestFit="1" customWidth="1"/>
  </cols>
  <sheetData>
    <row r="1" spans="1:6" ht="15.75" thickBot="1">
      <c r="A1" t="str">
        <f>'Data sheet'!A57</f>
        <v>Annual Report of Veolia Water New York, Inc.                                              Year Ended  December 31, 2023</v>
      </c>
    </row>
    <row r="2" spans="1:6">
      <c r="A2" s="129"/>
      <c r="B2" s="130"/>
      <c r="C2" s="130"/>
      <c r="D2" s="130"/>
      <c r="E2" s="131"/>
    </row>
    <row r="3" spans="1:6" ht="15.75">
      <c r="A3" s="118" t="s">
        <v>771</v>
      </c>
      <c r="B3" s="5"/>
      <c r="C3" s="5"/>
      <c r="D3" s="5"/>
      <c r="E3" s="132"/>
    </row>
    <row r="4" spans="1:6">
      <c r="A4" s="97"/>
      <c r="B4" s="98"/>
      <c r="C4" s="98"/>
      <c r="D4" s="128"/>
      <c r="E4" s="225"/>
    </row>
    <row r="5" spans="1:6">
      <c r="A5" s="85"/>
      <c r="B5" s="86"/>
      <c r="C5" s="86"/>
      <c r="D5" s="86"/>
      <c r="E5" s="87"/>
    </row>
    <row r="6" spans="1:6">
      <c r="A6" s="85" t="s">
        <v>1563</v>
      </c>
      <c r="B6" s="86"/>
      <c r="C6" s="86"/>
      <c r="D6" s="86"/>
      <c r="E6" s="87"/>
    </row>
    <row r="7" spans="1:6">
      <c r="A7" s="85" t="s">
        <v>3146</v>
      </c>
      <c r="B7" s="86"/>
      <c r="C7" s="86"/>
      <c r="D7" s="86"/>
      <c r="E7" s="87"/>
    </row>
    <row r="8" spans="1:6">
      <c r="A8" s="85" t="s">
        <v>3147</v>
      </c>
      <c r="B8" s="86"/>
      <c r="C8" s="86"/>
      <c r="D8" s="86"/>
      <c r="E8" s="87"/>
    </row>
    <row r="9" spans="1:6">
      <c r="A9" s="97"/>
      <c r="B9" s="98"/>
      <c r="C9" s="98"/>
      <c r="D9" s="98"/>
      <c r="E9" s="101"/>
    </row>
    <row r="10" spans="1:6">
      <c r="A10" s="226"/>
      <c r="B10" s="90"/>
      <c r="C10" s="90"/>
      <c r="D10" s="91"/>
      <c r="E10" s="428" t="s">
        <v>4323</v>
      </c>
    </row>
    <row r="11" spans="1:6">
      <c r="A11" s="237" t="s">
        <v>1727</v>
      </c>
      <c r="C11" s="94" t="s">
        <v>4324</v>
      </c>
      <c r="D11" s="440"/>
      <c r="E11" s="428" t="s">
        <v>4325</v>
      </c>
    </row>
    <row r="12" spans="1:6">
      <c r="A12" s="240" t="s">
        <v>1739</v>
      </c>
      <c r="B12" s="133" t="s">
        <v>3279</v>
      </c>
      <c r="C12" s="121"/>
      <c r="D12" s="366"/>
      <c r="E12" s="424" t="s">
        <v>3280</v>
      </c>
    </row>
    <row r="13" spans="1:6">
      <c r="A13" s="237">
        <v>1</v>
      </c>
      <c r="B13" s="1780" t="s">
        <v>5525</v>
      </c>
      <c r="C13" s="1780" t="s">
        <v>5526</v>
      </c>
      <c r="D13" s="1780"/>
      <c r="E13" s="1781">
        <v>19414</v>
      </c>
    </row>
    <row r="14" spans="1:6">
      <c r="A14" s="237">
        <v>2</v>
      </c>
      <c r="B14" s="1780"/>
      <c r="C14" s="1780" t="s">
        <v>5527</v>
      </c>
      <c r="D14" s="1780"/>
      <c r="E14" s="1782">
        <v>22086</v>
      </c>
    </row>
    <row r="15" spans="1:6">
      <c r="A15" s="237">
        <v>3</v>
      </c>
      <c r="B15" s="1780"/>
      <c r="C15" s="1780" t="s">
        <v>5010</v>
      </c>
      <c r="D15" s="1780"/>
      <c r="E15" s="1782">
        <v>36145</v>
      </c>
    </row>
    <row r="16" spans="1:6">
      <c r="A16" s="237">
        <v>4</v>
      </c>
      <c r="B16" s="1780"/>
      <c r="C16" s="1780"/>
      <c r="D16" s="1780"/>
      <c r="E16" s="1782"/>
      <c r="F16" s="1544"/>
    </row>
    <row r="17" spans="1:5">
      <c r="A17" s="237">
        <v>5</v>
      </c>
      <c r="B17" s="1780" t="s">
        <v>4725</v>
      </c>
      <c r="C17" s="1780" t="s">
        <v>5010</v>
      </c>
      <c r="D17" s="1780"/>
      <c r="E17" s="1782">
        <v>14604</v>
      </c>
    </row>
    <row r="18" spans="1:5">
      <c r="A18" s="237">
        <v>6</v>
      </c>
      <c r="B18" s="1780"/>
      <c r="C18" s="1780"/>
      <c r="D18" s="1780"/>
      <c r="E18" s="1782"/>
    </row>
    <row r="19" spans="1:5">
      <c r="A19" s="237">
        <v>7</v>
      </c>
      <c r="B19" s="1780" t="s">
        <v>4726</v>
      </c>
      <c r="C19" s="1780" t="s">
        <v>5528</v>
      </c>
      <c r="D19" s="1780"/>
      <c r="E19" s="1782">
        <v>18317</v>
      </c>
    </row>
    <row r="20" spans="1:5">
      <c r="A20" s="237">
        <v>8</v>
      </c>
      <c r="B20" s="1780"/>
      <c r="C20" s="1780" t="s">
        <v>5529</v>
      </c>
      <c r="D20" s="1780"/>
      <c r="E20" s="1782">
        <v>55403</v>
      </c>
    </row>
    <row r="21" spans="1:5">
      <c r="A21" s="237">
        <v>9</v>
      </c>
      <c r="B21" s="1780"/>
      <c r="C21" s="1780" t="s">
        <v>5010</v>
      </c>
      <c r="D21" s="1780"/>
      <c r="E21" s="1782">
        <v>9383</v>
      </c>
    </row>
    <row r="22" spans="1:5">
      <c r="A22" s="237">
        <v>10</v>
      </c>
      <c r="B22" s="1780"/>
      <c r="C22" s="1780"/>
      <c r="D22" s="1780"/>
      <c r="E22" s="1782"/>
    </row>
    <row r="23" spans="1:5">
      <c r="A23" s="237">
        <v>11</v>
      </c>
      <c r="B23" s="1780" t="s">
        <v>1984</v>
      </c>
      <c r="C23" s="1780" t="s">
        <v>5010</v>
      </c>
      <c r="D23" s="1780"/>
      <c r="E23" s="1782">
        <v>4547</v>
      </c>
    </row>
    <row r="24" spans="1:5">
      <c r="A24" s="237">
        <v>12</v>
      </c>
      <c r="B24" s="1780"/>
      <c r="C24" s="1780"/>
      <c r="D24" s="1780"/>
      <c r="E24" s="1782"/>
    </row>
    <row r="25" spans="1:5">
      <c r="A25" s="237">
        <v>13</v>
      </c>
      <c r="B25" s="1780" t="s">
        <v>4727</v>
      </c>
      <c r="C25" s="1780" t="s">
        <v>5530</v>
      </c>
      <c r="D25" s="1780"/>
      <c r="E25" s="1782">
        <v>11652</v>
      </c>
    </row>
    <row r="26" spans="1:5">
      <c r="A26" s="237">
        <v>14</v>
      </c>
      <c r="B26" s="1780"/>
      <c r="C26" s="1780" t="s">
        <v>5010</v>
      </c>
      <c r="D26" s="1780"/>
      <c r="E26" s="1782">
        <v>4630</v>
      </c>
    </row>
    <row r="27" spans="1:5">
      <c r="A27" s="237">
        <v>15</v>
      </c>
      <c r="B27" s="1780"/>
      <c r="C27" s="1780"/>
      <c r="D27" s="1780"/>
      <c r="E27" s="1782"/>
    </row>
    <row r="28" spans="1:5">
      <c r="A28" s="237">
        <v>16</v>
      </c>
      <c r="B28" s="1780" t="s">
        <v>4728</v>
      </c>
      <c r="C28" s="1780" t="s">
        <v>5032</v>
      </c>
      <c r="D28" s="1780"/>
      <c r="E28" s="1782">
        <v>38782</v>
      </c>
    </row>
    <row r="29" spans="1:5">
      <c r="A29" s="237">
        <v>17</v>
      </c>
      <c r="B29" s="1780"/>
      <c r="C29" s="1780" t="s">
        <v>5531</v>
      </c>
      <c r="D29" s="1780"/>
      <c r="E29" s="1782">
        <v>95847</v>
      </c>
    </row>
    <row r="30" spans="1:5">
      <c r="A30" s="237">
        <v>18</v>
      </c>
      <c r="B30" s="1780"/>
      <c r="C30" s="1780" t="s">
        <v>5532</v>
      </c>
      <c r="D30" s="1780"/>
      <c r="E30" s="1782">
        <v>18444</v>
      </c>
    </row>
    <row r="31" spans="1:5">
      <c r="A31" s="237">
        <v>19</v>
      </c>
      <c r="B31" s="1780"/>
      <c r="C31" s="1780" t="s">
        <v>5533</v>
      </c>
      <c r="D31" s="1780"/>
      <c r="E31" s="1782">
        <v>23758</v>
      </c>
    </row>
    <row r="32" spans="1:5">
      <c r="A32" s="237">
        <v>20</v>
      </c>
      <c r="B32" s="1780"/>
      <c r="C32" s="1780" t="s">
        <v>5534</v>
      </c>
      <c r="D32" s="1780"/>
      <c r="E32" s="1782">
        <v>38077</v>
      </c>
    </row>
    <row r="33" spans="1:5">
      <c r="A33" s="237">
        <v>21</v>
      </c>
      <c r="B33" s="1780"/>
      <c r="C33" s="1780" t="s">
        <v>5010</v>
      </c>
      <c r="D33" s="1780"/>
      <c r="E33" s="1782">
        <v>10770</v>
      </c>
    </row>
    <row r="34" spans="1:5">
      <c r="A34" s="237">
        <v>22</v>
      </c>
      <c r="B34" s="1780"/>
      <c r="C34" s="1780"/>
      <c r="D34" s="1780"/>
      <c r="E34" s="1782"/>
    </row>
    <row r="35" spans="1:5">
      <c r="A35" s="237">
        <v>23</v>
      </c>
      <c r="B35" s="1780" t="s">
        <v>4776</v>
      </c>
      <c r="C35" s="1780" t="s">
        <v>5033</v>
      </c>
      <c r="D35" s="1780"/>
      <c r="E35" s="1782">
        <v>97346</v>
      </c>
    </row>
    <row r="36" spans="1:5">
      <c r="A36" s="237">
        <v>24</v>
      </c>
      <c r="B36" s="1780"/>
      <c r="C36" s="1780" t="s">
        <v>5034</v>
      </c>
      <c r="D36" s="1780"/>
      <c r="E36" s="1782">
        <v>17375</v>
      </c>
    </row>
    <row r="37" spans="1:5">
      <c r="A37" s="237">
        <v>25</v>
      </c>
      <c r="B37" s="1780"/>
      <c r="C37" s="1780" t="s">
        <v>5035</v>
      </c>
      <c r="D37" s="1780"/>
      <c r="E37" s="1782">
        <v>20792</v>
      </c>
    </row>
    <row r="38" spans="1:5">
      <c r="A38" s="237">
        <v>26</v>
      </c>
      <c r="B38" s="1780"/>
      <c r="C38" s="1780" t="s">
        <v>5245</v>
      </c>
      <c r="D38" s="1780"/>
      <c r="E38" s="1782">
        <v>-28105</v>
      </c>
    </row>
    <row r="39" spans="1:5">
      <c r="A39" s="237">
        <v>27</v>
      </c>
      <c r="B39" s="1780"/>
      <c r="C39" s="1780" t="s">
        <v>5535</v>
      </c>
      <c r="D39" s="1780"/>
      <c r="E39" s="1782">
        <v>128112</v>
      </c>
    </row>
    <row r="40" spans="1:5">
      <c r="A40" s="237">
        <v>28</v>
      </c>
      <c r="B40" s="1780"/>
      <c r="C40" s="1780" t="s">
        <v>5536</v>
      </c>
      <c r="D40" s="1780"/>
      <c r="E40" s="1782">
        <v>22890</v>
      </c>
    </row>
    <row r="41" spans="1:5">
      <c r="A41" s="237">
        <v>29</v>
      </c>
      <c r="B41" s="1780"/>
      <c r="C41" s="1780" t="s">
        <v>5537</v>
      </c>
      <c r="D41" s="1780"/>
      <c r="E41" s="1782">
        <v>54406</v>
      </c>
    </row>
    <row r="42" spans="1:5">
      <c r="A42" s="237">
        <v>30</v>
      </c>
      <c r="B42" s="1780"/>
      <c r="C42" s="1780" t="s">
        <v>5010</v>
      </c>
      <c r="D42" s="1780"/>
      <c r="E42" s="1782">
        <v>6819</v>
      </c>
    </row>
    <row r="43" spans="1:5">
      <c r="A43" s="237">
        <v>31</v>
      </c>
      <c r="B43" s="1780"/>
      <c r="C43" s="1780"/>
      <c r="D43" s="1780"/>
      <c r="E43" s="1782"/>
    </row>
    <row r="44" spans="1:5">
      <c r="A44" s="237">
        <v>32</v>
      </c>
      <c r="B44" s="1780" t="s">
        <v>4729</v>
      </c>
      <c r="C44" s="1780" t="s">
        <v>5260</v>
      </c>
      <c r="D44" s="1780"/>
      <c r="E44" s="1782">
        <v>11155</v>
      </c>
    </row>
    <row r="45" spans="1:5">
      <c r="A45" s="237">
        <v>33</v>
      </c>
      <c r="B45" s="1780"/>
      <c r="C45" s="1780" t="s">
        <v>5261</v>
      </c>
      <c r="D45" s="1780"/>
      <c r="E45" s="1782">
        <v>15064</v>
      </c>
    </row>
    <row r="46" spans="1:5">
      <c r="A46" s="237">
        <v>34</v>
      </c>
      <c r="B46" s="1780"/>
      <c r="C46" s="1780" t="s">
        <v>5262</v>
      </c>
      <c r="D46" s="1780"/>
      <c r="E46" s="1782">
        <v>50346</v>
      </c>
    </row>
    <row r="47" spans="1:5">
      <c r="A47" s="237">
        <v>35</v>
      </c>
      <c r="B47" s="1780"/>
      <c r="C47" s="1780" t="s">
        <v>5263</v>
      </c>
      <c r="D47" s="1780"/>
      <c r="E47" s="1782">
        <v>6256469</v>
      </c>
    </row>
    <row r="48" spans="1:5">
      <c r="A48" s="237">
        <v>36</v>
      </c>
      <c r="B48" s="1780"/>
      <c r="C48" s="1780" t="s">
        <v>5264</v>
      </c>
      <c r="D48" s="1780"/>
      <c r="E48" s="1782">
        <v>11157</v>
      </c>
    </row>
    <row r="49" spans="1:7">
      <c r="A49" s="237">
        <v>37</v>
      </c>
      <c r="B49" s="1780"/>
      <c r="C49" s="1780" t="s">
        <v>5036</v>
      </c>
      <c r="D49" s="1780"/>
      <c r="E49" s="1782">
        <v>141951</v>
      </c>
    </row>
    <row r="50" spans="1:7">
      <c r="A50" s="237">
        <v>38</v>
      </c>
      <c r="B50" s="1780"/>
      <c r="C50" s="1780" t="s">
        <v>5265</v>
      </c>
      <c r="D50" s="1780"/>
      <c r="E50" s="1782">
        <v>16311</v>
      </c>
    </row>
    <row r="51" spans="1:7">
      <c r="A51" s="237">
        <v>39</v>
      </c>
      <c r="B51" s="1780"/>
      <c r="C51" s="1780" t="s">
        <v>5266</v>
      </c>
      <c r="D51" s="1780"/>
      <c r="E51" s="1782">
        <v>15661</v>
      </c>
    </row>
    <row r="52" spans="1:7">
      <c r="A52" s="237">
        <v>40</v>
      </c>
      <c r="B52" s="1780"/>
      <c r="C52" s="1780" t="s">
        <v>5267</v>
      </c>
      <c r="D52" s="1780"/>
      <c r="E52" s="1782">
        <v>10486</v>
      </c>
    </row>
    <row r="53" spans="1:7">
      <c r="A53" s="237">
        <v>41</v>
      </c>
      <c r="B53" s="1780"/>
      <c r="C53" s="1780" t="s">
        <v>5268</v>
      </c>
      <c r="D53" s="1780"/>
      <c r="E53" s="1782">
        <v>1708361</v>
      </c>
    </row>
    <row r="54" spans="1:7">
      <c r="A54" s="237">
        <v>42</v>
      </c>
      <c r="B54" s="86"/>
      <c r="C54" s="1780" t="s">
        <v>5269</v>
      </c>
      <c r="D54" s="1780"/>
      <c r="E54" s="1782">
        <v>59776</v>
      </c>
    </row>
    <row r="55" spans="1:7">
      <c r="A55" s="237">
        <v>43</v>
      </c>
      <c r="B55" s="1780"/>
      <c r="C55" s="1780" t="s">
        <v>4731</v>
      </c>
      <c r="D55" s="1780"/>
      <c r="E55" s="1782">
        <v>522996</v>
      </c>
    </row>
    <row r="56" spans="1:7">
      <c r="A56" s="237">
        <v>44</v>
      </c>
      <c r="B56" s="1780"/>
      <c r="C56" s="1780" t="s">
        <v>5538</v>
      </c>
      <c r="D56" s="1780"/>
      <c r="E56" s="1782">
        <v>15800</v>
      </c>
    </row>
    <row r="57" spans="1:7" ht="15.75" thickBot="1">
      <c r="A57" s="443">
        <v>45</v>
      </c>
      <c r="B57" s="398" t="s">
        <v>5037</v>
      </c>
      <c r="C57" s="485"/>
      <c r="D57" s="2528"/>
      <c r="E57" s="2529">
        <f>SUM(E13:E56)</f>
        <v>9577027</v>
      </c>
      <c r="G57" s="140"/>
    </row>
    <row r="58" spans="1:7">
      <c r="A58" t="s">
        <v>2024</v>
      </c>
      <c r="E58" s="136"/>
    </row>
    <row r="59" spans="1:7">
      <c r="A59" s="5" t="s">
        <v>5038</v>
      </c>
      <c r="B59" s="5"/>
      <c r="C59" s="5"/>
      <c r="D59" s="5"/>
      <c r="E59" s="406"/>
    </row>
    <row r="60" spans="1:7">
      <c r="A60" s="5"/>
      <c r="B60" s="5"/>
      <c r="C60" s="5"/>
      <c r="D60" s="5"/>
      <c r="E60" s="406"/>
    </row>
    <row r="61" spans="1:7">
      <c r="A61" s="86"/>
      <c r="B61" s="86"/>
      <c r="C61" s="86"/>
      <c r="D61" s="86"/>
      <c r="E61" s="404"/>
    </row>
    <row r="62" spans="1:7">
      <c r="A62" s="86"/>
      <c r="B62" s="86"/>
      <c r="C62" s="86"/>
      <c r="D62" s="86"/>
      <c r="E62" s="404"/>
    </row>
    <row r="63" spans="1:7">
      <c r="A63" s="86"/>
      <c r="B63" s="86"/>
      <c r="C63" s="86"/>
      <c r="D63" s="86"/>
      <c r="E63" s="404"/>
    </row>
    <row r="64" spans="1:7">
      <c r="A64" s="86"/>
      <c r="B64" s="86"/>
      <c r="C64" s="86"/>
      <c r="D64" s="86"/>
      <c r="E64" s="404"/>
    </row>
    <row r="65" spans="1:5">
      <c r="A65" s="86"/>
      <c r="B65" s="86"/>
      <c r="C65" s="86"/>
      <c r="D65" s="86"/>
      <c r="E65" s="404"/>
    </row>
    <row r="66" spans="1:5">
      <c r="A66" s="86"/>
      <c r="B66" s="86"/>
      <c r="C66" s="86"/>
      <c r="D66" s="86"/>
      <c r="E66" s="404"/>
    </row>
    <row r="67" spans="1:5">
      <c r="A67" s="86"/>
      <c r="B67" s="86"/>
      <c r="C67" s="86"/>
      <c r="D67" s="86"/>
      <c r="E67" s="404"/>
    </row>
    <row r="68" spans="1:5">
      <c r="A68" s="86"/>
      <c r="B68" s="86"/>
      <c r="C68" s="86"/>
      <c r="D68" s="86"/>
      <c r="E68" s="404"/>
    </row>
    <row r="69" spans="1:5">
      <c r="A69" s="86"/>
      <c r="B69" s="86"/>
      <c r="C69" s="86"/>
      <c r="D69" s="86"/>
      <c r="E69" s="404"/>
    </row>
    <row r="70" spans="1:5">
      <c r="A70" s="86"/>
      <c r="B70" s="86"/>
      <c r="C70" s="86"/>
      <c r="D70" s="86"/>
      <c r="E70" s="404"/>
    </row>
    <row r="71" spans="1:5">
      <c r="A71" s="86"/>
      <c r="B71" s="86"/>
      <c r="C71" s="86"/>
      <c r="D71" s="86"/>
      <c r="E71" s="404"/>
    </row>
    <row r="72" spans="1:5">
      <c r="A72" s="86"/>
      <c r="B72" s="86"/>
      <c r="C72" s="86"/>
      <c r="D72" s="86"/>
      <c r="E72" s="404"/>
    </row>
    <row r="73" spans="1:5">
      <c r="A73" s="86"/>
      <c r="B73" s="86"/>
      <c r="C73" s="86"/>
      <c r="D73" s="86"/>
      <c r="E73" s="404"/>
    </row>
    <row r="74" spans="1:5">
      <c r="A74" s="86"/>
      <c r="B74" s="86"/>
      <c r="C74" s="86"/>
      <c r="D74" s="86"/>
      <c r="E74" s="404"/>
    </row>
    <row r="75" spans="1:5">
      <c r="A75" s="86"/>
      <c r="B75" s="86"/>
      <c r="C75" s="86"/>
      <c r="D75" s="86"/>
      <c r="E75" s="404"/>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6"/>
      <c r="B84" s="86"/>
      <c r="C84" s="86"/>
      <c r="D84" s="86"/>
      <c r="E84" s="86"/>
    </row>
    <row r="85" spans="1:5">
      <c r="A85" s="86"/>
      <c r="B85" s="86"/>
      <c r="C85" s="86"/>
      <c r="D85" s="86"/>
      <c r="E85" s="404"/>
    </row>
    <row r="86" spans="1:5">
      <c r="A86" s="86"/>
      <c r="B86" s="86"/>
      <c r="C86" s="86"/>
      <c r="D86" s="86"/>
      <c r="E86" s="426"/>
    </row>
    <row r="87" spans="1:5">
      <c r="A87" s="86"/>
      <c r="B87" s="86"/>
      <c r="C87" s="86"/>
      <c r="D87" s="86"/>
      <c r="E87" s="426"/>
    </row>
    <row r="88" spans="1:5">
      <c r="A88" s="86"/>
      <c r="B88" s="86"/>
      <c r="C88" s="86"/>
      <c r="D88" s="86"/>
      <c r="E88" s="426"/>
    </row>
    <row r="89" spans="1:5">
      <c r="A89" s="86"/>
      <c r="B89" s="86"/>
      <c r="C89" s="86"/>
      <c r="D89" s="86"/>
      <c r="E89" s="426"/>
    </row>
    <row r="90" spans="1:5">
      <c r="A90" s="86"/>
      <c r="B90" s="86"/>
      <c r="C90" s="86"/>
      <c r="D90" s="86"/>
      <c r="E90" s="426"/>
    </row>
    <row r="91" spans="1:5">
      <c r="A91" s="86"/>
      <c r="B91" s="86"/>
      <c r="C91" s="86"/>
      <c r="D91" s="86"/>
      <c r="E91" s="426"/>
    </row>
    <row r="92" spans="1:5">
      <c r="A92" s="86"/>
      <c r="B92" s="86"/>
      <c r="C92" s="86"/>
      <c r="D92" s="86"/>
      <c r="E92" s="426"/>
    </row>
    <row r="93" spans="1:5">
      <c r="A93" s="86"/>
      <c r="B93" s="86"/>
      <c r="C93" s="86"/>
      <c r="D93" s="86"/>
      <c r="E93" s="426"/>
    </row>
    <row r="94" spans="1:5">
      <c r="A94" s="86"/>
      <c r="B94" s="86"/>
      <c r="C94" s="86"/>
      <c r="D94" s="86"/>
      <c r="E94" s="426"/>
    </row>
    <row r="95" spans="1:5">
      <c r="A95" s="86"/>
      <c r="B95" s="86"/>
      <c r="C95" s="86"/>
      <c r="D95" s="86"/>
      <c r="E95" s="426"/>
    </row>
    <row r="96" spans="1:5">
      <c r="A96" s="86"/>
      <c r="B96" s="86"/>
      <c r="C96" s="86"/>
      <c r="D96" s="86"/>
      <c r="E96" s="426"/>
    </row>
    <row r="97" spans="1:5">
      <c r="A97" s="86"/>
      <c r="B97" s="86"/>
      <c r="C97" s="86"/>
      <c r="D97" s="86"/>
      <c r="E97" s="426"/>
    </row>
    <row r="98" spans="1:5">
      <c r="A98" s="86"/>
      <c r="B98" s="86"/>
      <c r="C98" s="86"/>
      <c r="D98" s="86"/>
      <c r="E98" s="426"/>
    </row>
    <row r="99" spans="1:5">
      <c r="A99" s="86"/>
      <c r="B99" s="86"/>
      <c r="C99" s="86"/>
      <c r="D99" s="86"/>
      <c r="E99" s="426"/>
    </row>
    <row r="100" spans="1:5">
      <c r="A100" s="86"/>
      <c r="B100" s="86"/>
      <c r="C100" s="86"/>
      <c r="D100" s="86"/>
      <c r="E100" s="426"/>
    </row>
    <row r="101" spans="1:5">
      <c r="A101" s="86"/>
      <c r="B101" s="86"/>
      <c r="C101" s="86"/>
      <c r="D101" s="86"/>
      <c r="E101" s="426"/>
    </row>
    <row r="102" spans="1:5">
      <c r="A102" s="86"/>
      <c r="B102" s="86"/>
      <c r="C102" s="86"/>
      <c r="D102" s="86"/>
      <c r="E102" s="426"/>
    </row>
    <row r="103" spans="1:5">
      <c r="A103" s="86"/>
      <c r="B103" s="86"/>
      <c r="C103" s="86"/>
      <c r="D103" s="86"/>
      <c r="E103" s="426"/>
    </row>
    <row r="104" spans="1:5">
      <c r="A104" s="86"/>
      <c r="B104" s="86"/>
      <c r="C104" s="86"/>
      <c r="D104" s="86"/>
      <c r="E104" s="426"/>
    </row>
    <row r="105" spans="1:5">
      <c r="A105" s="86"/>
      <c r="B105" s="86"/>
      <c r="C105" s="86"/>
      <c r="D105" s="86"/>
      <c r="E105" s="426"/>
    </row>
    <row r="106" spans="1:5">
      <c r="A106" s="86"/>
      <c r="B106" s="86"/>
      <c r="C106" s="86"/>
      <c r="D106" s="86"/>
      <c r="E106" s="426"/>
    </row>
    <row r="107" spans="1:5">
      <c r="A107" s="86"/>
      <c r="B107" s="86"/>
      <c r="C107" s="86"/>
      <c r="D107" s="86"/>
      <c r="E107" s="426"/>
    </row>
    <row r="108" spans="1:5">
      <c r="A108" s="86"/>
      <c r="B108" s="86"/>
      <c r="C108" s="86"/>
      <c r="D108" s="86"/>
      <c r="E108" s="426"/>
    </row>
    <row r="109" spans="1:5">
      <c r="A109" s="86"/>
      <c r="B109" s="86"/>
      <c r="C109" s="86"/>
      <c r="D109" s="86"/>
      <c r="E109" s="426"/>
    </row>
    <row r="110" spans="1:5">
      <c r="A110" s="86"/>
      <c r="B110" s="86"/>
      <c r="C110" s="86"/>
      <c r="D110" s="86"/>
      <c r="E110" s="426"/>
    </row>
    <row r="111" spans="1:5">
      <c r="A111" s="86"/>
      <c r="B111" s="86"/>
      <c r="C111" s="86"/>
      <c r="D111" s="86"/>
      <c r="E111" s="426"/>
    </row>
    <row r="112" spans="1:5">
      <c r="A112" s="86"/>
      <c r="B112" s="86"/>
      <c r="C112" s="86"/>
      <c r="D112" s="86"/>
      <c r="E112" s="426"/>
    </row>
    <row r="113" spans="1:5">
      <c r="A113" s="86"/>
      <c r="B113" s="86"/>
      <c r="C113" s="86"/>
      <c r="D113" s="86"/>
      <c r="E113" s="426"/>
    </row>
    <row r="114" spans="1:5">
      <c r="A114" s="86"/>
      <c r="B114" s="86"/>
      <c r="C114" s="86"/>
      <c r="D114" s="86"/>
      <c r="E114" s="426"/>
    </row>
    <row r="115" spans="1:5">
      <c r="A115" s="86"/>
      <c r="B115" s="86"/>
      <c r="C115" s="239"/>
      <c r="D115" s="86"/>
      <c r="E115" s="426"/>
    </row>
    <row r="116" spans="1:5">
      <c r="A116" s="86"/>
      <c r="B116" s="86"/>
      <c r="C116" s="86"/>
      <c r="D116" s="86"/>
      <c r="E116" s="426"/>
    </row>
    <row r="117" spans="1:5">
      <c r="A117" s="86"/>
      <c r="B117" s="86"/>
      <c r="C117" s="86"/>
      <c r="D117" s="86"/>
      <c r="E117" s="426"/>
    </row>
    <row r="118" spans="1:5">
      <c r="A118" s="86"/>
      <c r="B118" s="86"/>
      <c r="C118" s="86"/>
      <c r="D118" s="86"/>
      <c r="E118" s="426"/>
    </row>
    <row r="119" spans="1:5">
      <c r="A119" s="86"/>
      <c r="B119" s="86"/>
      <c r="C119" s="86"/>
      <c r="D119" s="86"/>
      <c r="E119" s="426"/>
    </row>
    <row r="120" spans="1:5">
      <c r="A120" s="86"/>
      <c r="B120" s="86"/>
      <c r="C120" s="86"/>
      <c r="D120" s="86"/>
      <c r="E120" s="426"/>
    </row>
    <row r="121" spans="1:5">
      <c r="A121" s="86"/>
      <c r="B121" s="86"/>
      <c r="C121" s="86"/>
      <c r="D121" s="86"/>
      <c r="E121" s="426"/>
    </row>
    <row r="122" spans="1:5">
      <c r="A122" s="86"/>
      <c r="B122" s="86"/>
      <c r="C122" s="86"/>
      <c r="D122" s="86"/>
      <c r="E122" s="426"/>
    </row>
    <row r="123" spans="1:5">
      <c r="A123" s="86"/>
      <c r="B123" s="86"/>
      <c r="C123" s="86"/>
      <c r="D123" s="86"/>
      <c r="E123" s="426"/>
    </row>
    <row r="124" spans="1:5">
      <c r="A124" s="86"/>
      <c r="B124" s="86"/>
      <c r="C124" s="86"/>
      <c r="D124" s="86"/>
      <c r="E124" s="426"/>
    </row>
    <row r="125" spans="1:5">
      <c r="A125" s="86"/>
      <c r="B125" s="86"/>
      <c r="C125" s="86"/>
      <c r="D125" s="86"/>
      <c r="E125" s="426"/>
    </row>
    <row r="126" spans="1:5">
      <c r="A126" s="86"/>
      <c r="B126" s="86"/>
      <c r="C126" s="86"/>
      <c r="D126" s="86"/>
      <c r="E126" s="426"/>
    </row>
  </sheetData>
  <pageMargins left="0.65" right="0.15" top="0.3" bottom="0.3" header="0.5" footer="0.5"/>
  <pageSetup scale="83"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127"/>
  <sheetViews>
    <sheetView zoomScaleNormal="100" workbookViewId="0">
      <pane xSplit="4" ySplit="12" topLeftCell="E13" activePane="bottomRight" state="frozen"/>
      <selection activeCell="G55" sqref="G55:H60"/>
      <selection pane="topRight" activeCell="G55" sqref="G55:H60"/>
      <selection pane="bottomLeft" activeCell="G55" sqref="G55:H60"/>
      <selection pane="bottomRight" activeCell="G31" sqref="G31"/>
    </sheetView>
  </sheetViews>
  <sheetFormatPr defaultColWidth="9.77734375" defaultRowHeight="15"/>
  <cols>
    <col min="1" max="1" width="4.77734375" customWidth="1"/>
    <col min="2" max="2" width="21.77734375" customWidth="1"/>
    <col min="3" max="3" width="28.77734375" customWidth="1"/>
    <col min="4" max="5" width="20.77734375" customWidth="1"/>
    <col min="6" max="6" width="11.33203125" bestFit="1" customWidth="1"/>
    <col min="7" max="7" width="14.5546875" bestFit="1" customWidth="1"/>
    <col min="8" max="8" width="18.21875" bestFit="1" customWidth="1"/>
  </cols>
  <sheetData>
    <row r="1" spans="1:6" ht="15.75" thickBot="1">
      <c r="A1" t="str">
        <f>'Data sheet'!A57</f>
        <v>Annual Report of Veolia Water New York, Inc.                                              Year Ended  December 31, 2023</v>
      </c>
    </row>
    <row r="2" spans="1:6">
      <c r="A2" s="129"/>
      <c r="B2" s="130"/>
      <c r="C2" s="130"/>
      <c r="D2" s="130"/>
      <c r="E2" s="131"/>
    </row>
    <row r="3" spans="1:6" ht="15.75">
      <c r="A3" s="118" t="s">
        <v>771</v>
      </c>
      <c r="B3" s="5"/>
      <c r="C3" s="5"/>
      <c r="D3" s="5"/>
      <c r="E3" s="132"/>
    </row>
    <row r="4" spans="1:6">
      <c r="A4" s="97"/>
      <c r="B4" s="98"/>
      <c r="C4" s="98"/>
      <c r="D4" s="128"/>
      <c r="E4" s="225"/>
    </row>
    <row r="5" spans="1:6">
      <c r="A5" s="85"/>
      <c r="B5" s="86"/>
      <c r="C5" s="86"/>
      <c r="D5" s="86"/>
      <c r="E5" s="87"/>
    </row>
    <row r="6" spans="1:6">
      <c r="A6" s="85" t="s">
        <v>1563</v>
      </c>
      <c r="B6" s="86"/>
      <c r="C6" s="86"/>
      <c r="D6" s="86"/>
      <c r="E6" s="87"/>
    </row>
    <row r="7" spans="1:6">
      <c r="A7" s="85" t="s">
        <v>3146</v>
      </c>
      <c r="B7" s="86"/>
      <c r="C7" s="86"/>
      <c r="D7" s="86"/>
      <c r="E7" s="87"/>
    </row>
    <row r="8" spans="1:6">
      <c r="A8" s="85" t="s">
        <v>3147</v>
      </c>
      <c r="B8" s="86"/>
      <c r="C8" s="86"/>
      <c r="D8" s="86"/>
      <c r="E8" s="87"/>
    </row>
    <row r="9" spans="1:6">
      <c r="A9" s="97"/>
      <c r="B9" s="98"/>
      <c r="C9" s="98"/>
      <c r="D9" s="98"/>
      <c r="E9" s="101"/>
    </row>
    <row r="10" spans="1:6">
      <c r="A10" s="226"/>
      <c r="B10" s="90"/>
      <c r="C10" s="90"/>
      <c r="D10" s="91"/>
      <c r="E10" s="428" t="s">
        <v>4323</v>
      </c>
    </row>
    <row r="11" spans="1:6">
      <c r="A11" s="237" t="s">
        <v>1727</v>
      </c>
      <c r="C11" s="94" t="s">
        <v>4324</v>
      </c>
      <c r="D11" s="440"/>
      <c r="E11" s="428" t="s">
        <v>4325</v>
      </c>
    </row>
    <row r="12" spans="1:6">
      <c r="A12" s="240" t="s">
        <v>1739</v>
      </c>
      <c r="B12" s="133" t="s">
        <v>3279</v>
      </c>
      <c r="C12" s="121"/>
      <c r="D12" s="366"/>
      <c r="E12" s="424" t="s">
        <v>3280</v>
      </c>
    </row>
    <row r="13" spans="1:6">
      <c r="A13" s="237">
        <v>1</v>
      </c>
      <c r="B13" s="1780" t="s">
        <v>5539</v>
      </c>
      <c r="C13" s="1780" t="s">
        <v>5540</v>
      </c>
      <c r="D13" s="1780"/>
      <c r="E13" s="1781">
        <v>3873650</v>
      </c>
    </row>
    <row r="14" spans="1:6">
      <c r="A14" s="237">
        <v>2</v>
      </c>
      <c r="B14" s="1780"/>
      <c r="C14" s="1780" t="s">
        <v>5541</v>
      </c>
      <c r="D14" s="1780"/>
      <c r="E14" s="1782">
        <v>58275</v>
      </c>
    </row>
    <row r="15" spans="1:6">
      <c r="A15" s="237">
        <v>3</v>
      </c>
      <c r="B15" s="1780"/>
      <c r="C15" s="1780" t="s">
        <v>5542</v>
      </c>
      <c r="D15" s="1780"/>
      <c r="E15" s="1782">
        <v>197059</v>
      </c>
    </row>
    <row r="16" spans="1:6">
      <c r="A16" s="237">
        <v>4</v>
      </c>
      <c r="B16" s="1780"/>
      <c r="C16" s="1780" t="s">
        <v>5543</v>
      </c>
      <c r="D16" s="1780"/>
      <c r="E16" s="1782">
        <v>61877</v>
      </c>
      <c r="F16" s="1544"/>
    </row>
    <row r="17" spans="1:5">
      <c r="A17" s="237">
        <v>5</v>
      </c>
      <c r="B17" s="1780"/>
      <c r="C17" s="1780" t="s">
        <v>5544</v>
      </c>
      <c r="D17" s="1780"/>
      <c r="E17" s="1782">
        <v>20641</v>
      </c>
    </row>
    <row r="18" spans="1:5">
      <c r="A18" s="237">
        <v>6</v>
      </c>
      <c r="B18" s="1780"/>
      <c r="C18" s="1780" t="s">
        <v>5545</v>
      </c>
      <c r="D18" s="1780"/>
      <c r="E18" s="1782">
        <v>13645</v>
      </c>
    </row>
    <row r="19" spans="1:5">
      <c r="A19" s="237">
        <v>7</v>
      </c>
      <c r="B19" s="1780"/>
      <c r="C19" s="1780" t="s">
        <v>5546</v>
      </c>
      <c r="D19" s="1780"/>
      <c r="E19" s="1782">
        <v>197622</v>
      </c>
    </row>
    <row r="20" spans="1:5">
      <c r="A20" s="237">
        <v>8</v>
      </c>
      <c r="B20" s="1780"/>
      <c r="C20" s="1780" t="s">
        <v>5547</v>
      </c>
      <c r="D20" s="1780"/>
      <c r="E20" s="1782">
        <v>439761</v>
      </c>
    </row>
    <row r="21" spans="1:5">
      <c r="A21" s="237">
        <v>9</v>
      </c>
      <c r="B21" s="1780"/>
      <c r="C21" s="1780" t="s">
        <v>5548</v>
      </c>
      <c r="D21" s="1780"/>
      <c r="E21" s="1782">
        <v>48549</v>
      </c>
    </row>
    <row r="22" spans="1:5">
      <c r="A22" s="237">
        <v>10</v>
      </c>
      <c r="B22" s="1780"/>
      <c r="C22" s="1780" t="s">
        <v>5549</v>
      </c>
      <c r="D22" s="1780"/>
      <c r="E22" s="1782">
        <v>30897</v>
      </c>
    </row>
    <row r="23" spans="1:5">
      <c r="A23" s="237">
        <v>11</v>
      </c>
      <c r="B23" s="1780"/>
      <c r="C23" s="1780" t="s">
        <v>5550</v>
      </c>
      <c r="D23" s="1780"/>
      <c r="E23" s="1782">
        <v>12594</v>
      </c>
    </row>
    <row r="24" spans="1:5">
      <c r="A24" s="237">
        <v>12</v>
      </c>
      <c r="B24" s="1780"/>
      <c r="C24" s="1780" t="s">
        <v>5551</v>
      </c>
      <c r="D24" s="1780"/>
      <c r="E24" s="1782">
        <v>13778</v>
      </c>
    </row>
    <row r="25" spans="1:5">
      <c r="A25" s="237">
        <v>13</v>
      </c>
      <c r="B25" s="1780"/>
      <c r="C25" s="1780" t="s">
        <v>5552</v>
      </c>
      <c r="D25" s="1780"/>
      <c r="E25" s="1782">
        <v>18171</v>
      </c>
    </row>
    <row r="26" spans="1:5">
      <c r="A26" s="237">
        <v>14</v>
      </c>
      <c r="B26" s="1780"/>
      <c r="C26" s="1780" t="s">
        <v>5553</v>
      </c>
      <c r="D26" s="1780"/>
      <c r="E26" s="1782">
        <v>43220</v>
      </c>
    </row>
    <row r="27" spans="1:5">
      <c r="A27" s="237">
        <v>15</v>
      </c>
      <c r="B27" s="1780"/>
      <c r="C27" s="1780" t="s">
        <v>5554</v>
      </c>
      <c r="D27" s="1780"/>
      <c r="E27" s="1782">
        <v>39076</v>
      </c>
    </row>
    <row r="28" spans="1:5">
      <c r="A28" s="237">
        <v>16</v>
      </c>
      <c r="B28" s="1780"/>
      <c r="C28" s="1780" t="s">
        <v>5555</v>
      </c>
      <c r="D28" s="1780"/>
      <c r="E28" s="1782">
        <v>47223</v>
      </c>
    </row>
    <row r="29" spans="1:5">
      <c r="A29" s="237">
        <v>17</v>
      </c>
      <c r="B29" s="1780"/>
      <c r="C29" s="1780" t="s">
        <v>5556</v>
      </c>
      <c r="D29" s="1780"/>
      <c r="E29" s="1782">
        <v>67698</v>
      </c>
    </row>
    <row r="30" spans="1:5">
      <c r="A30" s="237">
        <v>18</v>
      </c>
      <c r="B30" s="1780"/>
      <c r="C30" s="1780" t="s">
        <v>5557</v>
      </c>
      <c r="D30" s="1780"/>
      <c r="E30" s="1782">
        <v>18202</v>
      </c>
    </row>
    <row r="31" spans="1:5">
      <c r="A31" s="237">
        <v>19</v>
      </c>
      <c r="B31" s="1780"/>
      <c r="C31" s="1780" t="s">
        <v>5558</v>
      </c>
      <c r="D31" s="1780"/>
      <c r="E31" s="1782">
        <v>25800</v>
      </c>
    </row>
    <row r="32" spans="1:5">
      <c r="A32" s="237">
        <v>20</v>
      </c>
      <c r="B32" s="1780"/>
      <c r="C32" s="1780" t="s">
        <v>5559</v>
      </c>
      <c r="D32" s="1780"/>
      <c r="E32" s="1782">
        <v>31359</v>
      </c>
    </row>
    <row r="33" spans="1:5">
      <c r="A33" s="237">
        <v>21</v>
      </c>
      <c r="B33" s="1780"/>
      <c r="C33" s="1780"/>
      <c r="D33" s="1780"/>
      <c r="E33" s="1782">
        <v>89407</v>
      </c>
    </row>
    <row r="34" spans="1:5">
      <c r="A34" s="237">
        <v>22</v>
      </c>
      <c r="B34" s="1780"/>
      <c r="C34" s="1780"/>
      <c r="D34" s="1780"/>
      <c r="E34" s="1782"/>
    </row>
    <row r="35" spans="1:5">
      <c r="A35" s="237">
        <v>23</v>
      </c>
      <c r="B35" s="1780"/>
      <c r="C35" s="1780"/>
      <c r="D35" s="1780"/>
      <c r="E35" s="1782"/>
    </row>
    <row r="36" spans="1:5">
      <c r="A36" s="237">
        <v>24</v>
      </c>
      <c r="B36" s="1780"/>
      <c r="C36" s="1780"/>
      <c r="D36" s="1780"/>
      <c r="E36" s="1782"/>
    </row>
    <row r="37" spans="1:5">
      <c r="A37" s="237">
        <v>25</v>
      </c>
      <c r="B37" s="1780"/>
      <c r="C37" s="1780"/>
      <c r="D37" s="1780"/>
      <c r="E37" s="1782"/>
    </row>
    <row r="38" spans="1:5">
      <c r="A38" s="237">
        <v>26</v>
      </c>
      <c r="B38" s="1780"/>
      <c r="C38" s="1780"/>
      <c r="D38" s="1780"/>
      <c r="E38" s="1782"/>
    </row>
    <row r="39" spans="1:5">
      <c r="A39" s="237">
        <v>27</v>
      </c>
      <c r="B39" s="1780"/>
      <c r="C39" s="1780"/>
      <c r="D39" s="1780"/>
      <c r="E39" s="1782"/>
    </row>
    <row r="40" spans="1:5">
      <c r="A40" s="237">
        <v>28</v>
      </c>
      <c r="B40" s="1780"/>
      <c r="C40" s="1780"/>
      <c r="D40" s="1780"/>
      <c r="E40" s="1782"/>
    </row>
    <row r="41" spans="1:5">
      <c r="A41" s="237">
        <v>29</v>
      </c>
      <c r="B41" s="1780"/>
      <c r="C41" s="1780"/>
      <c r="D41" s="1780"/>
      <c r="E41" s="1782"/>
    </row>
    <row r="42" spans="1:5">
      <c r="A42" s="237">
        <v>30</v>
      </c>
      <c r="B42" s="1780"/>
      <c r="C42" s="1780"/>
      <c r="D42" s="1780"/>
      <c r="E42" s="1782"/>
    </row>
    <row r="43" spans="1:5">
      <c r="A43" s="237">
        <v>31</v>
      </c>
      <c r="B43" s="1780"/>
      <c r="C43" s="1780"/>
      <c r="D43" s="1780"/>
      <c r="E43" s="1782"/>
    </row>
    <row r="44" spans="1:5">
      <c r="A44" s="237">
        <v>32</v>
      </c>
      <c r="B44" s="1780"/>
      <c r="C44" s="1780"/>
      <c r="D44" s="1780"/>
      <c r="E44" s="1782"/>
    </row>
    <row r="45" spans="1:5">
      <c r="A45" s="237">
        <v>33</v>
      </c>
      <c r="B45" s="1780"/>
      <c r="C45" s="1780"/>
      <c r="D45" s="1780"/>
      <c r="E45" s="1782"/>
    </row>
    <row r="46" spans="1:5">
      <c r="A46" s="237">
        <v>34</v>
      </c>
      <c r="B46" s="1780"/>
      <c r="C46" s="1780"/>
      <c r="D46" s="1780"/>
      <c r="E46" s="1782"/>
    </row>
    <row r="47" spans="1:5">
      <c r="A47" s="237">
        <v>35</v>
      </c>
      <c r="B47" s="1780"/>
      <c r="C47" s="1780"/>
      <c r="D47" s="1780"/>
      <c r="E47" s="1782"/>
    </row>
    <row r="48" spans="1:5">
      <c r="A48" s="237">
        <v>36</v>
      </c>
      <c r="B48" s="1780"/>
      <c r="C48" s="1780"/>
      <c r="D48" s="1780"/>
      <c r="E48" s="1782"/>
    </row>
    <row r="49" spans="1:6">
      <c r="A49" s="237">
        <v>37</v>
      </c>
      <c r="B49" s="1780"/>
      <c r="C49" s="1780"/>
      <c r="D49" s="1780"/>
      <c r="E49" s="1782"/>
    </row>
    <row r="50" spans="1:6">
      <c r="A50" s="237">
        <v>38</v>
      </c>
      <c r="B50" s="1780"/>
      <c r="C50" s="1780"/>
      <c r="D50" s="1780"/>
      <c r="E50" s="1782"/>
    </row>
    <row r="51" spans="1:6">
      <c r="A51" s="237">
        <v>39</v>
      </c>
      <c r="B51" s="1780"/>
      <c r="C51" s="1780"/>
      <c r="D51" s="1780"/>
      <c r="E51" s="1782"/>
    </row>
    <row r="52" spans="1:6">
      <c r="A52" s="237">
        <v>40</v>
      </c>
      <c r="B52" s="1780"/>
      <c r="C52" s="1780"/>
      <c r="D52" s="1780"/>
      <c r="E52" s="1782"/>
    </row>
    <row r="53" spans="1:6">
      <c r="A53" s="237">
        <v>41</v>
      </c>
      <c r="B53" s="1780"/>
      <c r="C53" s="1780"/>
      <c r="D53" s="1780"/>
      <c r="E53" s="1782"/>
    </row>
    <row r="54" spans="1:6">
      <c r="A54" s="237">
        <v>42</v>
      </c>
      <c r="B54" s="86"/>
      <c r="C54" s="1780"/>
      <c r="D54" s="1780"/>
      <c r="E54" s="1782"/>
    </row>
    <row r="55" spans="1:6">
      <c r="A55" s="237">
        <v>43</v>
      </c>
      <c r="B55" s="1780"/>
      <c r="C55" s="1780"/>
      <c r="D55" s="1780"/>
      <c r="E55" s="1782"/>
    </row>
    <row r="56" spans="1:6">
      <c r="A56" s="237">
        <v>44</v>
      </c>
      <c r="B56" s="86"/>
      <c r="C56" s="1780"/>
      <c r="D56" s="1780"/>
      <c r="E56" s="1782"/>
    </row>
    <row r="57" spans="1:6" ht="15.75" thickBot="1">
      <c r="A57" s="237">
        <v>45</v>
      </c>
      <c r="B57" s="2727" t="s">
        <v>5587</v>
      </c>
      <c r="C57" s="2728"/>
      <c r="D57" s="2729"/>
      <c r="E57" s="2730">
        <f>SUM(E13:E56)</f>
        <v>5348504</v>
      </c>
    </row>
    <row r="58" spans="1:6" ht="15.75" thickBot="1">
      <c r="A58" s="443">
        <v>46</v>
      </c>
      <c r="B58" s="2727" t="s">
        <v>5270</v>
      </c>
      <c r="C58" s="2728"/>
      <c r="D58" s="2729"/>
      <c r="E58" s="2731">
        <f>+'206'!E58+'206a'!E57+'206b'!E57+'206c'!E57+'206d'!E57+'206e'!E57+'206f'!E57</f>
        <v>69210814</v>
      </c>
      <c r="F58" s="1574" t="str">
        <f>IF(E58='200201'!D19,"ok","error")</f>
        <v>ok</v>
      </c>
    </row>
    <row r="59" spans="1:6">
      <c r="A59" t="s">
        <v>2024</v>
      </c>
      <c r="E59" s="136"/>
    </row>
    <row r="60" spans="1:6">
      <c r="A60" s="5" t="s">
        <v>5310</v>
      </c>
      <c r="B60" s="5"/>
      <c r="C60" s="5"/>
      <c r="D60" s="5"/>
      <c r="E60" s="2592"/>
    </row>
    <row r="61" spans="1:6">
      <c r="A61" s="5"/>
      <c r="B61" s="5"/>
      <c r="C61" s="5"/>
      <c r="D61" s="5"/>
      <c r="E61" s="406"/>
    </row>
    <row r="62" spans="1:6">
      <c r="A62" s="86"/>
      <c r="B62" s="86"/>
      <c r="C62" s="86"/>
      <c r="D62" s="86"/>
      <c r="E62" s="404"/>
    </row>
    <row r="63" spans="1:6">
      <c r="A63" s="86"/>
      <c r="B63" s="86"/>
      <c r="C63" s="86"/>
      <c r="D63" s="86"/>
      <c r="E63" s="404"/>
    </row>
    <row r="64" spans="1:6">
      <c r="A64" s="86"/>
      <c r="B64" s="86"/>
      <c r="C64" s="86"/>
      <c r="D64" s="86"/>
      <c r="E64" s="404"/>
    </row>
    <row r="65" spans="1:5">
      <c r="A65" s="86"/>
      <c r="B65" s="86"/>
      <c r="C65" s="86"/>
      <c r="D65" s="86"/>
      <c r="E65" s="404"/>
    </row>
    <row r="66" spans="1:5">
      <c r="A66" s="86"/>
      <c r="B66" s="86"/>
      <c r="C66" s="86"/>
      <c r="D66" s="86"/>
      <c r="E66" s="404"/>
    </row>
    <row r="67" spans="1:5">
      <c r="A67" s="86"/>
      <c r="B67" s="86"/>
      <c r="C67" s="86"/>
      <c r="D67" s="86"/>
      <c r="E67" s="404"/>
    </row>
    <row r="68" spans="1:5">
      <c r="A68" s="86"/>
      <c r="B68" s="86"/>
      <c r="C68" s="86"/>
      <c r="D68" s="86"/>
      <c r="E68" s="404"/>
    </row>
    <row r="69" spans="1:5">
      <c r="A69" s="86"/>
      <c r="B69" s="86"/>
      <c r="C69" s="86"/>
      <c r="D69" s="86"/>
      <c r="E69" s="404"/>
    </row>
    <row r="70" spans="1:5">
      <c r="A70" s="86"/>
      <c r="B70" s="86"/>
      <c r="C70" s="86"/>
      <c r="D70" s="86"/>
      <c r="E70" s="404"/>
    </row>
    <row r="71" spans="1:5">
      <c r="A71" s="86"/>
      <c r="B71" s="86"/>
      <c r="C71" s="86"/>
      <c r="D71" s="86"/>
      <c r="E71" s="404"/>
    </row>
    <row r="72" spans="1:5">
      <c r="A72" s="86"/>
      <c r="B72" s="86"/>
      <c r="C72" s="86"/>
      <c r="D72" s="86"/>
      <c r="E72" s="404"/>
    </row>
    <row r="73" spans="1:5">
      <c r="A73" s="86"/>
      <c r="B73" s="86"/>
      <c r="C73" s="86"/>
      <c r="D73" s="86"/>
      <c r="E73" s="404"/>
    </row>
    <row r="74" spans="1:5">
      <c r="A74" s="86"/>
      <c r="B74" s="86"/>
      <c r="C74" s="86"/>
      <c r="D74" s="86"/>
      <c r="E74" s="404"/>
    </row>
    <row r="75" spans="1:5">
      <c r="A75" s="86"/>
      <c r="B75" s="86"/>
      <c r="C75" s="86"/>
      <c r="D75" s="86"/>
      <c r="E75" s="404"/>
    </row>
    <row r="76" spans="1:5">
      <c r="A76" s="86"/>
      <c r="B76" s="86"/>
      <c r="C76" s="86"/>
      <c r="D76" s="86"/>
      <c r="E76" s="404"/>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6"/>
      <c r="B84" s="86"/>
      <c r="C84" s="86"/>
      <c r="D84" s="86"/>
      <c r="E84" s="86"/>
    </row>
    <row r="85" spans="1:5">
      <c r="A85" s="86"/>
      <c r="B85" s="86"/>
      <c r="C85" s="86"/>
      <c r="D85" s="86"/>
      <c r="E85" s="86"/>
    </row>
    <row r="86" spans="1:5">
      <c r="A86" s="86"/>
      <c r="B86" s="86"/>
      <c r="C86" s="86"/>
      <c r="D86" s="86"/>
      <c r="E86" s="404"/>
    </row>
    <row r="87" spans="1:5">
      <c r="A87" s="86"/>
      <c r="B87" s="86"/>
      <c r="C87" s="86"/>
      <c r="D87" s="86"/>
      <c r="E87" s="426"/>
    </row>
    <row r="88" spans="1:5">
      <c r="A88" s="86"/>
      <c r="B88" s="86"/>
      <c r="C88" s="86"/>
      <c r="D88" s="86"/>
      <c r="E88" s="426"/>
    </row>
    <row r="89" spans="1:5">
      <c r="A89" s="86"/>
      <c r="B89" s="86"/>
      <c r="C89" s="86"/>
      <c r="D89" s="86"/>
      <c r="E89" s="426"/>
    </row>
    <row r="90" spans="1:5">
      <c r="A90" s="86"/>
      <c r="B90" s="86"/>
      <c r="C90" s="86"/>
      <c r="D90" s="86"/>
      <c r="E90" s="426"/>
    </row>
    <row r="91" spans="1:5">
      <c r="A91" s="86"/>
      <c r="B91" s="86"/>
      <c r="C91" s="86"/>
      <c r="D91" s="86"/>
      <c r="E91" s="426"/>
    </row>
    <row r="92" spans="1:5">
      <c r="A92" s="86"/>
      <c r="B92" s="86"/>
      <c r="C92" s="86"/>
      <c r="D92" s="86"/>
      <c r="E92" s="426"/>
    </row>
    <row r="93" spans="1:5">
      <c r="A93" s="86"/>
      <c r="B93" s="86"/>
      <c r="C93" s="86"/>
      <c r="D93" s="86"/>
      <c r="E93" s="426"/>
    </row>
    <row r="94" spans="1:5">
      <c r="A94" s="86"/>
      <c r="B94" s="86"/>
      <c r="C94" s="86"/>
      <c r="D94" s="86"/>
      <c r="E94" s="426"/>
    </row>
    <row r="95" spans="1:5">
      <c r="A95" s="86"/>
      <c r="B95" s="86"/>
      <c r="C95" s="86"/>
      <c r="D95" s="86"/>
      <c r="E95" s="426"/>
    </row>
    <row r="96" spans="1:5">
      <c r="A96" s="86"/>
      <c r="B96" s="86"/>
      <c r="C96" s="86"/>
      <c r="D96" s="86"/>
      <c r="E96" s="426"/>
    </row>
    <row r="97" spans="1:5">
      <c r="A97" s="86"/>
      <c r="B97" s="86"/>
      <c r="C97" s="86"/>
      <c r="D97" s="86"/>
      <c r="E97" s="426"/>
    </row>
    <row r="98" spans="1:5">
      <c r="A98" s="86"/>
      <c r="B98" s="86"/>
      <c r="C98" s="86"/>
      <c r="D98" s="86"/>
      <c r="E98" s="426"/>
    </row>
    <row r="99" spans="1:5">
      <c r="A99" s="86"/>
      <c r="B99" s="86"/>
      <c r="C99" s="86"/>
      <c r="D99" s="86"/>
      <c r="E99" s="426"/>
    </row>
    <row r="100" spans="1:5">
      <c r="A100" s="86"/>
      <c r="B100" s="86"/>
      <c r="C100" s="86"/>
      <c r="D100" s="86"/>
      <c r="E100" s="426"/>
    </row>
    <row r="101" spans="1:5">
      <c r="A101" s="86"/>
      <c r="B101" s="86"/>
      <c r="C101" s="86"/>
      <c r="D101" s="86"/>
      <c r="E101" s="426"/>
    </row>
    <row r="102" spans="1:5">
      <c r="A102" s="86"/>
      <c r="B102" s="86"/>
      <c r="C102" s="86"/>
      <c r="D102" s="86"/>
      <c r="E102" s="426"/>
    </row>
    <row r="103" spans="1:5">
      <c r="A103" s="86"/>
      <c r="B103" s="86"/>
      <c r="C103" s="86"/>
      <c r="D103" s="86"/>
      <c r="E103" s="426"/>
    </row>
    <row r="104" spans="1:5">
      <c r="A104" s="86"/>
      <c r="B104" s="86"/>
      <c r="C104" s="86"/>
      <c r="D104" s="86"/>
      <c r="E104" s="426"/>
    </row>
    <row r="105" spans="1:5">
      <c r="A105" s="86"/>
      <c r="B105" s="86"/>
      <c r="C105" s="86"/>
      <c r="D105" s="86"/>
      <c r="E105" s="426"/>
    </row>
    <row r="106" spans="1:5">
      <c r="A106" s="86"/>
      <c r="B106" s="86"/>
      <c r="C106" s="86"/>
      <c r="D106" s="86"/>
      <c r="E106" s="426"/>
    </row>
    <row r="107" spans="1:5">
      <c r="A107" s="86"/>
      <c r="B107" s="86"/>
      <c r="C107" s="86"/>
      <c r="D107" s="86"/>
      <c r="E107" s="426"/>
    </row>
    <row r="108" spans="1:5">
      <c r="A108" s="86"/>
      <c r="B108" s="86"/>
      <c r="C108" s="86"/>
      <c r="D108" s="86"/>
      <c r="E108" s="426"/>
    </row>
    <row r="109" spans="1:5">
      <c r="A109" s="86"/>
      <c r="B109" s="86"/>
      <c r="C109" s="86"/>
      <c r="D109" s="86"/>
      <c r="E109" s="426"/>
    </row>
    <row r="110" spans="1:5">
      <c r="A110" s="86"/>
      <c r="B110" s="86"/>
      <c r="C110" s="86"/>
      <c r="D110" s="86"/>
      <c r="E110" s="426"/>
    </row>
    <row r="111" spans="1:5">
      <c r="A111" s="86"/>
      <c r="B111" s="86"/>
      <c r="C111" s="86"/>
      <c r="D111" s="86"/>
      <c r="E111" s="426"/>
    </row>
    <row r="112" spans="1:5">
      <c r="A112" s="86"/>
      <c r="B112" s="86"/>
      <c r="C112" s="86"/>
      <c r="D112" s="86"/>
      <c r="E112" s="426"/>
    </row>
    <row r="113" spans="1:5">
      <c r="A113" s="86"/>
      <c r="B113" s="86"/>
      <c r="C113" s="86"/>
      <c r="D113" s="86"/>
      <c r="E113" s="426"/>
    </row>
    <row r="114" spans="1:5">
      <c r="A114" s="86"/>
      <c r="B114" s="86"/>
      <c r="C114" s="86"/>
      <c r="D114" s="86"/>
      <c r="E114" s="426"/>
    </row>
    <row r="115" spans="1:5">
      <c r="A115" s="86"/>
      <c r="B115" s="86"/>
      <c r="C115" s="86"/>
      <c r="D115" s="86"/>
      <c r="E115" s="426"/>
    </row>
    <row r="116" spans="1:5">
      <c r="A116" s="86"/>
      <c r="B116" s="86"/>
      <c r="C116" s="239"/>
      <c r="D116" s="86"/>
      <c r="E116" s="426"/>
    </row>
    <row r="117" spans="1:5">
      <c r="A117" s="86"/>
      <c r="B117" s="86"/>
      <c r="C117" s="86"/>
      <c r="D117" s="86"/>
      <c r="E117" s="426"/>
    </row>
    <row r="118" spans="1:5">
      <c r="A118" s="86"/>
      <c r="B118" s="86"/>
      <c r="C118" s="86"/>
      <c r="D118" s="86"/>
      <c r="E118" s="426"/>
    </row>
    <row r="119" spans="1:5">
      <c r="A119" s="86"/>
      <c r="B119" s="86"/>
      <c r="C119" s="86"/>
      <c r="D119" s="86"/>
      <c r="E119" s="426"/>
    </row>
    <row r="120" spans="1:5">
      <c r="A120" s="86"/>
      <c r="B120" s="86"/>
      <c r="C120" s="86"/>
      <c r="D120" s="86"/>
      <c r="E120" s="426"/>
    </row>
    <row r="121" spans="1:5">
      <c r="A121" s="86"/>
      <c r="B121" s="86"/>
      <c r="C121" s="86"/>
      <c r="D121" s="86"/>
      <c r="E121" s="426"/>
    </row>
    <row r="122" spans="1:5">
      <c r="A122" s="86"/>
      <c r="B122" s="86"/>
      <c r="C122" s="86"/>
      <c r="D122" s="86"/>
      <c r="E122" s="426"/>
    </row>
    <row r="123" spans="1:5">
      <c r="A123" s="86"/>
      <c r="B123" s="86"/>
      <c r="C123" s="86"/>
      <c r="D123" s="86"/>
      <c r="E123" s="426"/>
    </row>
    <row r="124" spans="1:5">
      <c r="A124" s="86"/>
      <c r="B124" s="86"/>
      <c r="C124" s="86"/>
      <c r="D124" s="86"/>
      <c r="E124" s="426"/>
    </row>
    <row r="125" spans="1:5">
      <c r="A125" s="86"/>
      <c r="B125" s="86"/>
      <c r="C125" s="86"/>
      <c r="D125" s="86"/>
      <c r="E125" s="426"/>
    </row>
    <row r="126" spans="1:5">
      <c r="A126" s="86"/>
      <c r="B126" s="86"/>
      <c r="C126" s="86"/>
      <c r="D126" s="86"/>
      <c r="E126" s="426"/>
    </row>
    <row r="127" spans="1:5">
      <c r="A127" s="86"/>
      <c r="B127" s="86"/>
      <c r="C127" s="86"/>
      <c r="D127" s="86"/>
      <c r="E127" s="426"/>
    </row>
  </sheetData>
  <pageMargins left="0.65" right="0.15" top="0.3" bottom="0.3" header="0.5" footer="0.5"/>
  <pageSetup scale="8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codeName="Sheet30">
    <pageSetUpPr fitToPage="1"/>
  </sheetPr>
  <dimension ref="A1:H81"/>
  <sheetViews>
    <sheetView defaultGridColor="0" colorId="22" zoomScaleNormal="100" workbookViewId="0">
      <pane xSplit="3" ySplit="20" topLeftCell="D21" activePane="bottomRight" state="frozen"/>
      <selection activeCell="R36" sqref="R36"/>
      <selection pane="topRight" activeCell="R36" sqref="R36"/>
      <selection pane="bottomLeft" activeCell="R36" sqref="R36"/>
      <selection pane="bottomRight" activeCell="C30" sqref="C30"/>
    </sheetView>
  </sheetViews>
  <sheetFormatPr defaultColWidth="9.77734375" defaultRowHeight="15"/>
  <cols>
    <col min="1" max="1" width="4.77734375" customWidth="1"/>
    <col min="2" max="2" width="30.77734375" customWidth="1"/>
    <col min="3" max="3" width="30.21875" customWidth="1"/>
    <col min="4" max="4" width="14.6640625" customWidth="1"/>
    <col min="5" max="5" width="22.33203125" customWidth="1"/>
    <col min="7" max="7" width="10.5546875" bestFit="1" customWidth="1"/>
    <col min="8" max="8" width="18.77734375" bestFit="1" customWidth="1"/>
  </cols>
  <sheetData>
    <row r="1" spans="1:5" ht="15.75" thickBot="1">
      <c r="A1" t="str">
        <f>'Data sheet'!A57</f>
        <v>Annual Report of Veolia Water New York, Inc.                                              Year Ended  December 31, 2023</v>
      </c>
    </row>
    <row r="2" spans="1:5">
      <c r="A2" s="129"/>
      <c r="B2" s="130"/>
      <c r="C2" s="130"/>
      <c r="D2" s="130"/>
      <c r="E2" s="131"/>
    </row>
    <row r="3" spans="1:5" ht="15.75">
      <c r="A3" s="118" t="s">
        <v>3082</v>
      </c>
      <c r="B3" s="5"/>
      <c r="C3" s="5"/>
      <c r="D3" s="5"/>
      <c r="E3" s="132"/>
    </row>
    <row r="4" spans="1:5">
      <c r="A4" s="97"/>
      <c r="B4" s="98"/>
      <c r="C4" s="98"/>
      <c r="D4" s="128"/>
      <c r="E4" s="225"/>
    </row>
    <row r="5" spans="1:5">
      <c r="A5" s="85"/>
      <c r="B5" s="86"/>
      <c r="C5" s="86"/>
      <c r="D5" s="86"/>
      <c r="E5" s="87"/>
    </row>
    <row r="6" spans="1:5">
      <c r="A6" s="358" t="s">
        <v>3083</v>
      </c>
      <c r="B6" s="359"/>
      <c r="C6" s="359"/>
      <c r="D6" s="359"/>
      <c r="E6" s="360"/>
    </row>
    <row r="7" spans="1:5">
      <c r="A7" s="358" t="s">
        <v>3084</v>
      </c>
      <c r="B7" s="359"/>
      <c r="C7" s="359"/>
      <c r="D7" s="359"/>
      <c r="E7" s="360"/>
    </row>
    <row r="8" spans="1:5">
      <c r="A8" s="358"/>
      <c r="B8" s="359"/>
      <c r="C8" s="359"/>
      <c r="D8" s="359"/>
      <c r="E8" s="360"/>
    </row>
    <row r="9" spans="1:5">
      <c r="A9" s="358" t="s">
        <v>4025</v>
      </c>
      <c r="B9" s="359"/>
      <c r="C9" s="359"/>
      <c r="D9" s="359"/>
      <c r="E9" s="360"/>
    </row>
    <row r="10" spans="1:5">
      <c r="A10" s="358"/>
      <c r="B10" s="359"/>
      <c r="C10" s="359"/>
      <c r="D10" s="359"/>
      <c r="E10" s="360"/>
    </row>
    <row r="11" spans="1:5">
      <c r="A11" s="358" t="s">
        <v>4026</v>
      </c>
      <c r="B11" s="359"/>
      <c r="C11" s="359"/>
      <c r="D11" s="359"/>
      <c r="E11" s="360"/>
    </row>
    <row r="12" spans="1:5">
      <c r="A12" s="358" t="s">
        <v>4027</v>
      </c>
      <c r="B12" s="359"/>
      <c r="C12" s="359"/>
      <c r="D12" s="359"/>
      <c r="E12" s="360"/>
    </row>
    <row r="13" spans="1:5">
      <c r="A13" s="358" t="s">
        <v>4028</v>
      </c>
      <c r="B13" s="359"/>
      <c r="C13" s="359"/>
      <c r="D13" s="359"/>
      <c r="E13" s="360"/>
    </row>
    <row r="14" spans="1:5">
      <c r="A14" s="358"/>
      <c r="B14" s="359"/>
      <c r="C14" s="359"/>
      <c r="D14" s="359"/>
      <c r="E14" s="360"/>
    </row>
    <row r="15" spans="1:5">
      <c r="A15" s="358" t="s">
        <v>2877</v>
      </c>
      <c r="B15" s="359"/>
      <c r="C15" s="359"/>
      <c r="D15" s="359"/>
      <c r="E15" s="360"/>
    </row>
    <row r="16" spans="1:5">
      <c r="A16" s="358" t="s">
        <v>2878</v>
      </c>
      <c r="B16" s="359"/>
      <c r="C16" s="359"/>
      <c r="D16" s="359"/>
      <c r="E16" s="360"/>
    </row>
    <row r="17" spans="1:8">
      <c r="A17" s="97"/>
      <c r="B17" s="98"/>
      <c r="C17" s="98"/>
      <c r="D17" s="98"/>
      <c r="E17" s="101"/>
    </row>
    <row r="18" spans="1:8">
      <c r="A18" s="226"/>
      <c r="B18" s="86"/>
      <c r="D18" s="86"/>
      <c r="E18" s="363" t="s">
        <v>2879</v>
      </c>
    </row>
    <row r="19" spans="1:8">
      <c r="A19" s="237" t="s">
        <v>1727</v>
      </c>
      <c r="B19" s="86" t="s">
        <v>3401</v>
      </c>
      <c r="D19" s="86"/>
      <c r="E19" s="818" t="s">
        <v>3402</v>
      </c>
    </row>
    <row r="20" spans="1:8">
      <c r="A20" s="240" t="s">
        <v>1739</v>
      </c>
      <c r="B20" s="98" t="s">
        <v>3403</v>
      </c>
      <c r="C20" s="224"/>
      <c r="D20" s="98"/>
      <c r="E20" s="1010" t="s">
        <v>3280</v>
      </c>
    </row>
    <row r="21" spans="1:8">
      <c r="A21" s="237">
        <v>1</v>
      </c>
      <c r="B21" s="1780" t="s">
        <v>1975</v>
      </c>
      <c r="C21" s="1780"/>
      <c r="D21" s="1780"/>
      <c r="E21" s="1781">
        <v>4538475</v>
      </c>
      <c r="F21" t="str">
        <f>IF(E21='116119'!G78,"ok","error")</f>
        <v>ok</v>
      </c>
      <c r="G21" s="140"/>
      <c r="H21" s="1592"/>
    </row>
    <row r="22" spans="1:8">
      <c r="A22" s="237">
        <v>2</v>
      </c>
      <c r="B22" s="1780"/>
      <c r="C22" s="1780"/>
      <c r="D22" s="1780"/>
      <c r="E22" s="1782"/>
    </row>
    <row r="23" spans="1:8">
      <c r="A23" s="237">
        <v>3</v>
      </c>
      <c r="B23" s="1780" t="s">
        <v>1976</v>
      </c>
      <c r="C23" s="1780"/>
      <c r="D23" s="1780"/>
      <c r="E23" s="1782"/>
    </row>
    <row r="24" spans="1:8">
      <c r="A24" s="237">
        <v>4</v>
      </c>
      <c r="B24" s="1780" t="s">
        <v>1977</v>
      </c>
      <c r="C24" s="1780"/>
      <c r="D24" s="1780"/>
      <c r="E24" s="1782"/>
    </row>
    <row r="25" spans="1:8">
      <c r="A25" s="237">
        <v>5</v>
      </c>
      <c r="B25" s="1780" t="s">
        <v>1978</v>
      </c>
      <c r="C25" s="1780"/>
      <c r="D25" s="1780"/>
      <c r="E25" s="1782"/>
    </row>
    <row r="26" spans="1:8">
      <c r="A26" s="237">
        <v>6</v>
      </c>
      <c r="B26" s="1783"/>
      <c r="C26" s="1784" t="s">
        <v>194</v>
      </c>
      <c r="D26" s="1753">
        <v>1462163.7440000011</v>
      </c>
      <c r="E26" s="1782"/>
    </row>
    <row r="27" spans="1:8">
      <c r="A27" s="237">
        <v>7</v>
      </c>
      <c r="B27" s="1785"/>
      <c r="C27" s="1784" t="s">
        <v>1270</v>
      </c>
      <c r="D27" s="1579">
        <v>2344190.6800000011</v>
      </c>
      <c r="E27" s="1782"/>
    </row>
    <row r="28" spans="1:8">
      <c r="A28" s="237">
        <v>8</v>
      </c>
      <c r="B28" s="1783"/>
      <c r="C28" s="1784" t="s">
        <v>193</v>
      </c>
      <c r="D28" s="1580">
        <v>2160772.6700000004</v>
      </c>
      <c r="E28" s="1782"/>
    </row>
    <row r="29" spans="1:8">
      <c r="A29" s="237">
        <v>9</v>
      </c>
      <c r="B29" s="1783"/>
      <c r="C29" s="1784"/>
      <c r="D29" s="1780"/>
      <c r="E29" s="1782">
        <f>SUM(D26:D28)</f>
        <v>5967127.0940000024</v>
      </c>
    </row>
    <row r="30" spans="1:8">
      <c r="A30" s="237">
        <v>10</v>
      </c>
      <c r="B30" s="1780"/>
      <c r="C30" s="1780"/>
      <c r="D30" s="1780"/>
      <c r="E30" s="1782"/>
    </row>
    <row r="31" spans="1:8">
      <c r="A31" s="237">
        <v>11</v>
      </c>
      <c r="B31" s="1780"/>
      <c r="C31" s="1780"/>
      <c r="D31" s="1780"/>
      <c r="E31" s="1782"/>
    </row>
    <row r="32" spans="1:8">
      <c r="A32" s="237">
        <v>12</v>
      </c>
      <c r="B32" s="1780"/>
      <c r="C32" s="1780"/>
      <c r="D32" s="1780"/>
      <c r="E32" s="1782"/>
    </row>
    <row r="33" spans="1:5">
      <c r="A33" s="237">
        <v>13</v>
      </c>
      <c r="B33" s="1780" t="s">
        <v>1979</v>
      </c>
      <c r="C33" s="1780"/>
      <c r="D33" s="1780"/>
      <c r="E33" s="1782"/>
    </row>
    <row r="34" spans="1:5">
      <c r="A34" s="237">
        <v>14</v>
      </c>
      <c r="B34" s="1780" t="s">
        <v>1980</v>
      </c>
      <c r="C34" s="1780"/>
      <c r="D34" s="1780"/>
      <c r="E34" s="1782"/>
    </row>
    <row r="35" spans="1:5">
      <c r="A35" s="237">
        <v>15</v>
      </c>
      <c r="B35" s="1780" t="s">
        <v>1981</v>
      </c>
      <c r="C35" s="1780"/>
      <c r="D35" s="1780"/>
      <c r="E35" s="1782"/>
    </row>
    <row r="36" spans="1:5">
      <c r="A36" s="237">
        <v>16</v>
      </c>
      <c r="B36" s="1780"/>
      <c r="C36" s="1780"/>
      <c r="D36" s="1780"/>
      <c r="E36" s="1782"/>
    </row>
    <row r="37" spans="1:5">
      <c r="A37" s="237">
        <v>17</v>
      </c>
      <c r="B37" s="1780"/>
      <c r="C37" s="1780"/>
      <c r="D37" s="1780"/>
      <c r="E37" s="1782"/>
    </row>
    <row r="38" spans="1:5">
      <c r="A38" s="237">
        <v>18</v>
      </c>
      <c r="B38" s="86"/>
      <c r="C38" s="86"/>
      <c r="D38" s="86"/>
      <c r="E38" s="442"/>
    </row>
    <row r="39" spans="1:5">
      <c r="A39" s="237">
        <v>19</v>
      </c>
      <c r="B39" s="86"/>
      <c r="C39" s="86"/>
      <c r="E39" s="442"/>
    </row>
    <row r="40" spans="1:5">
      <c r="A40" s="237">
        <v>20</v>
      </c>
      <c r="B40" s="86"/>
      <c r="C40" s="86"/>
      <c r="D40" s="86"/>
      <c r="E40" s="442"/>
    </row>
    <row r="41" spans="1:5">
      <c r="A41" s="237">
        <v>21</v>
      </c>
      <c r="B41" s="86"/>
      <c r="C41" s="86"/>
      <c r="D41" s="86"/>
      <c r="E41" s="442"/>
    </row>
    <row r="42" spans="1:5">
      <c r="A42" s="237">
        <v>22</v>
      </c>
      <c r="B42" s="86"/>
      <c r="C42" s="86"/>
      <c r="D42" s="86"/>
      <c r="E42" s="442"/>
    </row>
    <row r="43" spans="1:5">
      <c r="A43" s="237">
        <v>23</v>
      </c>
      <c r="B43" s="86"/>
      <c r="C43" s="86"/>
      <c r="D43" s="86"/>
      <c r="E43" s="442"/>
    </row>
    <row r="44" spans="1:5">
      <c r="A44" s="237">
        <v>24</v>
      </c>
      <c r="B44" s="86"/>
      <c r="C44" s="86"/>
      <c r="D44" s="86"/>
      <c r="E44" s="442"/>
    </row>
    <row r="45" spans="1:5">
      <c r="A45" s="237">
        <v>25</v>
      </c>
      <c r="B45" s="86"/>
      <c r="C45" s="86"/>
      <c r="D45" s="86"/>
      <c r="E45" s="442"/>
    </row>
    <row r="46" spans="1:5">
      <c r="A46" s="237">
        <v>26</v>
      </c>
      <c r="B46" s="86"/>
      <c r="C46" s="86"/>
      <c r="D46" s="86"/>
      <c r="E46" s="442"/>
    </row>
    <row r="47" spans="1:5">
      <c r="A47" s="237">
        <v>27</v>
      </c>
      <c r="B47" s="86"/>
      <c r="C47" s="86"/>
      <c r="D47" s="86"/>
      <c r="E47" s="442"/>
    </row>
    <row r="48" spans="1:5">
      <c r="A48" s="237">
        <v>28</v>
      </c>
      <c r="B48" s="86"/>
      <c r="C48" s="86"/>
      <c r="D48" s="86"/>
      <c r="E48" s="442"/>
    </row>
    <row r="49" spans="1:5">
      <c r="A49" s="237">
        <v>29</v>
      </c>
      <c r="B49" s="86"/>
      <c r="C49" s="86"/>
      <c r="D49" s="86"/>
      <c r="E49" s="442"/>
    </row>
    <row r="50" spans="1:5">
      <c r="A50" s="237">
        <v>30</v>
      </c>
      <c r="B50" s="86"/>
      <c r="C50" s="86"/>
      <c r="D50" s="86"/>
      <c r="E50" s="442"/>
    </row>
    <row r="51" spans="1:5">
      <c r="A51" s="237">
        <v>31</v>
      </c>
      <c r="B51" s="86"/>
      <c r="C51" s="86"/>
      <c r="E51" s="442"/>
    </row>
    <row r="52" spans="1:5">
      <c r="A52" s="237">
        <v>32</v>
      </c>
      <c r="B52" s="86"/>
      <c r="C52" s="86"/>
      <c r="E52" s="442"/>
    </row>
    <row r="53" spans="1:5">
      <c r="A53" s="237">
        <v>33</v>
      </c>
      <c r="B53" s="86"/>
      <c r="C53" s="86"/>
      <c r="D53" s="86"/>
      <c r="E53" s="442"/>
    </row>
    <row r="54" spans="1:5">
      <c r="A54" s="237">
        <v>34</v>
      </c>
      <c r="B54" s="86"/>
      <c r="C54" s="86"/>
      <c r="D54" s="86"/>
      <c r="E54" s="442"/>
    </row>
    <row r="55" spans="1:5">
      <c r="A55" s="237">
        <v>35</v>
      </c>
      <c r="B55" s="86"/>
      <c r="C55" s="86"/>
      <c r="D55" s="86"/>
      <c r="E55" s="442"/>
    </row>
    <row r="56" spans="1:5">
      <c r="A56" s="237">
        <v>36</v>
      </c>
      <c r="B56" s="86"/>
      <c r="C56" s="86"/>
      <c r="D56" s="86"/>
      <c r="E56" s="442"/>
    </row>
    <row r="57" spans="1:5">
      <c r="A57" s="237">
        <v>37</v>
      </c>
      <c r="B57" s="86"/>
      <c r="C57" s="86"/>
      <c r="D57" s="86"/>
      <c r="E57" s="442"/>
    </row>
    <row r="58" spans="1:5">
      <c r="A58" s="237">
        <v>38</v>
      </c>
      <c r="B58" s="86"/>
      <c r="C58" s="86"/>
      <c r="D58" s="86"/>
      <c r="E58" s="442"/>
    </row>
    <row r="59" spans="1:5">
      <c r="A59" s="237">
        <v>39</v>
      </c>
      <c r="B59" s="86"/>
      <c r="C59" s="86"/>
      <c r="D59" s="86"/>
      <c r="E59" s="442"/>
    </row>
    <row r="60" spans="1:5">
      <c r="A60" s="237">
        <v>40</v>
      </c>
      <c r="B60" s="86"/>
      <c r="C60" s="86"/>
      <c r="D60" s="86"/>
      <c r="E60" s="442"/>
    </row>
    <row r="61" spans="1:5">
      <c r="A61" s="237">
        <v>41</v>
      </c>
      <c r="B61" s="86"/>
      <c r="C61" s="86"/>
      <c r="E61" s="445"/>
    </row>
    <row r="62" spans="1:5" ht="15.75" thickBot="1">
      <c r="A62" s="443">
        <v>42</v>
      </c>
      <c r="B62" s="113" t="s">
        <v>4311</v>
      </c>
      <c r="C62" s="113" t="s">
        <v>220</v>
      </c>
      <c r="D62" s="113"/>
      <c r="E62" s="446">
        <f>SUM(E21:E61)</f>
        <v>10505602.094000002</v>
      </c>
    </row>
    <row r="63" spans="1:5" ht="15.75">
      <c r="A63" s="86"/>
      <c r="B63" s="86"/>
      <c r="C63" s="233"/>
      <c r="D63" s="86"/>
      <c r="E63" s="86" t="s">
        <v>2024</v>
      </c>
    </row>
    <row r="64" spans="1:5">
      <c r="A64" s="5" t="s">
        <v>3404</v>
      </c>
      <c r="B64" s="5"/>
      <c r="C64" s="5"/>
      <c r="D64" s="5"/>
      <c r="E64" s="5"/>
    </row>
    <row r="65" spans="1:5">
      <c r="E65" s="5"/>
    </row>
    <row r="66" spans="1:5">
      <c r="B66" s="86"/>
      <c r="C66" s="86"/>
      <c r="D66" s="86"/>
      <c r="E66" s="86"/>
    </row>
    <row r="67" spans="1:5">
      <c r="B67" s="86"/>
      <c r="C67" s="86"/>
      <c r="D67" s="86"/>
      <c r="E67" s="86"/>
    </row>
    <row r="68" spans="1:5">
      <c r="B68" s="86"/>
      <c r="C68" s="86"/>
      <c r="D68" s="86"/>
      <c r="E68" s="86"/>
    </row>
    <row r="69" spans="1:5">
      <c r="B69" s="86"/>
      <c r="C69" s="86"/>
      <c r="D69" s="86"/>
      <c r="E69" s="86"/>
    </row>
    <row r="70" spans="1:5">
      <c r="B70" s="86"/>
      <c r="C70" s="86"/>
      <c r="D70" s="86"/>
      <c r="E70" s="86"/>
    </row>
    <row r="71" spans="1:5">
      <c r="B71" s="86"/>
      <c r="C71" s="86"/>
      <c r="D71" s="86"/>
      <c r="E71" s="86"/>
    </row>
    <row r="72" spans="1:5">
      <c r="A72" s="86"/>
      <c r="B72" s="86"/>
      <c r="C72" s="86"/>
      <c r="D72" s="86"/>
      <c r="E72" s="86"/>
    </row>
    <row r="73" spans="1:5">
      <c r="A73" s="86"/>
      <c r="B73" s="86"/>
      <c r="C73" s="86"/>
      <c r="D73" s="86"/>
      <c r="E73" s="86"/>
    </row>
    <row r="74" spans="1:5">
      <c r="A74" s="86"/>
      <c r="B74" s="86"/>
      <c r="C74" s="86"/>
      <c r="D74" s="86"/>
      <c r="E74" s="86"/>
    </row>
    <row r="75" spans="1:5">
      <c r="A75" s="86"/>
      <c r="B75" s="86"/>
      <c r="C75" s="86"/>
      <c r="D75" s="86"/>
      <c r="E75" s="86"/>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sheetData>
  <phoneticPr fontId="0" type="noConversion"/>
  <pageMargins left="0.4" right="0.4" top="0.3" bottom="0.3" header="0.5" footer="0.5"/>
  <pageSetup scale="7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ransitionEvaluation="1" codeName="Sheet31"/>
  <dimension ref="A1:G129"/>
  <sheetViews>
    <sheetView defaultGridColor="0" topLeftCell="A3" colorId="22" zoomScaleNormal="100" workbookViewId="0">
      <selection activeCell="E58" sqref="E58"/>
    </sheetView>
  </sheetViews>
  <sheetFormatPr defaultColWidth="9.77734375" defaultRowHeight="15"/>
  <cols>
    <col min="1" max="1" width="8.77734375" customWidth="1"/>
    <col min="2" max="2" width="7.33203125" customWidth="1"/>
    <col min="3" max="3" width="23" customWidth="1"/>
    <col min="4" max="4" width="6.109375" customWidth="1"/>
    <col min="5" max="5" width="16.77734375" customWidth="1"/>
    <col min="6" max="6" width="22.77734375" customWidth="1"/>
    <col min="7" max="7" width="22.44140625" customWidth="1"/>
  </cols>
  <sheetData>
    <row r="1" spans="1:7" ht="15.75" thickBot="1">
      <c r="A1" t="str">
        <f>'Data sheet'!A59</f>
        <v>Annual Report of Veolia Water New York, Inc.                                                             Year Ended  December 31, 2023</v>
      </c>
    </row>
    <row r="2" spans="1:7">
      <c r="A2" s="80"/>
      <c r="B2" s="81"/>
      <c r="C2" s="81"/>
      <c r="D2" s="130"/>
      <c r="E2" s="81"/>
      <c r="F2" s="81"/>
      <c r="G2" s="447"/>
    </row>
    <row r="3" spans="1:7" ht="15.75">
      <c r="A3" s="118" t="s">
        <v>3405</v>
      </c>
      <c r="B3" s="4"/>
      <c r="C3" s="4"/>
      <c r="D3" s="4"/>
      <c r="E3" s="4"/>
      <c r="F3" s="4"/>
      <c r="G3" s="119"/>
    </row>
    <row r="4" spans="1:7">
      <c r="A4" s="123"/>
      <c r="B4" s="224"/>
      <c r="C4" s="224"/>
      <c r="D4" s="98"/>
      <c r="E4" s="224"/>
      <c r="F4" s="128"/>
      <c r="G4" s="225"/>
    </row>
    <row r="5" spans="1:7">
      <c r="A5" s="358" t="s">
        <v>3406</v>
      </c>
      <c r="B5" s="359"/>
      <c r="C5" s="359"/>
      <c r="D5" s="359"/>
      <c r="E5" s="359"/>
      <c r="F5" s="359" t="s">
        <v>3407</v>
      </c>
      <c r="G5" s="360"/>
    </row>
    <row r="6" spans="1:7">
      <c r="A6" s="358" t="s">
        <v>2681</v>
      </c>
      <c r="B6" s="359"/>
      <c r="C6" s="359"/>
      <c r="D6" s="359"/>
      <c r="E6" s="359"/>
      <c r="F6" s="359" t="s">
        <v>1764</v>
      </c>
      <c r="G6" s="360"/>
    </row>
    <row r="7" spans="1:7">
      <c r="A7" s="358" t="s">
        <v>1765</v>
      </c>
      <c r="B7" s="359"/>
      <c r="C7" s="359"/>
      <c r="D7" s="359"/>
      <c r="E7" s="359"/>
      <c r="F7" s="359" t="s">
        <v>1766</v>
      </c>
      <c r="G7" s="360"/>
    </row>
    <row r="8" spans="1:7">
      <c r="A8" s="358" t="s">
        <v>1767</v>
      </c>
      <c r="B8" s="359"/>
      <c r="C8" s="359"/>
      <c r="D8" s="359"/>
      <c r="E8" s="359"/>
      <c r="F8" s="359" t="s">
        <v>218</v>
      </c>
      <c r="G8" s="360"/>
    </row>
    <row r="9" spans="1:7">
      <c r="A9" s="358" t="s">
        <v>2080</v>
      </c>
      <c r="B9" s="359"/>
      <c r="C9" s="359"/>
      <c r="D9" s="359"/>
      <c r="E9" s="359"/>
      <c r="F9" s="359" t="s">
        <v>2081</v>
      </c>
      <c r="G9" s="360"/>
    </row>
    <row r="10" spans="1:7">
      <c r="A10" s="358" t="s">
        <v>2463</v>
      </c>
      <c r="B10" s="359"/>
      <c r="C10" s="359"/>
      <c r="D10" s="359"/>
      <c r="E10" s="359"/>
      <c r="F10" s="359" t="s">
        <v>2576</v>
      </c>
      <c r="G10" s="360"/>
    </row>
    <row r="11" spans="1:7">
      <c r="A11" s="358" t="s">
        <v>2577</v>
      </c>
      <c r="B11" s="359"/>
      <c r="C11" s="359"/>
      <c r="D11" s="359"/>
      <c r="E11" s="359"/>
      <c r="F11" s="359" t="s">
        <v>2578</v>
      </c>
      <c r="G11" s="360"/>
    </row>
    <row r="12" spans="1:7">
      <c r="A12" s="448" t="s">
        <v>2579</v>
      </c>
      <c r="B12" s="449"/>
      <c r="C12" s="449"/>
      <c r="D12" s="449"/>
      <c r="E12" s="449"/>
      <c r="F12" s="449" t="s">
        <v>2580</v>
      </c>
      <c r="G12" s="450"/>
    </row>
    <row r="13" spans="1:7">
      <c r="A13" s="451" t="s">
        <v>2581</v>
      </c>
      <c r="B13" s="452"/>
      <c r="C13" s="452"/>
      <c r="D13" s="452"/>
      <c r="E13" s="453"/>
      <c r="F13" s="453"/>
      <c r="G13" s="454"/>
    </row>
    <row r="14" spans="1:7">
      <c r="A14" s="83"/>
      <c r="G14" s="214"/>
    </row>
    <row r="15" spans="1:7">
      <c r="A15" s="351" t="s">
        <v>1982</v>
      </c>
      <c r="G15" s="214"/>
    </row>
    <row r="16" spans="1:7">
      <c r="A16" s="351" t="s">
        <v>3532</v>
      </c>
      <c r="G16" s="214"/>
    </row>
    <row r="17" spans="1:7">
      <c r="A17" s="351" t="s">
        <v>2226</v>
      </c>
      <c r="G17" s="214"/>
    </row>
    <row r="18" spans="1:7">
      <c r="A18" s="351" t="s">
        <v>2227</v>
      </c>
      <c r="G18" s="214"/>
    </row>
    <row r="19" spans="1:7">
      <c r="A19" s="351"/>
      <c r="G19" s="214"/>
    </row>
    <row r="20" spans="1:7">
      <c r="A20" s="351" t="s">
        <v>4524</v>
      </c>
      <c r="F20" s="108"/>
      <c r="G20" s="214"/>
    </row>
    <row r="21" spans="1:7">
      <c r="A21" s="351" t="s">
        <v>4525</v>
      </c>
      <c r="B21" s="86"/>
      <c r="F21" s="1539"/>
      <c r="G21" s="214"/>
    </row>
    <row r="22" spans="1:7">
      <c r="A22" s="351" t="s">
        <v>4526</v>
      </c>
      <c r="B22" s="86"/>
      <c r="F22" s="108"/>
      <c r="G22" s="214"/>
    </row>
    <row r="23" spans="1:7">
      <c r="A23" s="351"/>
      <c r="B23" s="86"/>
      <c r="F23" s="108"/>
      <c r="G23" s="214"/>
    </row>
    <row r="24" spans="1:7">
      <c r="A24" s="351" t="s">
        <v>1267</v>
      </c>
      <c r="F24" s="108"/>
      <c r="G24" s="214"/>
    </row>
    <row r="25" spans="1:7">
      <c r="A25" s="351" t="s">
        <v>4527</v>
      </c>
      <c r="G25" s="214"/>
    </row>
    <row r="26" spans="1:7">
      <c r="A26" s="351"/>
      <c r="B26" s="86"/>
      <c r="G26" s="214"/>
    </row>
    <row r="27" spans="1:7">
      <c r="A27" s="351" t="s">
        <v>1268</v>
      </c>
      <c r="B27" s="86"/>
      <c r="F27" s="108"/>
      <c r="G27" s="214"/>
    </row>
    <row r="28" spans="1:7">
      <c r="A28" s="351"/>
      <c r="B28" t="s">
        <v>4528</v>
      </c>
      <c r="G28" s="214"/>
    </row>
    <row r="29" spans="1:7">
      <c r="A29" s="351"/>
      <c r="B29" t="s">
        <v>1269</v>
      </c>
      <c r="G29" s="214"/>
    </row>
    <row r="30" spans="1:7">
      <c r="A30" s="351"/>
      <c r="B30" s="86"/>
      <c r="G30" s="214"/>
    </row>
    <row r="31" spans="1:7">
      <c r="A31" s="351"/>
      <c r="G31" s="214"/>
    </row>
    <row r="32" spans="1:7">
      <c r="A32" s="351" t="s">
        <v>2228</v>
      </c>
      <c r="B32" s="86"/>
      <c r="G32" s="214"/>
    </row>
    <row r="33" spans="1:7">
      <c r="A33" s="351" t="s">
        <v>4529</v>
      </c>
      <c r="G33" s="214"/>
    </row>
    <row r="34" spans="1:7">
      <c r="A34" s="351" t="s">
        <v>4530</v>
      </c>
      <c r="G34" s="214"/>
    </row>
    <row r="35" spans="1:7">
      <c r="A35" s="351"/>
      <c r="G35" s="214"/>
    </row>
    <row r="36" spans="1:7">
      <c r="A36" s="351"/>
      <c r="G36" s="214"/>
    </row>
    <row r="37" spans="1:7">
      <c r="A37" s="2261"/>
      <c r="D37" s="2262"/>
      <c r="G37" s="214"/>
    </row>
    <row r="38" spans="1:7">
      <c r="A38" s="165"/>
      <c r="G38" s="214"/>
    </row>
    <row r="39" spans="1:7">
      <c r="A39" s="83"/>
      <c r="B39" s="224"/>
      <c r="C39" s="224"/>
      <c r="D39" s="224"/>
      <c r="E39" s="224"/>
      <c r="F39" s="224"/>
      <c r="G39" s="225"/>
    </row>
    <row r="40" spans="1:7" ht="15.75">
      <c r="A40" s="455" t="s">
        <v>2582</v>
      </c>
      <c r="B40" s="121"/>
      <c r="C40" s="121"/>
      <c r="D40" s="121"/>
      <c r="E40" s="121"/>
      <c r="F40" s="121"/>
      <c r="G40" s="122"/>
    </row>
    <row r="41" spans="1:7">
      <c r="A41" s="83"/>
      <c r="G41" s="214"/>
    </row>
    <row r="42" spans="1:7">
      <c r="A42" s="83"/>
      <c r="G42" s="214"/>
    </row>
    <row r="43" spans="1:7">
      <c r="A43" s="456" t="s">
        <v>1430</v>
      </c>
      <c r="B43" s="242"/>
      <c r="C43" s="242"/>
      <c r="D43" s="242"/>
      <c r="E43" s="242"/>
      <c r="F43" s="242"/>
      <c r="G43" s="243"/>
    </row>
    <row r="44" spans="1:7">
      <c r="A44" s="83"/>
      <c r="B44" s="457"/>
      <c r="C44" s="457"/>
      <c r="D44" s="457"/>
      <c r="E44" s="457"/>
      <c r="F44" s="1011" t="s">
        <v>1431</v>
      </c>
      <c r="G44" s="1012" t="s">
        <v>1432</v>
      </c>
    </row>
    <row r="45" spans="1:7">
      <c r="A45" s="83"/>
      <c r="B45" s="1011" t="s">
        <v>1727</v>
      </c>
      <c r="C45" s="1011" t="s">
        <v>1366</v>
      </c>
      <c r="D45" s="457"/>
      <c r="E45" s="1011" t="s">
        <v>1291</v>
      </c>
      <c r="F45" s="1011" t="s">
        <v>1367</v>
      </c>
      <c r="G45" s="1012" t="s">
        <v>1368</v>
      </c>
    </row>
    <row r="46" spans="1:7">
      <c r="A46" s="83"/>
      <c r="B46" s="1011" t="s">
        <v>1739</v>
      </c>
      <c r="C46" s="1011" t="s">
        <v>1369</v>
      </c>
      <c r="D46" s="457"/>
      <c r="E46" s="1011" t="s">
        <v>3280</v>
      </c>
      <c r="F46" s="1011" t="s">
        <v>3281</v>
      </c>
      <c r="G46" s="1012" t="s">
        <v>3282</v>
      </c>
    </row>
    <row r="47" spans="1:7">
      <c r="A47" s="83"/>
      <c r="B47" s="457">
        <v>1</v>
      </c>
      <c r="C47" s="457" t="s">
        <v>1370</v>
      </c>
      <c r="D47" s="457"/>
      <c r="E47" s="458"/>
      <c r="F47" s="459"/>
      <c r="G47" s="460"/>
    </row>
    <row r="48" spans="1:7">
      <c r="A48" s="83"/>
      <c r="B48" s="457">
        <v>2</v>
      </c>
      <c r="C48" s="457" t="s">
        <v>3935</v>
      </c>
      <c r="D48" s="457"/>
      <c r="E48" s="461"/>
      <c r="F48" s="459"/>
      <c r="G48" s="462"/>
    </row>
    <row r="49" spans="1:7">
      <c r="A49" s="83"/>
      <c r="B49" s="457">
        <v>3</v>
      </c>
      <c r="C49" s="457" t="s">
        <v>3041</v>
      </c>
      <c r="D49" s="457"/>
      <c r="E49" s="2159">
        <v>3951290.8899999997</v>
      </c>
      <c r="F49" s="2734">
        <f>IF(ISERR(+E49/+E$52)," ",(E49/E$52))</f>
        <v>0.82956262975684403</v>
      </c>
      <c r="G49" s="2160">
        <v>4.0639982569291883E-2</v>
      </c>
    </row>
    <row r="50" spans="1:7">
      <c r="A50" s="83"/>
      <c r="B50" s="457">
        <v>4</v>
      </c>
      <c r="C50" s="457" t="s">
        <v>4531</v>
      </c>
      <c r="D50" s="457"/>
      <c r="E50" s="2159">
        <v>224626.44999999998</v>
      </c>
      <c r="F50" s="2734">
        <f>IF(ISERR(+E50/+E$52)," ",(E50/E$52))</f>
        <v>4.7159703945498233E-2</v>
      </c>
      <c r="G50" s="2160">
        <v>9.5953504540021578E-3</v>
      </c>
    </row>
    <row r="51" spans="1:7">
      <c r="A51" s="83"/>
      <c r="B51" s="457">
        <v>5</v>
      </c>
      <c r="C51" s="457" t="s">
        <v>3937</v>
      </c>
      <c r="D51" s="457"/>
      <c r="E51" s="2159">
        <v>587184.02</v>
      </c>
      <c r="F51" s="2734">
        <f>IF(ISERR(+E51/+E$52)," ",(E51/E$52))</f>
        <v>0.12327766629765781</v>
      </c>
      <c r="G51" s="2160">
        <v>2.5075569507704613E-2</v>
      </c>
    </row>
    <row r="52" spans="1:7">
      <c r="A52" s="83"/>
      <c r="B52" s="457">
        <v>6</v>
      </c>
      <c r="C52" s="457" t="s">
        <v>3938</v>
      </c>
      <c r="D52" s="457"/>
      <c r="E52" s="465">
        <f>E49+E50+E51</f>
        <v>4763101.3599999994</v>
      </c>
      <c r="F52" s="2732">
        <f>F49+F50+F51</f>
        <v>1</v>
      </c>
      <c r="G52" s="466"/>
    </row>
    <row r="53" spans="1:7">
      <c r="A53" s="83"/>
      <c r="B53" s="467">
        <v>7</v>
      </c>
      <c r="C53" s="467" t="s">
        <v>3939</v>
      </c>
      <c r="D53" s="467"/>
      <c r="E53" s="468"/>
      <c r="F53" s="459"/>
      <c r="G53" s="466"/>
    </row>
    <row r="54" spans="1:7">
      <c r="A54" s="83"/>
      <c r="B54" s="469"/>
      <c r="C54" s="469" t="s">
        <v>3940</v>
      </c>
      <c r="D54" s="469"/>
      <c r="E54" s="470">
        <v>87856267.706923068</v>
      </c>
      <c r="F54" s="459"/>
      <c r="G54" s="466"/>
    </row>
    <row r="55" spans="1:7">
      <c r="A55" s="83"/>
      <c r="G55" s="214"/>
    </row>
    <row r="56" spans="1:7">
      <c r="A56" s="456" t="s">
        <v>3941</v>
      </c>
      <c r="B56" s="242"/>
      <c r="C56" s="242"/>
      <c r="D56" s="242"/>
      <c r="E56" s="242"/>
      <c r="F56" s="242"/>
      <c r="G56" s="243"/>
    </row>
    <row r="57" spans="1:7">
      <c r="A57" s="83"/>
      <c r="D57" t="s">
        <v>3942</v>
      </c>
      <c r="E57" s="463">
        <v>4.4500408496992688E-2</v>
      </c>
      <c r="F57" s="463" t="s">
        <v>4521</v>
      </c>
      <c r="G57" s="214"/>
    </row>
    <row r="58" spans="1:7">
      <c r="A58" s="83"/>
      <c r="E58" s="463">
        <v>6.6205450819672135E-2</v>
      </c>
      <c r="F58" t="s">
        <v>4522</v>
      </c>
      <c r="G58" s="214"/>
    </row>
    <row r="59" spans="1:7">
      <c r="A59" s="456" t="s">
        <v>3943</v>
      </c>
      <c r="B59" s="242"/>
      <c r="C59" s="242"/>
      <c r="D59" s="242"/>
      <c r="E59" s="242"/>
      <c r="F59" s="242"/>
      <c r="G59" s="243"/>
    </row>
    <row r="60" spans="1:7">
      <c r="A60" s="83"/>
      <c r="D60" t="s">
        <v>3942</v>
      </c>
      <c r="E60" s="463">
        <v>5.1999999999999998E-2</v>
      </c>
      <c r="F60" s="463" t="s">
        <v>4523</v>
      </c>
      <c r="G60" s="214"/>
    </row>
    <row r="61" spans="1:7">
      <c r="A61" s="83"/>
      <c r="G61" s="214"/>
    </row>
    <row r="62" spans="1:7">
      <c r="A62" s="456" t="s">
        <v>3944</v>
      </c>
      <c r="B62" s="242"/>
      <c r="C62" s="242"/>
      <c r="D62" s="242"/>
      <c r="E62" s="242"/>
      <c r="F62" s="242"/>
      <c r="G62" s="243"/>
    </row>
    <row r="63" spans="1:7">
      <c r="A63" s="83" t="s">
        <v>3945</v>
      </c>
      <c r="D63" s="463" t="s">
        <v>3942</v>
      </c>
      <c r="E63" s="463">
        <f>G49</f>
        <v>4.0639982569291883E-2</v>
      </c>
      <c r="G63" s="214"/>
    </row>
    <row r="64" spans="1:7" ht="15.75" thickBot="1">
      <c r="A64" s="124" t="s">
        <v>3946</v>
      </c>
      <c r="B64" s="125"/>
      <c r="C64" s="125"/>
      <c r="D64" s="471" t="s">
        <v>3942</v>
      </c>
      <c r="E64" s="471">
        <f>G50+G51</f>
        <v>3.4670919961706771E-2</v>
      </c>
      <c r="F64" s="125"/>
      <c r="G64" s="217"/>
    </row>
    <row r="65" spans="1:7" ht="15.75">
      <c r="A65" s="233"/>
      <c r="C65" s="233"/>
      <c r="D65" s="233"/>
    </row>
    <row r="66" spans="1:7">
      <c r="A66" s="5" t="s">
        <v>3947</v>
      </c>
      <c r="B66" s="5"/>
      <c r="C66" s="5"/>
      <c r="D66" s="5"/>
      <c r="E66" s="5"/>
      <c r="F66" s="5"/>
      <c r="G66" s="5"/>
    </row>
    <row r="67" spans="1:7">
      <c r="E67" s="4"/>
      <c r="F67" s="4"/>
      <c r="G67" s="4"/>
    </row>
    <row r="68" spans="1:7" ht="15.75">
      <c r="B68" s="233"/>
    </row>
    <row r="69" spans="1:7" ht="16.5" thickBot="1">
      <c r="A69" s="472"/>
      <c r="F69" s="128"/>
    </row>
    <row r="70" spans="1:7">
      <c r="A70" s="129"/>
      <c r="B70" s="130"/>
      <c r="C70" s="130"/>
      <c r="D70" s="130"/>
      <c r="E70" s="130"/>
      <c r="F70" s="130"/>
      <c r="G70" s="82"/>
    </row>
    <row r="71" spans="1:7">
      <c r="A71" s="473" t="s">
        <v>3405</v>
      </c>
      <c r="B71" s="4"/>
      <c r="C71" s="4"/>
      <c r="D71" s="4"/>
      <c r="E71" s="4"/>
      <c r="F71" s="4"/>
      <c r="G71" s="119"/>
    </row>
    <row r="72" spans="1:7">
      <c r="A72" s="97"/>
      <c r="B72" s="98"/>
      <c r="C72" s="98"/>
      <c r="D72" s="98"/>
      <c r="E72" s="98"/>
      <c r="F72" s="98"/>
      <c r="G72" s="225"/>
    </row>
    <row r="73" spans="1:7">
      <c r="A73" s="88"/>
      <c r="B73" s="90"/>
      <c r="C73" s="90"/>
      <c r="D73" s="90"/>
      <c r="E73" s="90"/>
      <c r="F73" s="90"/>
      <c r="G73" s="214"/>
    </row>
    <row r="74" spans="1:7">
      <c r="A74" s="85"/>
      <c r="B74" s="86"/>
      <c r="C74" s="86"/>
      <c r="D74" s="86"/>
      <c r="E74" s="86"/>
      <c r="F74" s="86"/>
      <c r="G74" s="214"/>
    </row>
    <row r="75" spans="1:7">
      <c r="A75" s="85"/>
      <c r="B75" s="86"/>
      <c r="C75" s="86"/>
      <c r="D75" s="86"/>
      <c r="E75" s="86"/>
      <c r="F75" s="86"/>
      <c r="G75" s="214"/>
    </row>
    <row r="76" spans="1:7">
      <c r="A76" s="85"/>
      <c r="B76" s="86"/>
      <c r="C76" s="86"/>
      <c r="D76" s="86"/>
      <c r="E76" s="86"/>
      <c r="F76" s="86"/>
      <c r="G76" s="214"/>
    </row>
    <row r="77" spans="1:7">
      <c r="A77" s="85"/>
      <c r="B77" s="86"/>
      <c r="C77" s="86"/>
      <c r="D77" s="86"/>
      <c r="E77" s="86"/>
      <c r="F77" s="86"/>
      <c r="G77" s="214"/>
    </row>
    <row r="78" spans="1:7">
      <c r="A78" s="85"/>
      <c r="B78" s="86"/>
      <c r="C78" s="86"/>
      <c r="D78" s="86"/>
      <c r="E78" s="86"/>
      <c r="F78" s="86"/>
      <c r="G78" s="214"/>
    </row>
    <row r="79" spans="1:7">
      <c r="A79" s="85"/>
      <c r="B79" s="86"/>
      <c r="C79" s="86"/>
      <c r="D79" s="86"/>
      <c r="E79" s="86"/>
      <c r="F79" s="86"/>
      <c r="G79" s="214"/>
    </row>
    <row r="80" spans="1:7">
      <c r="A80" s="85"/>
      <c r="B80" s="86"/>
      <c r="C80" s="86"/>
      <c r="D80" s="86"/>
      <c r="E80" s="86"/>
      <c r="F80" s="86"/>
      <c r="G80" s="214"/>
    </row>
    <row r="81" spans="1:7">
      <c r="A81" s="85"/>
      <c r="B81" s="86"/>
      <c r="C81" s="86"/>
      <c r="D81" s="86"/>
      <c r="E81" s="86"/>
      <c r="F81" s="86"/>
      <c r="G81" s="214"/>
    </row>
    <row r="82" spans="1:7">
      <c r="A82" s="85"/>
      <c r="B82" s="86"/>
      <c r="C82" s="94"/>
      <c r="E82" s="94"/>
      <c r="F82" s="94"/>
      <c r="G82" s="214"/>
    </row>
    <row r="83" spans="1:7">
      <c r="A83" s="85"/>
      <c r="B83" s="86"/>
      <c r="C83" s="86"/>
      <c r="D83" s="86"/>
      <c r="F83" s="86"/>
      <c r="G83" s="214"/>
    </row>
    <row r="84" spans="1:7">
      <c r="A84" s="85"/>
      <c r="B84" s="86"/>
      <c r="C84" s="86"/>
      <c r="D84" s="86"/>
      <c r="E84" s="86"/>
      <c r="F84" s="86"/>
      <c r="G84" s="214"/>
    </row>
    <row r="85" spans="1:7">
      <c r="A85" s="85"/>
      <c r="B85" s="86"/>
      <c r="C85" s="86"/>
      <c r="D85" s="86"/>
      <c r="E85" s="86"/>
      <c r="F85" s="86"/>
      <c r="G85" s="214"/>
    </row>
    <row r="86" spans="1:7">
      <c r="A86" s="85"/>
      <c r="B86" s="86"/>
      <c r="C86" s="86"/>
      <c r="D86" s="86"/>
      <c r="E86" s="86"/>
      <c r="F86" s="86"/>
      <c r="G86" s="214"/>
    </row>
    <row r="87" spans="1:7">
      <c r="A87" s="85"/>
      <c r="B87" s="86"/>
      <c r="C87" s="86"/>
      <c r="D87" s="86"/>
      <c r="E87" s="86"/>
      <c r="F87" s="86"/>
      <c r="G87" s="214"/>
    </row>
    <row r="88" spans="1:7">
      <c r="A88" s="85"/>
      <c r="B88" s="86"/>
      <c r="C88" s="86"/>
      <c r="D88" s="86"/>
      <c r="E88" s="86"/>
      <c r="F88" s="86"/>
      <c r="G88" s="214"/>
    </row>
    <row r="89" spans="1:7">
      <c r="A89" s="85"/>
      <c r="B89" s="86"/>
      <c r="C89" s="86"/>
      <c r="D89" s="86"/>
      <c r="E89" s="86"/>
      <c r="F89" s="86"/>
      <c r="G89" s="214"/>
    </row>
    <row r="90" spans="1:7">
      <c r="A90" s="85"/>
      <c r="B90" s="86"/>
      <c r="C90" s="86"/>
      <c r="D90" s="86"/>
      <c r="E90" s="86"/>
      <c r="F90" s="86"/>
      <c r="G90" s="214"/>
    </row>
    <row r="91" spans="1:7">
      <c r="A91" s="85"/>
      <c r="B91" s="86"/>
      <c r="C91" s="86"/>
      <c r="D91" s="86"/>
      <c r="E91" s="86"/>
      <c r="F91" s="86"/>
      <c r="G91" s="214"/>
    </row>
    <row r="92" spans="1:7">
      <c r="A92" s="85"/>
      <c r="B92" s="86"/>
      <c r="C92" s="86"/>
      <c r="D92" s="86"/>
      <c r="E92" s="86"/>
      <c r="F92" s="86"/>
      <c r="G92" s="214"/>
    </row>
    <row r="93" spans="1:7">
      <c r="A93" s="85"/>
      <c r="B93" s="86"/>
      <c r="C93" s="86"/>
      <c r="D93" s="86"/>
      <c r="E93" s="86"/>
      <c r="F93" s="86"/>
      <c r="G93" s="214"/>
    </row>
    <row r="94" spans="1:7">
      <c r="A94" s="85"/>
      <c r="B94" s="86"/>
      <c r="C94" s="86"/>
      <c r="D94" s="86"/>
      <c r="E94" s="86"/>
      <c r="F94" s="86"/>
      <c r="G94" s="214"/>
    </row>
    <row r="95" spans="1:7">
      <c r="A95" s="85"/>
      <c r="B95" s="86"/>
      <c r="C95" s="86"/>
      <c r="D95" s="86"/>
      <c r="E95" s="86"/>
      <c r="F95" s="86"/>
      <c r="G95" s="214"/>
    </row>
    <row r="96" spans="1:7">
      <c r="A96" s="85"/>
      <c r="B96" s="86"/>
      <c r="C96" s="86"/>
      <c r="D96" s="86"/>
      <c r="E96" s="86"/>
      <c r="F96" s="86"/>
      <c r="G96" s="214"/>
    </row>
    <row r="97" spans="1:7">
      <c r="A97" s="85"/>
      <c r="B97" s="86"/>
      <c r="C97" s="86"/>
      <c r="D97" s="86"/>
      <c r="E97" s="86"/>
      <c r="F97" s="86"/>
      <c r="G97" s="214"/>
    </row>
    <row r="98" spans="1:7">
      <c r="A98" s="85"/>
      <c r="B98" s="86"/>
      <c r="C98" s="86"/>
      <c r="D98" s="86"/>
      <c r="E98" s="86"/>
      <c r="F98" s="86"/>
      <c r="G98" s="214"/>
    </row>
    <row r="99" spans="1:7">
      <c r="A99" s="85"/>
      <c r="B99" s="86"/>
      <c r="C99" s="86"/>
      <c r="D99" s="86"/>
      <c r="E99" s="86"/>
      <c r="F99" s="86"/>
      <c r="G99" s="214"/>
    </row>
    <row r="100" spans="1:7">
      <c r="A100" s="85"/>
      <c r="B100" s="86"/>
      <c r="C100" s="86"/>
      <c r="D100" s="86"/>
      <c r="E100" s="86"/>
      <c r="F100" s="86"/>
      <c r="G100" s="214"/>
    </row>
    <row r="101" spans="1:7">
      <c r="A101" s="85"/>
      <c r="B101" s="86"/>
      <c r="C101" s="86"/>
      <c r="D101" s="86"/>
      <c r="E101" s="86"/>
      <c r="F101" s="86"/>
      <c r="G101" s="214"/>
    </row>
    <row r="102" spans="1:7">
      <c r="A102" s="85"/>
      <c r="B102" s="86"/>
      <c r="C102" s="86"/>
      <c r="D102" s="86"/>
      <c r="E102" s="86"/>
      <c r="F102" s="86"/>
      <c r="G102" s="214"/>
    </row>
    <row r="103" spans="1:7">
      <c r="A103" s="85"/>
      <c r="B103" s="86"/>
      <c r="C103" s="86"/>
      <c r="D103" s="86"/>
      <c r="E103" s="86"/>
      <c r="F103" s="86"/>
      <c r="G103" s="214"/>
    </row>
    <row r="104" spans="1:7">
      <c r="A104" s="85"/>
      <c r="B104" s="86"/>
      <c r="C104" s="86"/>
      <c r="D104" s="86"/>
      <c r="E104" s="86"/>
      <c r="F104" s="86"/>
      <c r="G104" s="214"/>
    </row>
    <row r="105" spans="1:7">
      <c r="A105" s="85"/>
      <c r="B105" s="86"/>
      <c r="C105" s="86"/>
      <c r="D105" s="86"/>
      <c r="E105" s="86"/>
      <c r="F105" s="86"/>
      <c r="G105" s="214"/>
    </row>
    <row r="106" spans="1:7">
      <c r="A106" s="85"/>
      <c r="B106" s="86"/>
      <c r="C106" s="86"/>
      <c r="D106" s="86"/>
      <c r="E106" s="86"/>
      <c r="F106" s="86"/>
      <c r="G106" s="214"/>
    </row>
    <row r="107" spans="1:7">
      <c r="A107" s="85"/>
      <c r="B107" s="86"/>
      <c r="C107" s="86"/>
      <c r="D107" s="86"/>
      <c r="E107" s="86"/>
      <c r="F107" s="86"/>
      <c r="G107" s="214"/>
    </row>
    <row r="108" spans="1:7">
      <c r="A108" s="85"/>
      <c r="B108" s="86"/>
      <c r="C108" s="86"/>
      <c r="D108" s="86"/>
      <c r="E108" s="86"/>
      <c r="F108" s="86"/>
      <c r="G108" s="214"/>
    </row>
    <row r="109" spans="1:7">
      <c r="A109" s="85"/>
      <c r="B109" s="86"/>
      <c r="C109" s="86"/>
      <c r="D109" s="86"/>
      <c r="E109" s="86"/>
      <c r="F109" s="86"/>
      <c r="G109" s="214"/>
    </row>
    <row r="110" spans="1:7">
      <c r="A110" s="85"/>
      <c r="B110" s="86"/>
      <c r="C110" s="86"/>
      <c r="D110" s="86"/>
      <c r="E110" s="86"/>
      <c r="F110" s="86"/>
      <c r="G110" s="214"/>
    </row>
    <row r="111" spans="1:7">
      <c r="A111" s="85"/>
      <c r="B111" s="86"/>
      <c r="C111" s="86"/>
      <c r="D111" s="86"/>
      <c r="E111" s="86"/>
      <c r="F111" s="86"/>
      <c r="G111" s="214"/>
    </row>
    <row r="112" spans="1:7">
      <c r="A112" s="85"/>
      <c r="B112" s="86"/>
      <c r="C112" s="86"/>
      <c r="D112" s="86"/>
      <c r="E112" s="86"/>
      <c r="F112" s="86"/>
      <c r="G112" s="214"/>
    </row>
    <row r="113" spans="1:7">
      <c r="A113" s="85"/>
      <c r="B113" s="86"/>
      <c r="C113" s="86"/>
      <c r="D113" s="86"/>
      <c r="E113" s="86"/>
      <c r="F113" s="86"/>
      <c r="G113" s="214"/>
    </row>
    <row r="114" spans="1:7">
      <c r="A114" s="85"/>
      <c r="B114" s="86"/>
      <c r="C114" s="86"/>
      <c r="D114" s="86"/>
      <c r="E114" s="86"/>
      <c r="F114" s="86"/>
      <c r="G114" s="214"/>
    </row>
    <row r="115" spans="1:7">
      <c r="A115" s="85"/>
      <c r="B115" s="86"/>
      <c r="C115" s="86"/>
      <c r="D115" s="86"/>
      <c r="E115" s="86"/>
      <c r="F115" s="86"/>
      <c r="G115" s="214"/>
    </row>
    <row r="116" spans="1:7">
      <c r="A116" s="85"/>
      <c r="B116" s="86"/>
      <c r="C116" s="86"/>
      <c r="D116" s="86"/>
      <c r="E116" s="86"/>
      <c r="F116" s="86"/>
      <c r="G116" s="214"/>
    </row>
    <row r="117" spans="1:7">
      <c r="A117" s="85"/>
      <c r="B117" s="86"/>
      <c r="C117" s="86"/>
      <c r="D117" s="86"/>
      <c r="E117" s="86"/>
      <c r="F117" s="86"/>
      <c r="G117" s="214"/>
    </row>
    <row r="118" spans="1:7">
      <c r="A118" s="85"/>
      <c r="B118" s="86"/>
      <c r="C118" s="86"/>
      <c r="D118" s="86"/>
      <c r="E118" s="86"/>
      <c r="F118" s="86"/>
      <c r="G118" s="214"/>
    </row>
    <row r="119" spans="1:7">
      <c r="A119" s="85"/>
      <c r="B119" s="86"/>
      <c r="C119" s="86"/>
      <c r="D119" s="86"/>
      <c r="E119" s="86"/>
      <c r="F119" s="86"/>
      <c r="G119" s="214"/>
    </row>
    <row r="120" spans="1:7">
      <c r="A120" s="85"/>
      <c r="B120" s="86"/>
      <c r="C120" s="86"/>
      <c r="D120" s="86"/>
      <c r="E120" s="86"/>
      <c r="F120" s="86"/>
      <c r="G120" s="214"/>
    </row>
    <row r="121" spans="1:7">
      <c r="A121" s="85"/>
      <c r="B121" s="86"/>
      <c r="C121" s="86"/>
      <c r="D121" s="86"/>
      <c r="E121" s="86"/>
      <c r="F121" s="86"/>
      <c r="G121" s="214"/>
    </row>
    <row r="122" spans="1:7">
      <c r="A122" s="85"/>
      <c r="B122" s="86"/>
      <c r="C122" s="86"/>
      <c r="D122" s="86"/>
      <c r="E122" s="86"/>
      <c r="F122" s="86"/>
      <c r="G122" s="214"/>
    </row>
    <row r="123" spans="1:7">
      <c r="A123" s="85"/>
      <c r="B123" s="86"/>
      <c r="C123" s="86"/>
      <c r="D123" s="86"/>
      <c r="E123" s="86"/>
      <c r="F123" s="86"/>
      <c r="G123" s="214"/>
    </row>
    <row r="124" spans="1:7">
      <c r="A124" s="85"/>
      <c r="B124" s="86"/>
      <c r="C124" s="86"/>
      <c r="D124" s="86"/>
      <c r="E124" s="86"/>
      <c r="F124" s="86"/>
      <c r="G124" s="214"/>
    </row>
    <row r="125" spans="1:7">
      <c r="A125" s="85"/>
      <c r="B125" s="86"/>
      <c r="C125" s="86"/>
      <c r="D125" s="86"/>
      <c r="E125" s="86"/>
      <c r="F125" s="86"/>
      <c r="G125" s="214"/>
    </row>
    <row r="126" spans="1:7" ht="15.75" thickBot="1">
      <c r="A126" s="154"/>
      <c r="B126" s="113"/>
      <c r="C126" s="444"/>
      <c r="D126" s="444"/>
      <c r="E126" s="444"/>
      <c r="F126" s="113"/>
      <c r="G126" s="217"/>
    </row>
    <row r="128" spans="1:7" ht="15.75">
      <c r="A128" s="86" t="s">
        <v>3949</v>
      </c>
      <c r="C128" s="86"/>
      <c r="D128" s="233" t="s">
        <v>3950</v>
      </c>
      <c r="F128" s="86"/>
    </row>
    <row r="129" spans="1:7" ht="15.75">
      <c r="A129" s="5" t="s">
        <v>3951</v>
      </c>
      <c r="B129" s="4"/>
      <c r="C129" s="5"/>
      <c r="D129" s="3"/>
      <c r="E129" s="4"/>
      <c r="F129" s="5"/>
      <c r="G129" s="4"/>
    </row>
  </sheetData>
  <phoneticPr fontId="0" type="noConversion"/>
  <printOptions horizontalCentered="1" verticalCentered="1"/>
  <pageMargins left="0.4" right="0.4" top="0.3" bottom="0.3" header="0" footer="0"/>
  <pageSetup scale="74" orientation="portrait" r:id="rId1"/>
  <headerFooter alignWithMargins="0"/>
  <rowBreaks count="2" manualBreakCount="2">
    <brk id="66" max="16383" man="1"/>
    <brk id="69"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codeName="Sheet32"/>
  <dimension ref="A1:I341"/>
  <sheetViews>
    <sheetView defaultGridColor="0" colorId="22" zoomScaleNormal="100" workbookViewId="0">
      <pane xSplit="2" ySplit="20" topLeftCell="C21" activePane="bottomRight" state="frozen"/>
      <selection activeCell="R36" sqref="R36"/>
      <selection pane="topRight" activeCell="R36" sqref="R36"/>
      <selection pane="bottomLeft" activeCell="R36" sqref="R36"/>
      <selection pane="bottomRight" activeCell="D26" sqref="D26"/>
    </sheetView>
  </sheetViews>
  <sheetFormatPr defaultColWidth="9.77734375" defaultRowHeight="15"/>
  <cols>
    <col min="1" max="1" width="4.77734375" customWidth="1"/>
    <col min="2" max="2" width="33.109375" customWidth="1"/>
    <col min="3" max="3" width="18.77734375" customWidth="1"/>
    <col min="4" max="5" width="15.77734375" customWidth="1"/>
    <col min="6" max="6" width="17.5546875" customWidth="1"/>
    <col min="8" max="9" width="14" bestFit="1" customWidth="1"/>
  </cols>
  <sheetData>
    <row r="1" spans="1:6" ht="15.75" thickBot="1">
      <c r="A1" s="86" t="str">
        <f>'Data sheet'!A59</f>
        <v>Annual Report of Veolia Water New York, Inc.                                                             Year Ended  December 31, 2023</v>
      </c>
      <c r="B1" s="86"/>
      <c r="C1" s="40"/>
      <c r="D1" s="86"/>
      <c r="E1" s="86"/>
      <c r="F1" s="86"/>
    </row>
    <row r="2" spans="1:6">
      <c r="A2" s="129"/>
      <c r="B2" s="474"/>
      <c r="C2" s="475"/>
      <c r="D2" s="130"/>
      <c r="E2" s="474"/>
      <c r="F2" s="131"/>
    </row>
    <row r="3" spans="1:6" ht="15.75">
      <c r="A3" s="118"/>
      <c r="B3" s="3" t="s">
        <v>3952</v>
      </c>
      <c r="C3" s="5"/>
      <c r="D3" s="5"/>
      <c r="E3" s="5"/>
      <c r="F3" s="132"/>
    </row>
    <row r="4" spans="1:6">
      <c r="A4" s="97"/>
      <c r="B4" s="98"/>
      <c r="C4" s="98"/>
      <c r="D4" s="98"/>
      <c r="E4" s="98"/>
      <c r="F4" s="101"/>
    </row>
    <row r="5" spans="1:6">
      <c r="A5" s="1062" t="s">
        <v>3953</v>
      </c>
      <c r="B5" s="359"/>
      <c r="C5" s="359"/>
      <c r="D5" s="359"/>
      <c r="E5" s="359"/>
      <c r="F5" s="360"/>
    </row>
    <row r="6" spans="1:6">
      <c r="A6" s="1062"/>
      <c r="B6" s="359"/>
      <c r="C6" s="359"/>
      <c r="D6" s="359"/>
      <c r="E6" s="359"/>
      <c r="F6" s="360"/>
    </row>
    <row r="7" spans="1:6">
      <c r="A7" s="1062" t="s">
        <v>3954</v>
      </c>
      <c r="B7" s="359"/>
      <c r="C7" s="359"/>
      <c r="D7" s="359"/>
      <c r="E7" s="359"/>
      <c r="F7" s="360"/>
    </row>
    <row r="8" spans="1:6">
      <c r="A8" s="1062" t="s">
        <v>4257</v>
      </c>
      <c r="B8" s="359"/>
      <c r="C8" s="359"/>
      <c r="D8" s="359"/>
      <c r="E8" s="359"/>
      <c r="F8" s="360"/>
    </row>
    <row r="9" spans="1:6">
      <c r="A9" s="1062"/>
      <c r="B9" s="359"/>
      <c r="C9" s="359"/>
      <c r="D9" s="359"/>
      <c r="E9" s="359"/>
      <c r="F9" s="360"/>
    </row>
    <row r="10" spans="1:6">
      <c r="A10" s="1062" t="s">
        <v>2887</v>
      </c>
      <c r="B10" s="359"/>
      <c r="C10" s="359"/>
      <c r="D10" s="359"/>
      <c r="E10" s="359"/>
      <c r="F10" s="360"/>
    </row>
    <row r="11" spans="1:6">
      <c r="A11" s="1062" t="s">
        <v>3533</v>
      </c>
      <c r="B11" s="359"/>
      <c r="C11" s="359"/>
      <c r="D11" s="359"/>
      <c r="E11" s="359"/>
      <c r="F11" s="360"/>
    </row>
    <row r="12" spans="1:6">
      <c r="A12" s="1062" t="s">
        <v>3534</v>
      </c>
      <c r="B12" s="359"/>
      <c r="C12" s="359"/>
      <c r="D12" s="359"/>
      <c r="E12" s="359"/>
      <c r="F12" s="360"/>
    </row>
    <row r="13" spans="1:6">
      <c r="A13" s="1062" t="s">
        <v>864</v>
      </c>
      <c r="B13" s="359"/>
      <c r="C13" s="359"/>
      <c r="D13" s="359"/>
      <c r="E13" s="359"/>
      <c r="F13" s="360"/>
    </row>
    <row r="14" spans="1:6">
      <c r="A14" s="1062"/>
      <c r="B14" s="359"/>
      <c r="C14" s="359"/>
      <c r="D14" s="359"/>
      <c r="E14" s="359"/>
      <c r="F14" s="360"/>
    </row>
    <row r="15" spans="1:6">
      <c r="A15" s="1062" t="s">
        <v>865</v>
      </c>
      <c r="B15" s="359"/>
      <c r="C15" s="359"/>
      <c r="D15" s="359"/>
      <c r="E15" s="359"/>
      <c r="F15" s="360"/>
    </row>
    <row r="16" spans="1:6">
      <c r="A16" s="97"/>
      <c r="B16" s="98"/>
      <c r="C16" s="98"/>
      <c r="D16" s="98"/>
      <c r="E16" s="98"/>
      <c r="F16" s="101"/>
    </row>
    <row r="17" spans="1:9">
      <c r="A17" s="476"/>
      <c r="B17" s="477" t="s">
        <v>866</v>
      </c>
      <c r="C17" s="477"/>
      <c r="D17" s="477"/>
      <c r="E17" s="477"/>
      <c r="F17" s="478"/>
    </row>
    <row r="18" spans="1:9">
      <c r="A18" s="237"/>
      <c r="B18" s="86"/>
      <c r="C18" s="1018" t="s">
        <v>1738</v>
      </c>
      <c r="D18" s="620" t="s">
        <v>867</v>
      </c>
      <c r="E18" s="620" t="s">
        <v>867</v>
      </c>
      <c r="F18" s="1064"/>
    </row>
    <row r="19" spans="1:9">
      <c r="A19" s="237" t="s">
        <v>1727</v>
      </c>
      <c r="B19" s="94" t="s">
        <v>1290</v>
      </c>
      <c r="C19" s="620" t="s">
        <v>868</v>
      </c>
      <c r="D19" s="620" t="s">
        <v>869</v>
      </c>
      <c r="E19" s="620" t="s">
        <v>870</v>
      </c>
      <c r="F19" s="1064"/>
      <c r="G19" s="2536"/>
    </row>
    <row r="20" spans="1:9">
      <c r="A20" s="237" t="s">
        <v>1739</v>
      </c>
      <c r="B20" s="996" t="s">
        <v>3279</v>
      </c>
      <c r="C20" s="621" t="s">
        <v>3280</v>
      </c>
      <c r="D20" s="621" t="s">
        <v>3281</v>
      </c>
      <c r="E20" s="621" t="s">
        <v>3282</v>
      </c>
      <c r="F20" s="1064"/>
    </row>
    <row r="21" spans="1:9">
      <c r="A21" s="368">
        <v>1</v>
      </c>
      <c r="B21" s="408" t="s">
        <v>871</v>
      </c>
      <c r="C21" s="412">
        <f>D21+E21+F21</f>
        <v>108854982</v>
      </c>
      <c r="D21" s="2038">
        <v>105084293</v>
      </c>
      <c r="E21" s="2039">
        <v>3770689</v>
      </c>
      <c r="F21" s="1067"/>
    </row>
    <row r="22" spans="1:9">
      <c r="A22" s="480">
        <v>2</v>
      </c>
      <c r="B22" s="90" t="s">
        <v>872</v>
      </c>
      <c r="C22" s="1063"/>
      <c r="D22" s="1639"/>
      <c r="E22" s="1640"/>
      <c r="F22" s="1064"/>
    </row>
    <row r="23" spans="1:9">
      <c r="A23" s="240"/>
      <c r="B23" s="98" t="s">
        <v>873</v>
      </c>
      <c r="C23" s="1065"/>
      <c r="D23" s="1641"/>
      <c r="E23" s="1642"/>
      <c r="F23" s="1064"/>
    </row>
    <row r="24" spans="1:9">
      <c r="A24" s="368">
        <v>3</v>
      </c>
      <c r="B24" s="408" t="s">
        <v>874</v>
      </c>
      <c r="C24" s="412">
        <f t="shared" ref="C24:C30" si="0">D24+E24+F24</f>
        <v>16131998</v>
      </c>
      <c r="D24" s="2040">
        <v>15950585</v>
      </c>
      <c r="E24" s="2041">
        <v>181413</v>
      </c>
      <c r="F24" s="1064"/>
      <c r="G24" t="str">
        <f>IF(C24='116119'!G27,"ok","error")</f>
        <v>ok</v>
      </c>
      <c r="H24" s="140"/>
      <c r="I24" s="2757"/>
    </row>
    <row r="25" spans="1:9">
      <c r="A25" s="368">
        <v>4</v>
      </c>
      <c r="B25" s="408" t="s">
        <v>875</v>
      </c>
      <c r="C25" s="410">
        <f t="shared" si="0"/>
        <v>0</v>
      </c>
      <c r="D25" s="2039"/>
      <c r="E25" s="2039"/>
      <c r="F25" s="1069"/>
    </row>
    <row r="26" spans="1:9">
      <c r="A26" s="368">
        <v>5</v>
      </c>
      <c r="B26" s="408" t="s">
        <v>876</v>
      </c>
      <c r="C26" s="410">
        <f t="shared" si="0"/>
        <v>743</v>
      </c>
      <c r="D26" s="2039">
        <v>743</v>
      </c>
      <c r="E26" s="2039"/>
      <c r="F26" s="1064"/>
    </row>
    <row r="27" spans="1:9">
      <c r="A27" s="368">
        <v>6</v>
      </c>
      <c r="B27" s="408" t="s">
        <v>877</v>
      </c>
      <c r="C27" s="410">
        <f t="shared" si="0"/>
        <v>0</v>
      </c>
      <c r="D27" s="2038"/>
      <c r="E27" s="2039"/>
      <c r="F27" s="1069"/>
    </row>
    <row r="28" spans="1:9">
      <c r="A28" s="368">
        <v>7</v>
      </c>
      <c r="B28" s="408" t="s">
        <v>2230</v>
      </c>
      <c r="C28" s="410">
        <f t="shared" si="0"/>
        <v>39782</v>
      </c>
      <c r="D28" s="2038"/>
      <c r="E28" s="2039">
        <v>39782</v>
      </c>
      <c r="F28" s="1069"/>
    </row>
    <row r="29" spans="1:9">
      <c r="A29" s="368">
        <v>8</v>
      </c>
      <c r="B29" s="408"/>
      <c r="C29" s="410">
        <f t="shared" si="0"/>
        <v>0</v>
      </c>
      <c r="D29" s="2038"/>
      <c r="E29" s="2039"/>
      <c r="F29" s="1069"/>
    </row>
    <row r="30" spans="1:9">
      <c r="A30" s="480">
        <v>9</v>
      </c>
      <c r="B30" s="90" t="s">
        <v>878</v>
      </c>
      <c r="C30" s="481">
        <f t="shared" si="0"/>
        <v>16172523</v>
      </c>
      <c r="D30" s="481">
        <f>SUM(D24:D29)</f>
        <v>15951328</v>
      </c>
      <c r="E30" s="481">
        <f>SUM(E24:E29)</f>
        <v>221195</v>
      </c>
      <c r="F30" s="1070"/>
    </row>
    <row r="31" spans="1:9">
      <c r="A31" s="240"/>
      <c r="B31" s="98" t="s">
        <v>879</v>
      </c>
      <c r="C31" s="482"/>
      <c r="D31" s="482"/>
      <c r="E31" s="482"/>
      <c r="F31" s="1064"/>
    </row>
    <row r="32" spans="1:9">
      <c r="A32" s="368">
        <v>10</v>
      </c>
      <c r="B32" s="408" t="s">
        <v>4169</v>
      </c>
      <c r="C32" s="1068" t="s">
        <v>218</v>
      </c>
      <c r="D32" s="1073"/>
      <c r="E32" s="1068"/>
      <c r="F32" s="1064"/>
    </row>
    <row r="33" spans="1:6">
      <c r="A33" s="368">
        <v>11</v>
      </c>
      <c r="B33" s="408" t="s">
        <v>4170</v>
      </c>
      <c r="C33" s="410">
        <f>D33+E33+F33</f>
        <v>2703349</v>
      </c>
      <c r="D33" s="2038">
        <v>2695409</v>
      </c>
      <c r="E33" s="2042">
        <v>7940</v>
      </c>
      <c r="F33" s="1069"/>
    </row>
    <row r="34" spans="1:6">
      <c r="A34" s="368">
        <v>12</v>
      </c>
      <c r="B34" s="408" t="s">
        <v>4171</v>
      </c>
      <c r="C34" s="410">
        <f>D34+E34+F34</f>
        <v>3539624</v>
      </c>
      <c r="D34" s="2038">
        <v>3539624</v>
      </c>
      <c r="E34" s="2042"/>
      <c r="F34" s="1069"/>
    </row>
    <row r="35" spans="1:6">
      <c r="A35" s="368">
        <v>13</v>
      </c>
      <c r="B35" s="408" t="s">
        <v>4172</v>
      </c>
      <c r="C35" s="410">
        <f>D35+E35+F35</f>
        <v>-5154</v>
      </c>
      <c r="D35" s="2043">
        <v>-5154</v>
      </c>
      <c r="E35" s="2043"/>
      <c r="F35" s="1069"/>
    </row>
    <row r="36" spans="1:6">
      <c r="A36" s="480">
        <v>14</v>
      </c>
      <c r="B36" s="90" t="s">
        <v>3889</v>
      </c>
      <c r="C36" s="481">
        <f>D36+E36+F36</f>
        <v>6237819</v>
      </c>
      <c r="D36" s="481">
        <f>D33+D34+D35</f>
        <v>6229879</v>
      </c>
      <c r="E36" s="481">
        <f>E33+E34+E35</f>
        <v>7940</v>
      </c>
      <c r="F36" s="1070"/>
    </row>
    <row r="37" spans="1:6">
      <c r="A37" s="240"/>
      <c r="B37" s="98" t="s">
        <v>388</v>
      </c>
      <c r="C37" s="410"/>
      <c r="D37" s="410"/>
      <c r="E37" s="382"/>
      <c r="F37" s="1064"/>
    </row>
    <row r="38" spans="1:6">
      <c r="A38" s="368">
        <v>15</v>
      </c>
      <c r="B38" s="408" t="s">
        <v>2229</v>
      </c>
      <c r="C38" s="410">
        <f>D38+E38+F38</f>
        <v>0</v>
      </c>
      <c r="D38" s="2038"/>
      <c r="E38" s="2043"/>
      <c r="F38" s="1069"/>
    </row>
    <row r="39" spans="1:6">
      <c r="A39" s="368">
        <v>16</v>
      </c>
      <c r="B39" s="2593" t="s">
        <v>5041</v>
      </c>
      <c r="C39" s="410">
        <f>D39+E39+F39</f>
        <v>-1168922</v>
      </c>
      <c r="D39" s="2043">
        <v>-1168922</v>
      </c>
      <c r="E39" s="2043"/>
      <c r="F39" s="1069"/>
    </row>
    <row r="40" spans="1:6">
      <c r="A40" s="480"/>
      <c r="B40" s="1113" t="s">
        <v>5299</v>
      </c>
      <c r="C40" s="410">
        <f t="shared" ref="C40:C42" si="1">D40+E40+F40</f>
        <v>-12470</v>
      </c>
      <c r="D40" s="2385">
        <v>-2000</v>
      </c>
      <c r="E40" s="2385">
        <v>-10470</v>
      </c>
      <c r="F40" s="1069"/>
    </row>
    <row r="41" spans="1:6">
      <c r="A41" s="480"/>
      <c r="B41" s="1113" t="s">
        <v>5300</v>
      </c>
      <c r="C41" s="410">
        <f t="shared" si="1"/>
        <v>0</v>
      </c>
      <c r="D41" s="2385"/>
      <c r="E41" s="2385"/>
      <c r="F41" s="1069"/>
    </row>
    <row r="42" spans="1:6">
      <c r="A42" s="480"/>
      <c r="B42" s="1113"/>
      <c r="C42" s="410">
        <f t="shared" si="1"/>
        <v>0</v>
      </c>
      <c r="D42" s="2385"/>
      <c r="E42" s="2385"/>
      <c r="F42" s="1069"/>
    </row>
    <row r="43" spans="1:6">
      <c r="A43" s="480">
        <v>17</v>
      </c>
      <c r="B43" s="90" t="s">
        <v>389</v>
      </c>
      <c r="C43" s="483">
        <f>C21+C30-C36+C38+C39+C40+C41+C42</f>
        <v>117608294</v>
      </c>
      <c r="D43" s="483">
        <f>D21+D30-D36+D38+D39+D40+D41+D42</f>
        <v>113634820</v>
      </c>
      <c r="E43" s="483">
        <f>E21+E30-E36+E38+E39+E40+E41+E42</f>
        <v>3973474</v>
      </c>
      <c r="F43" s="1071"/>
    </row>
    <row r="44" spans="1:6">
      <c r="A44" s="240"/>
      <c r="B44" s="98" t="s">
        <v>4336</v>
      </c>
      <c r="C44" s="482"/>
      <c r="D44" s="482"/>
      <c r="E44" s="482"/>
      <c r="F44" s="1064"/>
    </row>
    <row r="45" spans="1:6">
      <c r="A45" s="368"/>
      <c r="B45" s="86" t="s">
        <v>120</v>
      </c>
      <c r="C45" s="484"/>
      <c r="D45" s="426"/>
      <c r="E45" s="484"/>
      <c r="F45" s="1064"/>
    </row>
    <row r="46" spans="1:6">
      <c r="A46" s="368">
        <v>18</v>
      </c>
      <c r="B46" s="408" t="s">
        <v>121</v>
      </c>
      <c r="C46" s="412">
        <f>D46+E46+F46</f>
        <v>10806147</v>
      </c>
      <c r="D46" s="2040">
        <f>9315473+1</f>
        <v>9315474</v>
      </c>
      <c r="E46" s="2040">
        <v>1490673</v>
      </c>
      <c r="F46" s="1067"/>
    </row>
    <row r="47" spans="1:6">
      <c r="A47" s="368">
        <v>19</v>
      </c>
      <c r="B47" s="408" t="s">
        <v>122</v>
      </c>
      <c r="C47" s="410">
        <f>D47+E47+F47</f>
        <v>17255191</v>
      </c>
      <c r="D47" s="2038">
        <v>17255191</v>
      </c>
      <c r="E47" s="2038"/>
      <c r="F47" s="1069"/>
    </row>
    <row r="48" spans="1:6">
      <c r="A48" s="368">
        <v>20</v>
      </c>
      <c r="B48" s="408" t="s">
        <v>123</v>
      </c>
      <c r="C48" s="410">
        <f>D48+E48+F48</f>
        <v>16805999</v>
      </c>
      <c r="D48" s="2038">
        <v>14323198</v>
      </c>
      <c r="E48" s="2038">
        <v>2482801</v>
      </c>
      <c r="F48" s="1069"/>
    </row>
    <row r="49" spans="1:9">
      <c r="A49" s="368">
        <v>21</v>
      </c>
      <c r="B49" s="408" t="s">
        <v>124</v>
      </c>
      <c r="C49" s="410">
        <f>D49+E49+F49</f>
        <v>70299920</v>
      </c>
      <c r="D49" s="2038">
        <v>70299920</v>
      </c>
      <c r="E49" s="2038"/>
      <c r="F49" s="1069"/>
    </row>
    <row r="50" spans="1:9">
      <c r="A50" s="368">
        <v>22</v>
      </c>
      <c r="B50" s="408" t="s">
        <v>125</v>
      </c>
      <c r="C50" s="410">
        <f>D50+E50+F50</f>
        <v>2441037</v>
      </c>
      <c r="D50" s="2038">
        <v>2441037</v>
      </c>
      <c r="E50" s="2038"/>
      <c r="F50" s="1069"/>
    </row>
    <row r="51" spans="1:9" ht="15.75" thickBot="1">
      <c r="A51" s="397">
        <v>23</v>
      </c>
      <c r="B51" s="485" t="s">
        <v>1804</v>
      </c>
      <c r="C51" s="486">
        <f>D51+E51</f>
        <v>117608294</v>
      </c>
      <c r="D51" s="487">
        <f>SUM(D46:D50)</f>
        <v>113634820</v>
      </c>
      <c r="E51" s="487">
        <f>SUM(E46:E50)</f>
        <v>3973474</v>
      </c>
      <c r="F51" s="1072"/>
      <c r="G51" t="str">
        <f>IF(ROUND(C51,2)=ROUND('200201'!D24, 2), "ok","error")</f>
        <v>ok</v>
      </c>
      <c r="H51" s="198"/>
      <c r="I51" s="572"/>
    </row>
    <row r="52" spans="1:9">
      <c r="A52" s="86" t="s">
        <v>544</v>
      </c>
      <c r="B52" s="86"/>
      <c r="C52" s="86"/>
      <c r="D52" s="86"/>
      <c r="E52" s="86"/>
      <c r="F52" s="405"/>
    </row>
    <row r="53" spans="1:9">
      <c r="A53" s="5" t="s">
        <v>1805</v>
      </c>
      <c r="B53" s="5"/>
      <c r="C53" s="5"/>
      <c r="D53" s="5"/>
      <c r="E53" s="5"/>
      <c r="F53" s="5"/>
    </row>
    <row r="54" spans="1:9">
      <c r="A54" s="86"/>
      <c r="B54" s="86"/>
      <c r="C54" s="86"/>
      <c r="D54" s="86"/>
      <c r="E54" s="86"/>
      <c r="F54" s="86"/>
    </row>
    <row r="55" spans="1:9">
      <c r="A55" s="86"/>
      <c r="B55" s="86" t="s">
        <v>4937</v>
      </c>
      <c r="C55" s="404">
        <f>+C43-C51</f>
        <v>0</v>
      </c>
      <c r="D55" s="86">
        <f>+D43-D51</f>
        <v>0</v>
      </c>
      <c r="E55" s="86">
        <f>+E43-E51</f>
        <v>0</v>
      </c>
      <c r="F55" s="86"/>
    </row>
    <row r="56" spans="1:9">
      <c r="A56" s="86"/>
      <c r="B56" s="86"/>
      <c r="C56" s="86"/>
      <c r="D56" s="86"/>
      <c r="E56" s="86"/>
      <c r="F56" s="86"/>
    </row>
    <row r="57" spans="1:9">
      <c r="A57" s="86"/>
      <c r="B57" s="86"/>
      <c r="C57" s="86"/>
      <c r="D57" s="86"/>
      <c r="E57" s="86"/>
      <c r="F57" s="86"/>
    </row>
    <row r="58" spans="1:9">
      <c r="A58" s="86"/>
      <c r="B58" s="86"/>
      <c r="C58" s="86"/>
      <c r="D58" s="86"/>
      <c r="E58" s="86"/>
      <c r="F58" s="86"/>
    </row>
    <row r="59" spans="1:9">
      <c r="A59" s="86"/>
      <c r="B59" s="86"/>
      <c r="C59" s="86"/>
      <c r="D59" s="86"/>
      <c r="E59" s="86"/>
      <c r="F59" s="86"/>
    </row>
    <row r="60" spans="1:9">
      <c r="A60" s="86"/>
      <c r="B60" s="86"/>
      <c r="C60" s="86"/>
      <c r="D60" s="86"/>
      <c r="E60" s="86"/>
      <c r="F60" s="86"/>
    </row>
    <row r="61" spans="1:9">
      <c r="A61" s="86"/>
      <c r="B61" s="86"/>
      <c r="C61" s="86"/>
      <c r="D61" s="86"/>
      <c r="E61" s="86"/>
      <c r="F61" s="86"/>
    </row>
    <row r="62" spans="1:9">
      <c r="A62" s="86"/>
      <c r="B62" s="86"/>
      <c r="C62" s="86"/>
      <c r="D62" s="86"/>
      <c r="E62" s="86"/>
      <c r="F62" s="86"/>
    </row>
    <row r="63" spans="1:9">
      <c r="A63" s="86"/>
      <c r="B63" s="86"/>
      <c r="C63" s="86"/>
      <c r="D63" s="86"/>
      <c r="E63" s="86"/>
      <c r="F63" s="86"/>
    </row>
    <row r="64" spans="1:9">
      <c r="A64" s="86"/>
      <c r="B64" s="86"/>
      <c r="C64" s="86"/>
      <c r="D64" s="86"/>
      <c r="E64" s="86"/>
      <c r="F64" s="86"/>
    </row>
    <row r="65" spans="1:6">
      <c r="A65" s="86"/>
      <c r="B65" s="86"/>
      <c r="C65" s="86"/>
      <c r="D65" s="86"/>
      <c r="E65" s="86"/>
      <c r="F65" s="86"/>
    </row>
    <row r="66" spans="1:6">
      <c r="A66" s="86"/>
      <c r="B66" s="86"/>
      <c r="C66" s="86"/>
      <c r="D66" s="86"/>
      <c r="E66" s="86"/>
      <c r="F66" s="86"/>
    </row>
    <row r="67" spans="1:6">
      <c r="A67" s="86"/>
      <c r="B67" s="86"/>
      <c r="C67" s="86"/>
      <c r="D67" s="86"/>
      <c r="E67" s="86"/>
      <c r="F67" s="86"/>
    </row>
    <row r="68" spans="1:6">
      <c r="A68" s="86"/>
      <c r="B68" s="86"/>
      <c r="C68" s="86"/>
      <c r="D68" s="86"/>
      <c r="E68" s="86"/>
      <c r="F68" s="86"/>
    </row>
    <row r="69" spans="1:6">
      <c r="A69" s="86"/>
      <c r="B69" s="86"/>
      <c r="C69" s="86"/>
      <c r="D69" s="86"/>
      <c r="E69" s="86"/>
      <c r="F69" s="86"/>
    </row>
    <row r="70" spans="1:6">
      <c r="A70" s="86"/>
      <c r="B70" s="86"/>
      <c r="C70" s="86"/>
      <c r="D70" s="86"/>
      <c r="E70" s="86"/>
      <c r="F70" s="86"/>
    </row>
    <row r="71" spans="1:6">
      <c r="A71" s="86"/>
      <c r="B71" s="86"/>
      <c r="C71" s="86"/>
      <c r="D71" s="86"/>
      <c r="E71" s="86"/>
      <c r="F71" s="86"/>
    </row>
    <row r="72" spans="1:6">
      <c r="A72" s="86"/>
      <c r="B72" s="86"/>
      <c r="C72" s="86"/>
      <c r="D72" s="86"/>
      <c r="E72" s="86"/>
      <c r="F72" s="86"/>
    </row>
    <row r="73" spans="1:6">
      <c r="A73" s="86"/>
      <c r="B73" s="86"/>
      <c r="C73" s="426"/>
      <c r="D73" s="426"/>
      <c r="E73" s="426"/>
      <c r="F73" s="86"/>
    </row>
    <row r="74" spans="1:6">
      <c r="A74" s="86"/>
      <c r="B74" s="86"/>
      <c r="C74" s="426"/>
      <c r="D74" s="426"/>
      <c r="E74" s="426"/>
      <c r="F74" s="86"/>
    </row>
    <row r="75" spans="1:6">
      <c r="A75" s="86"/>
      <c r="B75" s="86"/>
      <c r="C75" s="426"/>
      <c r="D75" s="426"/>
      <c r="E75" s="426"/>
      <c r="F75" s="86"/>
    </row>
    <row r="76" spans="1:6">
      <c r="A76" s="86"/>
      <c r="B76" s="86"/>
      <c r="C76" s="426"/>
      <c r="D76" s="426"/>
      <c r="E76" s="426"/>
      <c r="F76" s="86"/>
    </row>
    <row r="77" spans="1:6">
      <c r="A77" s="86"/>
      <c r="B77" s="86"/>
      <c r="C77" s="426"/>
      <c r="D77" s="426"/>
      <c r="E77" s="426"/>
      <c r="F77" s="86"/>
    </row>
    <row r="78" spans="1:6">
      <c r="A78" s="86"/>
      <c r="B78" s="86"/>
      <c r="C78" s="426"/>
      <c r="D78" s="426"/>
      <c r="E78" s="426"/>
      <c r="F78" s="86"/>
    </row>
    <row r="79" spans="1:6">
      <c r="A79" s="86"/>
      <c r="B79" s="86"/>
      <c r="C79" s="426"/>
      <c r="D79" s="426"/>
      <c r="E79" s="426"/>
      <c r="F79" s="86"/>
    </row>
    <row r="80" spans="1:6">
      <c r="A80" s="86"/>
      <c r="B80" s="86"/>
      <c r="C80" s="426"/>
      <c r="D80" s="426"/>
      <c r="E80" s="426"/>
      <c r="F80" s="86"/>
    </row>
    <row r="81" spans="1:6">
      <c r="A81" s="86"/>
      <c r="B81" s="86"/>
      <c r="C81" s="426"/>
      <c r="D81" s="426"/>
      <c r="E81" s="426"/>
      <c r="F81" s="86"/>
    </row>
    <row r="82" spans="1:6">
      <c r="A82" s="86"/>
      <c r="B82" s="86"/>
      <c r="C82" s="426"/>
      <c r="D82" s="426"/>
      <c r="E82" s="426"/>
      <c r="F82" s="86"/>
    </row>
    <row r="83" spans="1:6">
      <c r="A83" s="86"/>
      <c r="B83" s="86"/>
      <c r="C83" s="426"/>
      <c r="D83" s="426"/>
      <c r="E83" s="426"/>
      <c r="F83" s="86"/>
    </row>
    <row r="84" spans="1:6">
      <c r="A84" s="86"/>
      <c r="B84" s="86"/>
      <c r="C84" s="426"/>
      <c r="D84" s="426"/>
      <c r="E84" s="426"/>
      <c r="F84" s="86"/>
    </row>
    <row r="85" spans="1:6">
      <c r="A85" s="86"/>
      <c r="B85" s="86"/>
      <c r="C85" s="426"/>
      <c r="D85" s="426"/>
      <c r="E85" s="426"/>
      <c r="F85" s="86"/>
    </row>
    <row r="86" spans="1:6">
      <c r="A86" s="86"/>
      <c r="B86" s="86"/>
      <c r="C86" s="426"/>
      <c r="D86" s="426"/>
      <c r="E86" s="426"/>
      <c r="F86" s="86"/>
    </row>
    <row r="87" spans="1:6">
      <c r="A87" s="86"/>
      <c r="B87" s="86"/>
      <c r="C87" s="426"/>
      <c r="D87" s="426"/>
      <c r="E87" s="426"/>
      <c r="F87" s="86"/>
    </row>
    <row r="88" spans="1:6">
      <c r="A88" s="86"/>
      <c r="B88" s="86"/>
      <c r="C88" s="426"/>
      <c r="D88" s="426"/>
      <c r="E88" s="426"/>
      <c r="F88" s="86"/>
    </row>
    <row r="89" spans="1:6">
      <c r="A89" s="86"/>
      <c r="B89" s="86"/>
      <c r="C89" s="426"/>
      <c r="D89" s="426"/>
      <c r="E89" s="426"/>
      <c r="F89" s="86"/>
    </row>
    <row r="90" spans="1:6">
      <c r="A90" s="86"/>
      <c r="B90" s="86"/>
      <c r="C90" s="426"/>
      <c r="D90" s="426"/>
      <c r="E90" s="426"/>
      <c r="F90" s="86"/>
    </row>
    <row r="91" spans="1:6">
      <c r="A91" s="86"/>
      <c r="B91" s="86"/>
      <c r="C91" s="426"/>
      <c r="D91" s="426"/>
      <c r="E91" s="426"/>
      <c r="F91" s="86"/>
    </row>
    <row r="92" spans="1:6">
      <c r="A92" s="86"/>
      <c r="B92" s="86"/>
      <c r="C92" s="426"/>
      <c r="D92" s="426"/>
      <c r="E92" s="426"/>
      <c r="F92" s="86"/>
    </row>
    <row r="93" spans="1:6">
      <c r="A93" s="86"/>
      <c r="B93" s="86"/>
      <c r="C93" s="426"/>
      <c r="D93" s="426"/>
      <c r="E93" s="426"/>
      <c r="F93" s="86"/>
    </row>
    <row r="94" spans="1:6">
      <c r="A94" s="86"/>
      <c r="B94" s="86"/>
      <c r="C94" s="426"/>
      <c r="D94" s="426"/>
      <c r="E94" s="426"/>
      <c r="F94" s="86"/>
    </row>
    <row r="95" spans="1:6">
      <c r="A95" s="86"/>
      <c r="B95" s="86"/>
      <c r="C95" s="426"/>
      <c r="D95" s="426"/>
      <c r="E95" s="426"/>
      <c r="F95" s="86"/>
    </row>
    <row r="96" spans="1:6">
      <c r="A96" s="86"/>
      <c r="B96" s="86"/>
      <c r="C96" s="426"/>
      <c r="D96" s="426"/>
      <c r="E96" s="426"/>
      <c r="F96" s="86"/>
    </row>
    <row r="97" spans="1:6">
      <c r="A97" s="86"/>
      <c r="B97" s="86"/>
      <c r="C97" s="426"/>
      <c r="D97" s="426"/>
      <c r="E97" s="426"/>
      <c r="F97" s="86"/>
    </row>
    <row r="98" spans="1:6">
      <c r="A98" s="86"/>
      <c r="B98" s="86"/>
      <c r="C98" s="426"/>
      <c r="D98" s="426"/>
      <c r="E98" s="426"/>
      <c r="F98" s="86"/>
    </row>
    <row r="99" spans="1:6">
      <c r="A99" s="86"/>
      <c r="B99" s="86"/>
      <c r="C99" s="426"/>
      <c r="D99" s="426"/>
      <c r="E99" s="426"/>
      <c r="F99" s="86"/>
    </row>
    <row r="100" spans="1:6">
      <c r="A100" s="86"/>
      <c r="B100" s="86"/>
      <c r="C100" s="426"/>
      <c r="D100" s="426"/>
      <c r="E100" s="426"/>
      <c r="F100" s="86"/>
    </row>
    <row r="101" spans="1:6">
      <c r="A101" s="86"/>
      <c r="B101" s="86"/>
      <c r="C101" s="86"/>
      <c r="D101" s="86"/>
      <c r="E101" s="86"/>
      <c r="F101" s="86"/>
    </row>
    <row r="102" spans="1:6">
      <c r="A102" s="86"/>
      <c r="B102" s="86"/>
      <c r="C102" s="426"/>
      <c r="D102" s="426"/>
      <c r="E102" s="426"/>
      <c r="F102" s="86"/>
    </row>
    <row r="103" spans="1:6">
      <c r="A103" s="86"/>
      <c r="B103" s="86"/>
      <c r="C103" s="426"/>
      <c r="D103" s="426"/>
      <c r="E103" s="426"/>
      <c r="F103" s="86"/>
    </row>
    <row r="104" spans="1:6">
      <c r="A104" s="86"/>
      <c r="B104" s="86"/>
      <c r="C104" s="426"/>
      <c r="D104" s="426"/>
      <c r="E104" s="426"/>
      <c r="F104" s="86"/>
    </row>
    <row r="105" spans="1:6">
      <c r="A105" s="86"/>
      <c r="B105" s="86"/>
      <c r="C105" s="426"/>
      <c r="D105" s="426"/>
      <c r="E105" s="426"/>
      <c r="F105" s="86"/>
    </row>
    <row r="106" spans="1:6">
      <c r="A106" s="86"/>
      <c r="B106" s="86"/>
      <c r="C106" s="426"/>
      <c r="D106" s="426"/>
      <c r="E106" s="426"/>
      <c r="F106" s="86"/>
    </row>
    <row r="107" spans="1:6">
      <c r="A107" s="86"/>
      <c r="B107" s="86"/>
      <c r="C107" s="426"/>
      <c r="D107" s="426"/>
      <c r="E107" s="426"/>
      <c r="F107" s="86"/>
    </row>
    <row r="108" spans="1:6">
      <c r="A108" s="86"/>
      <c r="B108" s="86"/>
      <c r="C108" s="426"/>
      <c r="D108" s="426"/>
      <c r="E108" s="426"/>
      <c r="F108" s="86"/>
    </row>
    <row r="109" spans="1:6">
      <c r="A109" s="86"/>
      <c r="B109" s="86"/>
      <c r="C109" s="426"/>
      <c r="D109" s="426"/>
      <c r="E109" s="426"/>
      <c r="F109" s="86"/>
    </row>
    <row r="110" spans="1:6">
      <c r="A110" s="86"/>
      <c r="B110" s="86"/>
      <c r="C110" s="426"/>
      <c r="D110" s="426"/>
      <c r="E110" s="426"/>
      <c r="F110" s="86"/>
    </row>
    <row r="111" spans="1:6">
      <c r="A111" s="86"/>
      <c r="B111" s="86"/>
      <c r="C111" s="426"/>
      <c r="D111" s="426"/>
      <c r="E111" s="426"/>
      <c r="F111" s="86"/>
    </row>
    <row r="112" spans="1:6">
      <c r="A112" s="86"/>
      <c r="B112" s="86"/>
      <c r="C112" s="426"/>
      <c r="D112" s="426"/>
      <c r="E112" s="426"/>
      <c r="F112" s="86"/>
    </row>
    <row r="113" spans="1:6">
      <c r="A113" s="86"/>
      <c r="B113" s="86"/>
      <c r="C113" s="426"/>
      <c r="D113" s="426"/>
      <c r="E113" s="426"/>
      <c r="F113" s="86"/>
    </row>
    <row r="114" spans="1:6">
      <c r="A114" s="86"/>
      <c r="B114" s="86"/>
      <c r="C114" s="426"/>
      <c r="D114" s="426"/>
      <c r="E114" s="426"/>
      <c r="F114" s="86"/>
    </row>
    <row r="115" spans="1:6">
      <c r="A115" s="86"/>
      <c r="B115" s="86"/>
      <c r="C115" s="426"/>
      <c r="D115" s="426"/>
      <c r="E115" s="426"/>
      <c r="F115" s="86"/>
    </row>
    <row r="116" spans="1:6">
      <c r="A116" s="86"/>
      <c r="B116" s="86"/>
      <c r="C116" s="426"/>
      <c r="D116" s="426"/>
      <c r="E116" s="426"/>
      <c r="F116" s="86"/>
    </row>
    <row r="117" spans="1:6">
      <c r="A117" s="86"/>
      <c r="B117" s="86"/>
      <c r="C117" s="86"/>
      <c r="D117" s="426"/>
      <c r="E117" s="426"/>
      <c r="F117" s="86"/>
    </row>
    <row r="118" spans="1:6">
      <c r="A118" s="86"/>
      <c r="B118" s="86"/>
      <c r="C118" s="426"/>
      <c r="D118" s="426"/>
      <c r="E118" s="426"/>
      <c r="F118" s="426"/>
    </row>
    <row r="119" spans="1:6">
      <c r="A119" s="86"/>
      <c r="B119" s="86"/>
      <c r="C119" s="86"/>
      <c r="D119" s="426"/>
      <c r="E119" s="426"/>
      <c r="F119" s="86"/>
    </row>
    <row r="120" spans="1:6">
      <c r="A120" s="86"/>
      <c r="B120" s="86"/>
      <c r="C120" s="86"/>
      <c r="D120" s="86"/>
      <c r="E120" s="86"/>
      <c r="F120" s="86"/>
    </row>
    <row r="121" spans="1:6">
      <c r="A121" s="86"/>
      <c r="B121" s="86"/>
      <c r="C121" s="86"/>
      <c r="D121" s="86"/>
      <c r="E121" s="86"/>
      <c r="F121" s="86"/>
    </row>
    <row r="122" spans="1:6">
      <c r="A122" s="86"/>
      <c r="B122" s="86"/>
      <c r="C122" s="86"/>
      <c r="D122" s="86"/>
      <c r="E122" s="86"/>
      <c r="F122" s="86"/>
    </row>
    <row r="123" spans="1:6">
      <c r="A123" s="86"/>
      <c r="B123" s="86"/>
      <c r="C123" s="86"/>
      <c r="D123" s="86"/>
      <c r="E123" s="86"/>
      <c r="F123" s="86"/>
    </row>
    <row r="124" spans="1:6">
      <c r="A124" s="86"/>
      <c r="B124" s="86"/>
      <c r="C124" s="86"/>
      <c r="D124" s="86"/>
      <c r="E124" s="86"/>
      <c r="F124" s="86"/>
    </row>
    <row r="125" spans="1:6">
      <c r="A125" s="86"/>
      <c r="B125" s="86"/>
      <c r="C125" s="86"/>
      <c r="D125" s="86"/>
      <c r="E125" s="86"/>
      <c r="F125" s="86"/>
    </row>
    <row r="126" spans="1:6">
      <c r="A126" s="86"/>
      <c r="B126" s="86"/>
      <c r="C126" s="86"/>
      <c r="D126" s="86"/>
      <c r="E126" s="86"/>
      <c r="F126" s="86"/>
    </row>
    <row r="127" spans="1:6">
      <c r="A127" s="86"/>
      <c r="B127" s="86"/>
      <c r="C127" s="86"/>
      <c r="D127" s="86"/>
      <c r="E127" s="86"/>
      <c r="F127" s="86"/>
    </row>
    <row r="128" spans="1:6">
      <c r="A128" s="86"/>
      <c r="B128" s="86"/>
      <c r="C128" s="86"/>
      <c r="D128" s="86"/>
      <c r="E128" s="86"/>
      <c r="F128" s="86"/>
    </row>
    <row r="129" spans="1:6">
      <c r="A129" s="86"/>
      <c r="B129" s="86"/>
      <c r="C129" s="86"/>
      <c r="D129" s="86"/>
      <c r="E129" s="86"/>
      <c r="F129" s="86"/>
    </row>
    <row r="130" spans="1:6">
      <c r="A130" s="86"/>
      <c r="B130" s="86"/>
      <c r="C130" s="86"/>
      <c r="D130" s="86"/>
      <c r="E130" s="86"/>
      <c r="F130" s="86"/>
    </row>
    <row r="131" spans="1:6">
      <c r="A131" s="86"/>
      <c r="B131" s="86"/>
      <c r="C131" s="86"/>
      <c r="D131" s="86"/>
      <c r="E131" s="86"/>
      <c r="F131" s="86"/>
    </row>
    <row r="132" spans="1:6">
      <c r="A132" s="86"/>
      <c r="B132" s="86"/>
      <c r="C132" s="86"/>
      <c r="D132" s="86"/>
      <c r="E132" s="86"/>
      <c r="F132" s="86"/>
    </row>
    <row r="133" spans="1:6">
      <c r="A133" s="86"/>
      <c r="B133" s="86"/>
      <c r="C133" s="86"/>
      <c r="D133" s="86"/>
      <c r="E133" s="86"/>
      <c r="F133" s="86"/>
    </row>
    <row r="134" spans="1:6">
      <c r="A134" s="86"/>
      <c r="B134" s="86"/>
      <c r="C134" s="86"/>
      <c r="D134" s="86"/>
      <c r="E134" s="86"/>
      <c r="F134" s="86"/>
    </row>
    <row r="135" spans="1:6">
      <c r="A135" s="86"/>
      <c r="B135" s="86"/>
      <c r="C135" s="86"/>
      <c r="D135" s="86"/>
      <c r="E135" s="86"/>
      <c r="F135" s="86"/>
    </row>
    <row r="136" spans="1:6">
      <c r="A136" s="86"/>
      <c r="B136" s="86"/>
      <c r="C136" s="86"/>
      <c r="D136" s="86"/>
      <c r="E136" s="86"/>
      <c r="F136" s="86"/>
    </row>
    <row r="137" spans="1:6">
      <c r="A137" s="86"/>
      <c r="B137" s="86"/>
      <c r="C137" s="86"/>
      <c r="D137" s="86"/>
      <c r="E137" s="86"/>
      <c r="F137" s="86"/>
    </row>
    <row r="138" spans="1:6">
      <c r="A138" s="86"/>
      <c r="B138" s="86"/>
      <c r="C138" s="86"/>
      <c r="D138" s="86"/>
      <c r="E138" s="86"/>
      <c r="F138" s="86"/>
    </row>
    <row r="139" spans="1:6">
      <c r="A139" s="86"/>
      <c r="B139" s="86"/>
      <c r="C139" s="86"/>
      <c r="D139" s="86"/>
      <c r="E139" s="86"/>
      <c r="F139" s="86"/>
    </row>
    <row r="140" spans="1:6">
      <c r="A140" s="86"/>
      <c r="B140" s="86"/>
      <c r="C140" s="86"/>
      <c r="D140" s="86"/>
      <c r="E140" s="86"/>
      <c r="F140" s="86"/>
    </row>
    <row r="141" spans="1:6">
      <c r="A141" s="86"/>
      <c r="B141" s="86"/>
      <c r="C141" s="86"/>
      <c r="D141" s="86"/>
      <c r="E141" s="86"/>
      <c r="F141" s="86"/>
    </row>
    <row r="142" spans="1:6">
      <c r="A142" s="86"/>
      <c r="B142" s="86"/>
      <c r="C142" s="86"/>
      <c r="D142" s="86"/>
      <c r="E142" s="86"/>
      <c r="F142" s="86"/>
    </row>
    <row r="143" spans="1:6">
      <c r="A143" s="86"/>
      <c r="B143" s="86"/>
      <c r="C143" s="86"/>
      <c r="D143" s="86"/>
      <c r="E143" s="86"/>
      <c r="F143" s="86"/>
    </row>
    <row r="144" spans="1:6">
      <c r="A144" s="86"/>
      <c r="B144" s="86"/>
      <c r="C144" s="86"/>
      <c r="D144" s="86"/>
      <c r="E144" s="86"/>
      <c r="F144" s="86"/>
    </row>
    <row r="145" spans="1:6">
      <c r="A145" s="86"/>
      <c r="B145" s="86"/>
      <c r="C145" s="86"/>
      <c r="D145" s="86"/>
      <c r="E145" s="86"/>
      <c r="F145" s="86"/>
    </row>
    <row r="146" spans="1:6">
      <c r="A146" s="86"/>
      <c r="B146" s="86"/>
      <c r="C146" s="86"/>
      <c r="D146" s="86"/>
      <c r="E146" s="86"/>
      <c r="F146" s="86"/>
    </row>
    <row r="147" spans="1:6">
      <c r="A147" s="86"/>
      <c r="B147" s="86"/>
      <c r="C147" s="86"/>
      <c r="D147" s="86"/>
      <c r="E147" s="86"/>
      <c r="F147" s="86"/>
    </row>
    <row r="148" spans="1:6">
      <c r="A148" s="86"/>
      <c r="B148" s="86"/>
      <c r="C148" s="86"/>
      <c r="D148" s="86"/>
      <c r="E148" s="86"/>
      <c r="F148" s="86"/>
    </row>
    <row r="149" spans="1:6">
      <c r="A149" s="86"/>
      <c r="B149" s="86"/>
      <c r="C149" s="86"/>
      <c r="D149" s="86"/>
      <c r="E149" s="86"/>
      <c r="F149" s="86"/>
    </row>
    <row r="150" spans="1:6">
      <c r="A150" s="86"/>
      <c r="B150" s="86"/>
      <c r="C150" s="86"/>
      <c r="D150" s="86"/>
      <c r="E150" s="86"/>
      <c r="F150" s="86"/>
    </row>
    <row r="151" spans="1:6">
      <c r="A151" s="86"/>
      <c r="B151" s="86"/>
      <c r="C151" s="86"/>
      <c r="D151" s="86"/>
      <c r="E151" s="86"/>
      <c r="F151" s="86"/>
    </row>
    <row r="152" spans="1:6">
      <c r="A152" s="86"/>
      <c r="B152" s="86"/>
      <c r="C152" s="86"/>
      <c r="D152" s="86"/>
      <c r="E152" s="86"/>
      <c r="F152" s="86"/>
    </row>
    <row r="153" spans="1:6">
      <c r="A153" s="86"/>
      <c r="B153" s="86"/>
      <c r="C153" s="86"/>
      <c r="D153" s="86"/>
      <c r="E153" s="86"/>
      <c r="F153" s="86"/>
    </row>
    <row r="154" spans="1:6">
      <c r="A154" s="86"/>
      <c r="B154" s="86"/>
      <c r="C154" s="86"/>
      <c r="D154" s="86"/>
      <c r="E154" s="86"/>
      <c r="F154" s="86"/>
    </row>
    <row r="155" spans="1:6">
      <c r="A155" s="86"/>
      <c r="B155" s="86"/>
      <c r="C155" s="86"/>
      <c r="D155" s="86"/>
      <c r="E155" s="86"/>
      <c r="F155" s="86"/>
    </row>
    <row r="156" spans="1:6">
      <c r="A156" s="86"/>
      <c r="B156" s="86"/>
      <c r="C156" s="86"/>
      <c r="D156" s="86"/>
      <c r="E156" s="86"/>
      <c r="F156" s="86"/>
    </row>
    <row r="157" spans="1:6">
      <c r="A157" s="86"/>
      <c r="B157" s="86"/>
      <c r="C157" s="86"/>
      <c r="D157" s="86"/>
      <c r="E157" s="86"/>
      <c r="F157" s="86"/>
    </row>
    <row r="158" spans="1:6">
      <c r="A158" s="86"/>
      <c r="B158" s="86"/>
      <c r="C158" s="86"/>
      <c r="D158" s="86"/>
      <c r="E158" s="86"/>
      <c r="F158" s="86"/>
    </row>
    <row r="159" spans="1:6">
      <c r="A159" s="86"/>
      <c r="B159" s="86"/>
      <c r="C159" s="86"/>
      <c r="D159" s="86"/>
      <c r="E159" s="86"/>
      <c r="F159" s="86"/>
    </row>
    <row r="160" spans="1:6">
      <c r="A160" s="86"/>
      <c r="B160" s="86"/>
      <c r="C160" s="86"/>
      <c r="D160" s="86"/>
      <c r="E160" s="86"/>
      <c r="F160" s="86"/>
    </row>
    <row r="161" spans="1:6">
      <c r="A161" s="86"/>
      <c r="B161" s="86"/>
      <c r="C161" s="86"/>
      <c r="D161" s="86"/>
      <c r="E161" s="86"/>
      <c r="F161" s="86"/>
    </row>
    <row r="162" spans="1:6">
      <c r="A162" s="86"/>
      <c r="B162" s="86"/>
      <c r="C162" s="86"/>
      <c r="D162" s="86"/>
      <c r="E162" s="86"/>
      <c r="F162" s="86"/>
    </row>
    <row r="163" spans="1:6">
      <c r="A163" s="86"/>
      <c r="B163" s="86"/>
      <c r="C163" s="86"/>
      <c r="D163" s="86"/>
      <c r="E163" s="86"/>
      <c r="F163" s="86"/>
    </row>
    <row r="164" spans="1:6">
      <c r="A164" s="86"/>
      <c r="B164" s="86"/>
      <c r="C164" s="86"/>
      <c r="D164" s="86"/>
      <c r="E164" s="86"/>
      <c r="F164" s="86"/>
    </row>
    <row r="165" spans="1:6">
      <c r="A165" s="86"/>
      <c r="B165" s="86"/>
      <c r="C165" s="86"/>
      <c r="D165" s="86"/>
      <c r="E165" s="86"/>
      <c r="F165" s="86"/>
    </row>
    <row r="166" spans="1:6">
      <c r="A166" s="86"/>
      <c r="B166" s="86"/>
      <c r="C166" s="86"/>
      <c r="D166" s="86"/>
      <c r="E166" s="86"/>
      <c r="F166" s="86"/>
    </row>
    <row r="167" spans="1:6">
      <c r="A167" s="86"/>
      <c r="B167" s="86"/>
      <c r="C167" s="86"/>
      <c r="D167" s="86"/>
      <c r="E167" s="86"/>
      <c r="F167" s="86"/>
    </row>
    <row r="168" spans="1:6">
      <c r="A168" s="86"/>
      <c r="B168" s="86"/>
      <c r="C168" s="86"/>
      <c r="D168" s="86"/>
      <c r="E168" s="86"/>
      <c r="F168" s="86"/>
    </row>
    <row r="169" spans="1:6">
      <c r="A169" s="86"/>
      <c r="B169" s="86"/>
      <c r="C169" s="86"/>
      <c r="D169" s="86"/>
      <c r="E169" s="86"/>
      <c r="F169" s="86"/>
    </row>
    <row r="170" spans="1:6">
      <c r="A170" s="86"/>
      <c r="B170" s="86"/>
      <c r="C170" s="86"/>
      <c r="D170" s="86"/>
      <c r="E170" s="86"/>
      <c r="F170" s="86"/>
    </row>
    <row r="171" spans="1:6">
      <c r="A171" s="86"/>
      <c r="B171" s="86"/>
      <c r="C171" s="86"/>
      <c r="D171" s="86"/>
      <c r="E171" s="86"/>
      <c r="F171" s="86"/>
    </row>
    <row r="172" spans="1:6">
      <c r="A172" s="86"/>
      <c r="B172" s="86"/>
      <c r="C172" s="86"/>
      <c r="D172" s="86"/>
      <c r="E172" s="86"/>
      <c r="F172" s="86"/>
    </row>
    <row r="173" spans="1:6">
      <c r="A173" s="86"/>
      <c r="B173" s="86"/>
      <c r="C173" s="86"/>
      <c r="D173" s="86"/>
      <c r="E173" s="86"/>
      <c r="F173" s="86"/>
    </row>
    <row r="174" spans="1:6">
      <c r="A174" s="86"/>
      <c r="B174" s="86"/>
      <c r="C174" s="86"/>
      <c r="D174" s="86"/>
      <c r="E174" s="86"/>
      <c r="F174" s="86"/>
    </row>
    <row r="175" spans="1:6">
      <c r="A175" s="86"/>
      <c r="B175" s="86"/>
      <c r="C175" s="86"/>
      <c r="D175" s="86"/>
      <c r="E175" s="86"/>
      <c r="F175" s="86"/>
    </row>
    <row r="176" spans="1:6">
      <c r="A176" s="86"/>
      <c r="B176" s="86"/>
      <c r="C176" s="86"/>
      <c r="D176" s="86"/>
      <c r="E176" s="86"/>
      <c r="F176" s="86"/>
    </row>
    <row r="177" spans="1:6">
      <c r="A177" s="86"/>
      <c r="B177" s="86"/>
      <c r="C177" s="86"/>
      <c r="D177" s="86"/>
      <c r="E177" s="86"/>
      <c r="F177" s="86"/>
    </row>
    <row r="178" spans="1:6">
      <c r="A178" s="86"/>
      <c r="B178" s="86"/>
      <c r="C178" s="86"/>
      <c r="D178" s="86"/>
      <c r="E178" s="86"/>
      <c r="F178" s="86"/>
    </row>
    <row r="179" spans="1:6">
      <c r="A179" s="86"/>
      <c r="B179" s="86"/>
      <c r="C179" s="86"/>
      <c r="D179" s="86"/>
      <c r="E179" s="86"/>
      <c r="F179" s="86"/>
    </row>
    <row r="180" spans="1:6">
      <c r="A180" s="86"/>
      <c r="B180" s="86"/>
      <c r="C180" s="86"/>
      <c r="D180" s="86"/>
      <c r="E180" s="86"/>
      <c r="F180" s="86"/>
    </row>
    <row r="181" spans="1:6">
      <c r="A181" s="86"/>
      <c r="B181" s="86"/>
      <c r="C181" s="86"/>
      <c r="D181" s="86"/>
      <c r="E181" s="86"/>
      <c r="F181" s="86"/>
    </row>
    <row r="182" spans="1:6">
      <c r="A182" s="86"/>
      <c r="B182" s="86"/>
      <c r="C182" s="86"/>
      <c r="D182" s="86"/>
      <c r="E182" s="86"/>
      <c r="F182" s="86"/>
    </row>
    <row r="183" spans="1:6">
      <c r="A183" s="86"/>
      <c r="B183" s="86"/>
      <c r="C183" s="86"/>
      <c r="D183" s="86"/>
      <c r="E183" s="86"/>
      <c r="F183" s="86"/>
    </row>
    <row r="184" spans="1:6">
      <c r="A184" s="86"/>
      <c r="B184" s="86"/>
      <c r="C184" s="86"/>
      <c r="D184" s="86"/>
      <c r="E184" s="86"/>
      <c r="F184" s="86"/>
    </row>
    <row r="185" spans="1:6">
      <c r="A185" s="86"/>
      <c r="B185" s="86"/>
      <c r="C185" s="86"/>
      <c r="D185" s="86"/>
      <c r="E185" s="86"/>
      <c r="F185" s="86"/>
    </row>
    <row r="186" spans="1:6">
      <c r="A186" s="86"/>
      <c r="B186" s="86"/>
      <c r="C186" s="86"/>
      <c r="D186" s="86"/>
      <c r="E186" s="86"/>
      <c r="F186" s="86"/>
    </row>
    <row r="187" spans="1:6">
      <c r="A187" s="86"/>
      <c r="B187" s="86"/>
      <c r="C187" s="86"/>
      <c r="D187" s="86"/>
      <c r="E187" s="86"/>
      <c r="F187" s="86"/>
    </row>
    <row r="188" spans="1:6">
      <c r="A188" s="86"/>
      <c r="B188" s="86"/>
      <c r="C188" s="86"/>
      <c r="D188" s="86"/>
      <c r="E188" s="86"/>
      <c r="F188" s="86"/>
    </row>
    <row r="189" spans="1:6">
      <c r="A189" s="86"/>
      <c r="B189" s="86"/>
      <c r="C189" s="86"/>
      <c r="D189" s="86"/>
      <c r="E189" s="86"/>
      <c r="F189" s="86"/>
    </row>
    <row r="190" spans="1:6">
      <c r="A190" s="86"/>
      <c r="B190" s="86"/>
      <c r="C190" s="86"/>
      <c r="D190" s="86"/>
      <c r="E190" s="86"/>
      <c r="F190" s="86"/>
    </row>
    <row r="191" spans="1:6">
      <c r="A191" s="86"/>
      <c r="B191" s="86"/>
      <c r="C191" s="86"/>
      <c r="D191" s="86"/>
      <c r="E191" s="86"/>
      <c r="F191" s="86"/>
    </row>
    <row r="192" spans="1:6">
      <c r="A192" s="86"/>
      <c r="B192" s="86"/>
      <c r="C192" s="86"/>
      <c r="D192" s="86"/>
      <c r="E192" s="86"/>
      <c r="F192" s="86"/>
    </row>
    <row r="193" spans="1:6">
      <c r="A193" s="86"/>
      <c r="B193" s="86"/>
      <c r="C193" s="86"/>
      <c r="D193" s="86"/>
      <c r="E193" s="86"/>
      <c r="F193" s="86"/>
    </row>
    <row r="194" spans="1:6">
      <c r="A194" s="86"/>
      <c r="B194" s="86"/>
      <c r="C194" s="86"/>
      <c r="D194" s="86"/>
      <c r="E194" s="86"/>
      <c r="F194" s="86"/>
    </row>
    <row r="195" spans="1:6">
      <c r="A195" s="86"/>
      <c r="B195" s="86"/>
      <c r="C195" s="86"/>
      <c r="D195" s="86"/>
      <c r="E195" s="86"/>
      <c r="F195" s="86"/>
    </row>
    <row r="196" spans="1:6">
      <c r="A196" s="86"/>
      <c r="B196" s="86"/>
      <c r="C196" s="86"/>
      <c r="D196" s="86"/>
      <c r="E196" s="86"/>
      <c r="F196" s="86"/>
    </row>
    <row r="197" spans="1:6">
      <c r="A197" s="86"/>
      <c r="B197" s="86"/>
      <c r="C197" s="86"/>
      <c r="D197" s="86"/>
      <c r="E197" s="86"/>
      <c r="F197" s="86"/>
    </row>
    <row r="198" spans="1:6">
      <c r="A198" s="86"/>
      <c r="B198" s="86"/>
      <c r="C198" s="86"/>
      <c r="D198" s="86"/>
      <c r="E198" s="86"/>
      <c r="F198" s="86"/>
    </row>
    <row r="199" spans="1:6">
      <c r="A199" s="86"/>
      <c r="B199" s="86"/>
      <c r="C199" s="86"/>
      <c r="D199" s="86"/>
      <c r="E199" s="86"/>
      <c r="F199" s="86"/>
    </row>
    <row r="200" spans="1:6">
      <c r="A200" s="86"/>
      <c r="B200" s="86"/>
      <c r="C200" s="86"/>
      <c r="D200" s="86"/>
      <c r="E200" s="86"/>
      <c r="F200" s="86"/>
    </row>
    <row r="201" spans="1:6">
      <c r="A201" s="86"/>
      <c r="B201" s="86"/>
      <c r="C201" s="86"/>
      <c r="D201" s="86"/>
      <c r="E201" s="86"/>
      <c r="F201" s="86"/>
    </row>
    <row r="202" spans="1:6">
      <c r="A202" s="86"/>
      <c r="B202" s="86"/>
      <c r="C202" s="86"/>
      <c r="D202" s="86"/>
      <c r="E202" s="86"/>
      <c r="F202" s="86"/>
    </row>
    <row r="203" spans="1:6">
      <c r="A203" s="86"/>
      <c r="B203" s="86"/>
      <c r="C203" s="86"/>
      <c r="D203" s="86"/>
      <c r="E203" s="86"/>
      <c r="F203" s="86"/>
    </row>
    <row r="204" spans="1:6">
      <c r="A204" s="86"/>
      <c r="B204" s="86"/>
      <c r="C204" s="86"/>
      <c r="D204" s="86"/>
      <c r="E204" s="86"/>
      <c r="F204" s="86"/>
    </row>
    <row r="205" spans="1:6">
      <c r="A205" s="86"/>
      <c r="B205" s="86"/>
      <c r="C205" s="86"/>
      <c r="D205" s="86"/>
      <c r="E205" s="86"/>
      <c r="F205" s="86"/>
    </row>
    <row r="206" spans="1:6">
      <c r="A206" s="86"/>
      <c r="B206" s="86"/>
      <c r="C206" s="86"/>
      <c r="D206" s="86"/>
      <c r="E206" s="86"/>
      <c r="F206" s="86"/>
    </row>
    <row r="207" spans="1:6">
      <c r="A207" s="86"/>
      <c r="B207" s="86"/>
      <c r="C207" s="86"/>
      <c r="D207" s="86"/>
      <c r="E207" s="86"/>
      <c r="F207" s="86"/>
    </row>
    <row r="208" spans="1:6">
      <c r="A208" s="86"/>
      <c r="B208" s="86"/>
      <c r="C208" s="86"/>
      <c r="D208" s="86"/>
      <c r="E208" s="86"/>
      <c r="F208" s="86"/>
    </row>
    <row r="209" spans="1:6">
      <c r="A209" s="86"/>
      <c r="B209" s="86"/>
      <c r="C209" s="86"/>
      <c r="D209" s="86"/>
      <c r="E209" s="86"/>
      <c r="F209" s="86"/>
    </row>
    <row r="210" spans="1:6">
      <c r="A210" s="86"/>
      <c r="B210" s="86"/>
      <c r="C210" s="86"/>
      <c r="D210" s="86"/>
      <c r="E210" s="86"/>
      <c r="F210" s="86"/>
    </row>
    <row r="211" spans="1:6">
      <c r="A211" s="86"/>
      <c r="B211" s="86"/>
      <c r="C211" s="86"/>
      <c r="D211" s="86"/>
      <c r="E211" s="86"/>
      <c r="F211" s="86"/>
    </row>
    <row r="212" spans="1:6">
      <c r="A212" s="86"/>
      <c r="B212" s="86"/>
      <c r="C212" s="86"/>
      <c r="D212" s="86"/>
      <c r="E212" s="86"/>
      <c r="F212" s="86"/>
    </row>
    <row r="213" spans="1:6">
      <c r="A213" s="86"/>
      <c r="B213" s="86"/>
      <c r="C213" s="86"/>
      <c r="D213" s="86"/>
      <c r="E213" s="86"/>
      <c r="F213" s="86"/>
    </row>
    <row r="214" spans="1:6">
      <c r="A214" s="86"/>
      <c r="B214" s="86"/>
      <c r="C214" s="86"/>
      <c r="D214" s="86"/>
      <c r="E214" s="86"/>
      <c r="F214" s="86"/>
    </row>
    <row r="215" spans="1:6">
      <c r="A215" s="86"/>
      <c r="B215" s="86"/>
      <c r="C215" s="86"/>
      <c r="D215" s="86"/>
      <c r="E215" s="86"/>
      <c r="F215" s="86"/>
    </row>
    <row r="216" spans="1:6">
      <c r="A216" s="86"/>
      <c r="B216" s="86"/>
      <c r="C216" s="86"/>
      <c r="D216" s="86"/>
      <c r="E216" s="86"/>
      <c r="F216" s="86"/>
    </row>
    <row r="217" spans="1:6">
      <c r="A217" s="86"/>
      <c r="B217" s="86"/>
      <c r="C217" s="86"/>
      <c r="D217" s="86"/>
      <c r="E217" s="86"/>
      <c r="F217" s="86"/>
    </row>
    <row r="218" spans="1:6">
      <c r="A218" s="86"/>
      <c r="B218" s="86"/>
      <c r="C218" s="86"/>
      <c r="D218" s="86"/>
      <c r="E218" s="86"/>
      <c r="F218" s="86"/>
    </row>
    <row r="219" spans="1:6">
      <c r="A219" s="86"/>
      <c r="B219" s="86"/>
      <c r="C219" s="86"/>
      <c r="D219" s="86"/>
      <c r="E219" s="86"/>
      <c r="F219" s="86"/>
    </row>
    <row r="220" spans="1:6">
      <c r="A220" s="86"/>
      <c r="B220" s="86"/>
      <c r="C220" s="86"/>
      <c r="D220" s="86"/>
      <c r="E220" s="86"/>
      <c r="F220" s="86"/>
    </row>
    <row r="221" spans="1:6">
      <c r="A221" s="86"/>
      <c r="B221" s="86"/>
      <c r="C221" s="86"/>
      <c r="D221" s="86"/>
      <c r="E221" s="86"/>
      <c r="F221" s="86"/>
    </row>
    <row r="222" spans="1:6">
      <c r="A222" s="86"/>
      <c r="B222" s="86"/>
      <c r="C222" s="86"/>
      <c r="D222" s="86"/>
      <c r="E222" s="86"/>
      <c r="F222" s="86"/>
    </row>
    <row r="223" spans="1:6">
      <c r="A223" s="86"/>
      <c r="B223" s="86"/>
      <c r="C223" s="86"/>
      <c r="D223" s="86"/>
      <c r="E223" s="86"/>
      <c r="F223" s="86"/>
    </row>
    <row r="224" spans="1:6">
      <c r="A224" s="86"/>
      <c r="B224" s="86"/>
      <c r="C224" s="86"/>
      <c r="D224" s="86"/>
      <c r="E224" s="86"/>
      <c r="F224" s="86"/>
    </row>
    <row r="225" spans="1:6">
      <c r="A225" s="86"/>
      <c r="B225" s="86"/>
      <c r="C225" s="86"/>
      <c r="D225" s="86"/>
      <c r="E225" s="86"/>
      <c r="F225" s="86"/>
    </row>
    <row r="226" spans="1:6">
      <c r="A226" s="86"/>
      <c r="B226" s="86"/>
      <c r="C226" s="86"/>
      <c r="D226" s="86"/>
      <c r="E226" s="86"/>
      <c r="F226" s="86"/>
    </row>
    <row r="227" spans="1:6">
      <c r="A227" s="86"/>
      <c r="B227" s="86"/>
      <c r="C227" s="86"/>
      <c r="D227" s="86"/>
      <c r="E227" s="86"/>
      <c r="F227" s="86"/>
    </row>
    <row r="228" spans="1:6">
      <c r="A228" s="86"/>
      <c r="B228" s="86"/>
      <c r="C228" s="86"/>
      <c r="D228" s="86"/>
      <c r="E228" s="86"/>
      <c r="F228" s="86"/>
    </row>
    <row r="229" spans="1:6">
      <c r="A229" s="86"/>
      <c r="B229" s="86"/>
      <c r="C229" s="86"/>
      <c r="D229" s="86"/>
      <c r="E229" s="86"/>
      <c r="F229" s="86"/>
    </row>
    <row r="230" spans="1:6">
      <c r="A230" s="86"/>
      <c r="B230" s="86"/>
      <c r="C230" s="86"/>
      <c r="D230" s="86"/>
      <c r="E230" s="86"/>
      <c r="F230" s="86"/>
    </row>
    <row r="231" spans="1:6">
      <c r="A231" s="86"/>
      <c r="B231" s="86"/>
      <c r="C231" s="86"/>
      <c r="D231" s="86"/>
      <c r="E231" s="86"/>
      <c r="F231" s="86"/>
    </row>
    <row r="232" spans="1:6">
      <c r="A232" s="86"/>
      <c r="B232" s="86"/>
      <c r="C232" s="86"/>
      <c r="D232" s="86"/>
      <c r="E232" s="86"/>
      <c r="F232" s="86"/>
    </row>
    <row r="233" spans="1:6">
      <c r="A233" s="86"/>
      <c r="B233" s="86"/>
      <c r="C233" s="86"/>
      <c r="D233" s="86"/>
      <c r="E233" s="86"/>
      <c r="F233" s="86"/>
    </row>
    <row r="234" spans="1:6">
      <c r="A234" s="86"/>
      <c r="B234" s="86"/>
      <c r="C234" s="86"/>
      <c r="D234" s="86"/>
      <c r="E234" s="86"/>
      <c r="F234" s="86"/>
    </row>
    <row r="235" spans="1:6">
      <c r="A235" s="86"/>
      <c r="B235" s="86"/>
      <c r="C235" s="86"/>
      <c r="D235" s="86"/>
      <c r="E235" s="86"/>
      <c r="F235" s="86"/>
    </row>
    <row r="236" spans="1:6">
      <c r="A236" s="86"/>
      <c r="B236" s="86"/>
      <c r="C236" s="86"/>
      <c r="D236" s="86"/>
      <c r="E236" s="86"/>
      <c r="F236" s="86"/>
    </row>
    <row r="237" spans="1:6">
      <c r="A237" s="86"/>
      <c r="B237" s="86"/>
      <c r="C237" s="86"/>
      <c r="D237" s="86"/>
      <c r="E237" s="86"/>
      <c r="F237" s="86"/>
    </row>
    <row r="238" spans="1:6">
      <c r="A238" s="86"/>
      <c r="B238" s="86"/>
      <c r="C238" s="86"/>
      <c r="D238" s="86"/>
      <c r="E238" s="86"/>
      <c r="F238" s="86"/>
    </row>
    <row r="239" spans="1:6">
      <c r="A239" s="86"/>
      <c r="B239" s="86"/>
      <c r="C239" s="86"/>
      <c r="D239" s="86"/>
      <c r="E239" s="86"/>
      <c r="F239" s="86"/>
    </row>
    <row r="240" spans="1:6">
      <c r="A240" s="86"/>
      <c r="B240" s="86"/>
      <c r="C240" s="86"/>
      <c r="D240" s="86"/>
      <c r="E240" s="86"/>
      <c r="F240" s="86"/>
    </row>
    <row r="241" spans="1:6">
      <c r="A241" s="86"/>
      <c r="B241" s="86"/>
      <c r="C241" s="86"/>
      <c r="D241" s="86"/>
      <c r="E241" s="86"/>
      <c r="F241" s="86"/>
    </row>
    <row r="242" spans="1:6">
      <c r="A242" s="86"/>
      <c r="B242" s="86"/>
      <c r="C242" s="86"/>
      <c r="D242" s="86"/>
      <c r="E242" s="86"/>
      <c r="F242" s="86"/>
    </row>
    <row r="243" spans="1:6">
      <c r="A243" s="86"/>
      <c r="B243" s="86"/>
      <c r="C243" s="86"/>
      <c r="D243" s="86"/>
      <c r="E243" s="86"/>
      <c r="F243" s="86"/>
    </row>
    <row r="244" spans="1:6">
      <c r="A244" s="86"/>
      <c r="B244" s="86"/>
      <c r="C244" s="86"/>
      <c r="D244" s="86"/>
      <c r="E244" s="86"/>
      <c r="F244" s="86"/>
    </row>
    <row r="245" spans="1:6">
      <c r="A245" s="86"/>
      <c r="B245" s="86"/>
      <c r="C245" s="86"/>
      <c r="D245" s="86"/>
      <c r="E245" s="86"/>
      <c r="F245" s="86"/>
    </row>
    <row r="246" spans="1:6">
      <c r="A246" s="86"/>
      <c r="B246" s="86"/>
      <c r="C246" s="86"/>
      <c r="D246" s="86"/>
      <c r="E246" s="86"/>
      <c r="F246" s="86"/>
    </row>
    <row r="247" spans="1:6">
      <c r="A247" s="86"/>
      <c r="B247" s="86"/>
      <c r="C247" s="86"/>
      <c r="D247" s="86"/>
      <c r="E247" s="86"/>
      <c r="F247" s="86"/>
    </row>
    <row r="248" spans="1:6">
      <c r="A248" s="86"/>
      <c r="B248" s="86"/>
      <c r="C248" s="86"/>
      <c r="D248" s="86"/>
      <c r="E248" s="86"/>
      <c r="F248" s="86"/>
    </row>
    <row r="249" spans="1:6">
      <c r="A249" s="86"/>
      <c r="B249" s="86"/>
      <c r="C249" s="86"/>
      <c r="D249" s="86"/>
      <c r="E249" s="86"/>
      <c r="F249" s="86"/>
    </row>
    <row r="250" spans="1:6">
      <c r="A250" s="86"/>
      <c r="B250" s="86"/>
      <c r="C250" s="86"/>
      <c r="D250" s="86"/>
      <c r="E250" s="86"/>
      <c r="F250" s="86"/>
    </row>
    <row r="251" spans="1:6">
      <c r="A251" s="86"/>
      <c r="B251" s="86"/>
      <c r="C251" s="86"/>
      <c r="D251" s="86"/>
      <c r="E251" s="86"/>
      <c r="F251" s="86"/>
    </row>
    <row r="252" spans="1:6">
      <c r="A252" s="86"/>
      <c r="B252" s="86"/>
      <c r="C252" s="86"/>
      <c r="D252" s="86"/>
      <c r="E252" s="86"/>
      <c r="F252" s="86"/>
    </row>
    <row r="253" spans="1:6">
      <c r="A253" s="86"/>
      <c r="B253" s="86"/>
      <c r="C253" s="86"/>
      <c r="D253" s="86"/>
      <c r="E253" s="86"/>
      <c r="F253" s="86"/>
    </row>
    <row r="254" spans="1:6">
      <c r="A254" s="86"/>
      <c r="B254" s="86"/>
      <c r="C254" s="86"/>
      <c r="D254" s="86"/>
      <c r="E254" s="86"/>
      <c r="F254" s="86"/>
    </row>
    <row r="255" spans="1:6">
      <c r="A255" s="86"/>
      <c r="B255" s="86"/>
      <c r="C255" s="86"/>
      <c r="D255" s="86"/>
      <c r="E255" s="86"/>
      <c r="F255" s="86"/>
    </row>
    <row r="256" spans="1:6">
      <c r="A256" s="86"/>
      <c r="B256" s="86"/>
      <c r="C256" s="86"/>
      <c r="D256" s="86"/>
      <c r="E256" s="86"/>
      <c r="F256" s="86"/>
    </row>
    <row r="257" spans="1:6">
      <c r="A257" s="86"/>
      <c r="B257" s="86"/>
      <c r="C257" s="86"/>
      <c r="D257" s="86"/>
      <c r="E257" s="86"/>
      <c r="F257" s="86"/>
    </row>
    <row r="258" spans="1:6">
      <c r="A258" s="86"/>
      <c r="B258" s="86"/>
      <c r="C258" s="86"/>
      <c r="D258" s="86"/>
      <c r="E258" s="86"/>
      <c r="F258" s="86"/>
    </row>
    <row r="259" spans="1:6">
      <c r="A259" s="86"/>
      <c r="B259" s="86"/>
      <c r="C259" s="86"/>
      <c r="D259" s="86"/>
      <c r="E259" s="86"/>
      <c r="F259" s="86"/>
    </row>
    <row r="260" spans="1:6">
      <c r="A260" s="86"/>
      <c r="B260" s="86"/>
      <c r="C260" s="86"/>
      <c r="D260" s="86"/>
      <c r="E260" s="86"/>
      <c r="F260" s="86"/>
    </row>
    <row r="261" spans="1:6">
      <c r="A261" s="86"/>
      <c r="B261" s="86"/>
      <c r="C261" s="86"/>
      <c r="D261" s="86"/>
      <c r="E261" s="86"/>
      <c r="F261" s="86"/>
    </row>
    <row r="262" spans="1:6">
      <c r="A262" s="86"/>
      <c r="B262" s="86"/>
      <c r="C262" s="86"/>
      <c r="D262" s="86"/>
      <c r="E262" s="86"/>
      <c r="F262" s="86"/>
    </row>
    <row r="263" spans="1:6">
      <c r="A263" s="86"/>
      <c r="B263" s="86"/>
      <c r="C263" s="86"/>
      <c r="D263" s="86"/>
      <c r="E263" s="86"/>
      <c r="F263" s="86"/>
    </row>
    <row r="264" spans="1:6">
      <c r="A264" s="86"/>
      <c r="B264" s="86"/>
      <c r="C264" s="86"/>
      <c r="D264" s="86"/>
      <c r="E264" s="86"/>
      <c r="F264" s="86"/>
    </row>
    <row r="265" spans="1:6">
      <c r="A265" s="86"/>
      <c r="B265" s="86"/>
      <c r="C265" s="86"/>
      <c r="D265" s="86"/>
      <c r="E265" s="86"/>
      <c r="F265" s="86"/>
    </row>
    <row r="266" spans="1:6">
      <c r="A266" s="86"/>
      <c r="B266" s="86"/>
      <c r="C266" s="86"/>
      <c r="D266" s="86"/>
      <c r="E266" s="86"/>
      <c r="F266" s="86"/>
    </row>
    <row r="267" spans="1:6">
      <c r="A267" s="86"/>
      <c r="B267" s="86"/>
      <c r="C267" s="86"/>
      <c r="D267" s="86"/>
      <c r="E267" s="86"/>
      <c r="F267" s="86"/>
    </row>
    <row r="268" spans="1:6">
      <c r="A268" s="86"/>
      <c r="B268" s="86"/>
      <c r="C268" s="86"/>
      <c r="D268" s="86"/>
      <c r="E268" s="86"/>
      <c r="F268" s="86"/>
    </row>
    <row r="269" spans="1:6">
      <c r="A269" s="86"/>
      <c r="B269" s="86"/>
      <c r="C269" s="86"/>
      <c r="D269" s="86"/>
      <c r="E269" s="86"/>
      <c r="F269" s="86"/>
    </row>
    <row r="270" spans="1:6">
      <c r="A270" s="86"/>
      <c r="B270" s="86"/>
      <c r="C270" s="86"/>
      <c r="D270" s="86"/>
      <c r="E270" s="86"/>
      <c r="F270" s="86"/>
    </row>
    <row r="271" spans="1:6">
      <c r="A271" s="86"/>
      <c r="B271" s="86"/>
      <c r="C271" s="86"/>
      <c r="D271" s="86"/>
      <c r="E271" s="86"/>
      <c r="F271" s="86"/>
    </row>
    <row r="272" spans="1:6">
      <c r="A272" s="86"/>
      <c r="B272" s="86"/>
      <c r="C272" s="86"/>
      <c r="D272" s="86"/>
      <c r="E272" s="86"/>
      <c r="F272" s="86"/>
    </row>
    <row r="273" spans="1:6">
      <c r="A273" s="86"/>
      <c r="B273" s="86"/>
      <c r="C273" s="86"/>
      <c r="D273" s="86"/>
      <c r="E273" s="86"/>
      <c r="F273" s="86"/>
    </row>
    <row r="274" spans="1:6">
      <c r="A274" s="86"/>
      <c r="B274" s="86"/>
      <c r="C274" s="86"/>
      <c r="D274" s="86"/>
      <c r="E274" s="86"/>
      <c r="F274" s="86"/>
    </row>
    <row r="275" spans="1:6">
      <c r="A275" s="86"/>
      <c r="B275" s="86"/>
      <c r="C275" s="86"/>
      <c r="D275" s="86"/>
      <c r="E275" s="86"/>
      <c r="F275" s="86"/>
    </row>
    <row r="276" spans="1:6">
      <c r="A276" s="86"/>
      <c r="B276" s="86"/>
      <c r="C276" s="86"/>
      <c r="D276" s="86"/>
      <c r="E276" s="86"/>
      <c r="F276" s="86"/>
    </row>
    <row r="277" spans="1:6">
      <c r="A277" s="86"/>
      <c r="B277" s="86"/>
      <c r="C277" s="86"/>
      <c r="D277" s="86"/>
      <c r="E277" s="86"/>
      <c r="F277" s="86"/>
    </row>
    <row r="278" spans="1:6">
      <c r="A278" s="86"/>
      <c r="B278" s="86"/>
      <c r="C278" s="86"/>
      <c r="D278" s="86"/>
      <c r="E278" s="86"/>
      <c r="F278" s="86"/>
    </row>
    <row r="279" spans="1:6">
      <c r="A279" s="86"/>
      <c r="B279" s="86"/>
      <c r="C279" s="86"/>
      <c r="D279" s="86"/>
      <c r="E279" s="86"/>
      <c r="F279" s="86"/>
    </row>
    <row r="280" spans="1:6">
      <c r="A280" s="86"/>
      <c r="B280" s="86"/>
      <c r="C280" s="86"/>
      <c r="D280" s="86"/>
      <c r="E280" s="86"/>
      <c r="F280" s="86"/>
    </row>
    <row r="281" spans="1:6">
      <c r="A281" s="86"/>
      <c r="B281" s="86"/>
      <c r="C281" s="86"/>
      <c r="D281" s="86"/>
      <c r="E281" s="86"/>
      <c r="F281" s="86"/>
    </row>
    <row r="282" spans="1:6">
      <c r="A282" s="86"/>
      <c r="B282" s="86"/>
      <c r="C282" s="86"/>
      <c r="D282" s="86"/>
      <c r="E282" s="86"/>
      <c r="F282" s="86"/>
    </row>
    <row r="283" spans="1:6">
      <c r="A283" s="86"/>
      <c r="B283" s="86"/>
      <c r="C283" s="86"/>
      <c r="D283" s="86"/>
      <c r="E283" s="86"/>
      <c r="F283" s="86"/>
    </row>
    <row r="284" spans="1:6">
      <c r="A284" s="86"/>
      <c r="B284" s="86"/>
      <c r="C284" s="86"/>
      <c r="D284" s="86"/>
      <c r="E284" s="86"/>
      <c r="F284" s="86"/>
    </row>
    <row r="285" spans="1:6">
      <c r="A285" s="86"/>
      <c r="B285" s="86"/>
      <c r="C285" s="86"/>
      <c r="D285" s="86"/>
      <c r="E285" s="86"/>
      <c r="F285" s="86"/>
    </row>
    <row r="286" spans="1:6">
      <c r="A286" s="86"/>
      <c r="B286" s="86"/>
      <c r="C286" s="86"/>
      <c r="D286" s="86"/>
      <c r="E286" s="86"/>
      <c r="F286" s="86"/>
    </row>
    <row r="287" spans="1:6">
      <c r="A287" s="86"/>
      <c r="B287" s="86"/>
      <c r="C287" s="86"/>
      <c r="D287" s="86"/>
      <c r="E287" s="86"/>
      <c r="F287" s="86"/>
    </row>
    <row r="288" spans="1:6">
      <c r="A288" s="86"/>
      <c r="B288" s="86"/>
      <c r="C288" s="86"/>
      <c r="D288" s="86"/>
      <c r="E288" s="86"/>
      <c r="F288" s="86"/>
    </row>
    <row r="289" spans="1:6">
      <c r="A289" s="86"/>
      <c r="B289" s="86"/>
      <c r="C289" s="86"/>
      <c r="D289" s="86"/>
      <c r="E289" s="86"/>
      <c r="F289" s="86"/>
    </row>
    <row r="290" spans="1:6">
      <c r="A290" s="86"/>
      <c r="B290" s="86"/>
      <c r="C290" s="86"/>
      <c r="D290" s="86"/>
      <c r="E290" s="86"/>
      <c r="F290" s="86"/>
    </row>
    <row r="291" spans="1:6">
      <c r="A291" s="86"/>
      <c r="B291" s="86"/>
      <c r="C291" s="86"/>
      <c r="D291" s="86"/>
      <c r="E291" s="86"/>
      <c r="F291" s="86"/>
    </row>
    <row r="292" spans="1:6">
      <c r="A292" s="86"/>
      <c r="B292" s="86"/>
      <c r="C292" s="86"/>
      <c r="D292" s="86"/>
      <c r="E292" s="86"/>
      <c r="F292" s="86"/>
    </row>
    <row r="293" spans="1:6">
      <c r="A293" s="86"/>
      <c r="B293" s="86"/>
      <c r="C293" s="86"/>
      <c r="D293" s="86"/>
      <c r="E293" s="86"/>
      <c r="F293" s="86"/>
    </row>
    <row r="294" spans="1:6">
      <c r="A294" s="86"/>
      <c r="B294" s="86"/>
      <c r="C294" s="86"/>
      <c r="D294" s="86"/>
      <c r="E294" s="86"/>
      <c r="F294" s="86"/>
    </row>
    <row r="295" spans="1:6">
      <c r="A295" s="86"/>
      <c r="B295" s="86"/>
      <c r="C295" s="86"/>
      <c r="D295" s="86"/>
      <c r="E295" s="86"/>
      <c r="F295" s="86"/>
    </row>
    <row r="296" spans="1:6">
      <c r="A296" s="86"/>
      <c r="B296" s="86"/>
      <c r="C296" s="86"/>
      <c r="D296" s="86"/>
      <c r="E296" s="86"/>
      <c r="F296" s="86"/>
    </row>
    <row r="297" spans="1:6">
      <c r="A297" s="86"/>
      <c r="B297" s="86"/>
      <c r="C297" s="86"/>
      <c r="D297" s="86"/>
      <c r="E297" s="86"/>
      <c r="F297" s="86"/>
    </row>
    <row r="298" spans="1:6">
      <c r="A298" s="86"/>
      <c r="B298" s="86"/>
      <c r="C298" s="86"/>
      <c r="D298" s="86"/>
      <c r="E298" s="86"/>
      <c r="F298" s="86"/>
    </row>
    <row r="299" spans="1:6">
      <c r="A299" s="86"/>
      <c r="B299" s="86"/>
      <c r="C299" s="86"/>
      <c r="D299" s="86"/>
      <c r="E299" s="86"/>
      <c r="F299" s="86"/>
    </row>
    <row r="300" spans="1:6">
      <c r="A300" s="86"/>
      <c r="B300" s="86"/>
      <c r="C300" s="86"/>
      <c r="D300" s="86"/>
      <c r="E300" s="86"/>
      <c r="F300" s="86"/>
    </row>
    <row r="301" spans="1:6">
      <c r="A301" s="86"/>
      <c r="B301" s="86"/>
      <c r="C301" s="86"/>
      <c r="D301" s="86"/>
      <c r="E301" s="86"/>
      <c r="F301" s="86"/>
    </row>
    <row r="302" spans="1:6">
      <c r="A302" s="86"/>
      <c r="B302" s="86"/>
      <c r="C302" s="86"/>
      <c r="D302" s="86"/>
      <c r="E302" s="86"/>
      <c r="F302" s="86"/>
    </row>
    <row r="303" spans="1:6">
      <c r="A303" s="86"/>
      <c r="B303" s="86"/>
      <c r="C303" s="86"/>
      <c r="D303" s="86"/>
      <c r="E303" s="86"/>
      <c r="F303" s="86"/>
    </row>
    <row r="304" spans="1:6">
      <c r="A304" s="86"/>
      <c r="B304" s="86"/>
      <c r="C304" s="86"/>
      <c r="D304" s="86"/>
      <c r="E304" s="86"/>
      <c r="F304" s="86"/>
    </row>
    <row r="305" spans="1:6">
      <c r="A305" s="86"/>
      <c r="B305" s="86"/>
      <c r="C305" s="86"/>
      <c r="D305" s="86"/>
      <c r="E305" s="86"/>
      <c r="F305" s="86"/>
    </row>
    <row r="306" spans="1:6">
      <c r="A306" s="86"/>
      <c r="B306" s="86"/>
      <c r="C306" s="86"/>
      <c r="D306" s="86"/>
      <c r="E306" s="86"/>
      <c r="F306" s="86"/>
    </row>
    <row r="307" spans="1:6">
      <c r="A307" s="86"/>
      <c r="B307" s="86"/>
      <c r="C307" s="86"/>
      <c r="D307" s="86"/>
      <c r="E307" s="86"/>
      <c r="F307" s="86"/>
    </row>
    <row r="308" spans="1:6">
      <c r="A308" s="86"/>
      <c r="B308" s="86"/>
      <c r="C308" s="86"/>
      <c r="D308" s="86"/>
      <c r="E308" s="86"/>
      <c r="F308" s="86"/>
    </row>
    <row r="309" spans="1:6">
      <c r="A309" s="86"/>
      <c r="B309" s="86"/>
      <c r="C309" s="86"/>
      <c r="D309" s="86"/>
      <c r="E309" s="86"/>
      <c r="F309" s="86"/>
    </row>
    <row r="310" spans="1:6">
      <c r="A310" s="86"/>
      <c r="B310" s="86"/>
      <c r="C310" s="86"/>
      <c r="D310" s="86"/>
      <c r="E310" s="86"/>
      <c r="F310" s="86"/>
    </row>
    <row r="311" spans="1:6">
      <c r="A311" s="86"/>
      <c r="B311" s="86"/>
      <c r="C311" s="86"/>
      <c r="D311" s="86"/>
      <c r="E311" s="86"/>
      <c r="F311" s="86"/>
    </row>
    <row r="312" spans="1:6">
      <c r="A312" s="86"/>
      <c r="B312" s="86"/>
      <c r="C312" s="86"/>
      <c r="D312" s="86"/>
      <c r="E312" s="86"/>
      <c r="F312" s="86"/>
    </row>
    <row r="313" spans="1:6">
      <c r="A313" s="86"/>
      <c r="B313" s="86"/>
      <c r="C313" s="86"/>
      <c r="D313" s="86"/>
      <c r="E313" s="86"/>
      <c r="F313" s="86"/>
    </row>
    <row r="314" spans="1:6">
      <c r="A314" s="86"/>
      <c r="B314" s="86"/>
      <c r="C314" s="86"/>
      <c r="D314" s="86"/>
      <c r="E314" s="86"/>
      <c r="F314" s="86"/>
    </row>
    <row r="315" spans="1:6">
      <c r="A315" s="86"/>
      <c r="B315" s="86"/>
      <c r="C315" s="86"/>
      <c r="D315" s="86"/>
      <c r="E315" s="86"/>
      <c r="F315" s="86"/>
    </row>
    <row r="316" spans="1:6">
      <c r="A316" s="86"/>
      <c r="B316" s="86"/>
      <c r="C316" s="86"/>
      <c r="D316" s="86"/>
      <c r="E316" s="86"/>
      <c r="F316" s="86"/>
    </row>
    <row r="317" spans="1:6">
      <c r="A317" s="86"/>
      <c r="B317" s="86"/>
      <c r="C317" s="86"/>
      <c r="D317" s="86"/>
      <c r="E317" s="86"/>
      <c r="F317" s="86"/>
    </row>
    <row r="318" spans="1:6">
      <c r="A318" s="86"/>
      <c r="B318" s="86"/>
      <c r="C318" s="86"/>
      <c r="D318" s="86"/>
      <c r="E318" s="86"/>
      <c r="F318" s="86"/>
    </row>
    <row r="319" spans="1:6">
      <c r="A319" s="86"/>
      <c r="B319" s="86"/>
      <c r="C319" s="86"/>
      <c r="D319" s="86"/>
      <c r="E319" s="86"/>
      <c r="F319" s="86"/>
    </row>
    <row r="320" spans="1:6">
      <c r="A320" s="86"/>
      <c r="B320" s="86"/>
      <c r="C320" s="86"/>
      <c r="D320" s="86"/>
      <c r="E320" s="86"/>
      <c r="F320" s="86"/>
    </row>
    <row r="321" spans="1:6">
      <c r="A321" s="86"/>
      <c r="B321" s="86"/>
      <c r="C321" s="86"/>
      <c r="D321" s="86"/>
      <c r="E321" s="86"/>
      <c r="F321" s="86"/>
    </row>
    <row r="322" spans="1:6">
      <c r="A322" s="86"/>
      <c r="B322" s="86"/>
      <c r="C322" s="86"/>
      <c r="D322" s="86"/>
      <c r="E322" s="86"/>
      <c r="F322" s="86"/>
    </row>
    <row r="323" spans="1:6">
      <c r="A323" s="86"/>
      <c r="B323" s="86"/>
      <c r="C323" s="86"/>
      <c r="D323" s="86"/>
      <c r="E323" s="86"/>
      <c r="F323" s="86"/>
    </row>
    <row r="324" spans="1:6">
      <c r="A324" s="86"/>
      <c r="B324" s="86"/>
      <c r="C324" s="86"/>
      <c r="D324" s="86"/>
      <c r="E324" s="86"/>
      <c r="F324" s="86"/>
    </row>
    <row r="325" spans="1:6">
      <c r="A325" s="86"/>
      <c r="B325" s="86"/>
      <c r="C325" s="86"/>
      <c r="D325" s="86"/>
      <c r="E325" s="86"/>
      <c r="F325" s="86"/>
    </row>
    <row r="326" spans="1:6">
      <c r="A326" s="86"/>
      <c r="B326" s="86"/>
      <c r="C326" s="86"/>
      <c r="D326" s="86"/>
      <c r="E326" s="86"/>
      <c r="F326" s="86"/>
    </row>
    <row r="327" spans="1:6">
      <c r="A327" s="86"/>
      <c r="B327" s="86"/>
      <c r="C327" s="86"/>
      <c r="D327" s="86"/>
      <c r="E327" s="86"/>
      <c r="F327" s="86"/>
    </row>
    <row r="328" spans="1:6">
      <c r="A328" s="86"/>
      <c r="B328" s="86"/>
      <c r="C328" s="86"/>
      <c r="D328" s="86"/>
      <c r="E328" s="86"/>
      <c r="F328" s="86"/>
    </row>
    <row r="329" spans="1:6">
      <c r="A329" s="86"/>
      <c r="B329" s="86"/>
      <c r="C329" s="86"/>
      <c r="D329" s="86"/>
      <c r="E329" s="86"/>
      <c r="F329" s="86"/>
    </row>
    <row r="330" spans="1:6">
      <c r="A330" s="86"/>
      <c r="B330" s="86"/>
      <c r="C330" s="86"/>
      <c r="D330" s="86"/>
      <c r="E330" s="86"/>
      <c r="F330" s="86"/>
    </row>
    <row r="331" spans="1:6">
      <c r="A331" s="86"/>
      <c r="B331" s="86"/>
      <c r="C331" s="86"/>
      <c r="D331" s="86"/>
      <c r="E331" s="86"/>
      <c r="F331" s="86"/>
    </row>
    <row r="332" spans="1:6">
      <c r="A332" s="86"/>
      <c r="B332" s="86"/>
      <c r="C332" s="86"/>
      <c r="D332" s="86"/>
      <c r="E332" s="86"/>
      <c r="F332" s="86"/>
    </row>
    <row r="333" spans="1:6">
      <c r="A333" s="86"/>
      <c r="B333" s="86"/>
      <c r="C333" s="86"/>
      <c r="D333" s="86"/>
      <c r="E333" s="86"/>
      <c r="F333" s="86"/>
    </row>
    <row r="334" spans="1:6">
      <c r="A334" s="86"/>
      <c r="B334" s="86"/>
      <c r="C334" s="86"/>
      <c r="D334" s="86"/>
      <c r="E334" s="86"/>
      <c r="F334" s="86"/>
    </row>
    <row r="335" spans="1:6">
      <c r="A335" s="86"/>
      <c r="B335" s="86"/>
      <c r="C335" s="86"/>
      <c r="D335" s="86"/>
      <c r="E335" s="86"/>
      <c r="F335" s="86"/>
    </row>
    <row r="336" spans="1:6">
      <c r="A336" s="86"/>
      <c r="B336" s="86"/>
      <c r="C336" s="86"/>
      <c r="D336" s="86"/>
      <c r="E336" s="86"/>
      <c r="F336" s="86"/>
    </row>
    <row r="337" spans="1:6">
      <c r="A337" s="86"/>
      <c r="B337" s="86"/>
      <c r="C337" s="86"/>
      <c r="D337" s="86"/>
      <c r="E337" s="86"/>
      <c r="F337" s="86"/>
    </row>
    <row r="338" spans="1:6">
      <c r="A338" s="86"/>
      <c r="B338" s="86"/>
      <c r="C338" s="86"/>
      <c r="D338" s="86"/>
      <c r="E338" s="86"/>
      <c r="F338" s="86"/>
    </row>
    <row r="339" spans="1:6">
      <c r="A339" s="86"/>
      <c r="B339" s="86"/>
      <c r="C339" s="86"/>
      <c r="D339" s="86"/>
      <c r="E339" s="86"/>
      <c r="F339" s="86"/>
    </row>
    <row r="340" spans="1:6">
      <c r="A340" s="86"/>
      <c r="B340" s="86"/>
      <c r="C340" s="86"/>
      <c r="D340" s="86"/>
      <c r="E340" s="86"/>
      <c r="F340" s="86"/>
    </row>
    <row r="341" spans="1:6">
      <c r="A341" s="86"/>
      <c r="B341" s="86"/>
      <c r="C341" s="86"/>
      <c r="D341" s="86"/>
      <c r="E341" s="86"/>
      <c r="F341" s="86"/>
    </row>
  </sheetData>
  <phoneticPr fontId="0" type="noConversion"/>
  <printOptions horizontalCentered="1" verticalCentered="1"/>
  <pageMargins left="0.4" right="0.4" top="0.3" bottom="0.3" header="0" footer="0"/>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3">
    <pageSetUpPr fitToPage="1"/>
  </sheetPr>
  <dimension ref="A1:N43"/>
  <sheetViews>
    <sheetView tabSelected="1" defaultGridColor="0" colorId="22" zoomScale="87" zoomScaleNormal="87" workbookViewId="0">
      <selection activeCell="M15" sqref="M15"/>
    </sheetView>
  </sheetViews>
  <sheetFormatPr defaultColWidth="9.77734375" defaultRowHeight="15"/>
  <cols>
    <col min="1" max="1" width="2.77734375" customWidth="1"/>
    <col min="2" max="2" width="12.77734375" customWidth="1"/>
    <col min="3" max="3" width="8.77734375" customWidth="1"/>
    <col min="4" max="4" width="7.77734375" customWidth="1"/>
    <col min="5" max="6" width="12.77734375" customWidth="1"/>
    <col min="7" max="7" width="7.77734375" customWidth="1"/>
    <col min="8" max="8" width="8.77734375" customWidth="1"/>
    <col min="9" max="9" width="12.77734375" customWidth="1"/>
    <col min="10" max="10" width="2.77734375" customWidth="1"/>
  </cols>
  <sheetData>
    <row r="1" spans="1:10" ht="15.75" thickBot="1"/>
    <row r="2" spans="1:10" ht="19.899999999999999" customHeight="1">
      <c r="A2" s="41"/>
      <c r="B2" s="42"/>
      <c r="C2" s="42"/>
      <c r="D2" s="42"/>
      <c r="E2" s="42"/>
      <c r="F2" s="42"/>
      <c r="G2" s="43"/>
      <c r="H2" s="44"/>
      <c r="I2" s="42"/>
      <c r="J2" s="45"/>
    </row>
    <row r="3" spans="1:10" ht="19.899999999999999" customHeight="1">
      <c r="A3" s="46"/>
      <c r="B3" s="47"/>
      <c r="C3" s="47"/>
      <c r="D3" s="47"/>
      <c r="E3" s="47"/>
      <c r="F3" s="47"/>
      <c r="G3" s="47"/>
      <c r="H3" s="47"/>
      <c r="I3" s="47"/>
      <c r="J3" s="48"/>
    </row>
    <row r="4" spans="1:10" ht="19.899999999999999" customHeight="1">
      <c r="A4" s="46"/>
      <c r="B4" s="47"/>
      <c r="C4" s="47"/>
      <c r="D4" s="47"/>
      <c r="E4" s="47"/>
      <c r="F4" s="47"/>
      <c r="G4" s="47"/>
      <c r="H4" s="47"/>
      <c r="I4" s="47"/>
      <c r="J4" s="48"/>
    </row>
    <row r="5" spans="1:10" ht="30" customHeight="1">
      <c r="A5" s="49" t="s">
        <v>234</v>
      </c>
      <c r="B5" s="50"/>
      <c r="C5" s="50"/>
      <c r="D5" s="50"/>
      <c r="E5" s="50"/>
      <c r="F5" s="50"/>
      <c r="G5" s="50"/>
      <c r="H5" s="50"/>
      <c r="I5" s="50"/>
      <c r="J5" s="51"/>
    </row>
    <row r="6" spans="1:10" ht="30" customHeight="1">
      <c r="A6" s="52" t="s">
        <v>235</v>
      </c>
      <c r="B6" s="50"/>
      <c r="C6" s="50"/>
      <c r="D6" s="50"/>
      <c r="E6" s="50"/>
      <c r="F6" s="50"/>
      <c r="G6" s="50"/>
      <c r="H6" s="50"/>
      <c r="I6" s="50"/>
      <c r="J6" s="51"/>
    </row>
    <row r="7" spans="1:10" ht="16.899999999999999" customHeight="1">
      <c r="A7" s="46"/>
      <c r="B7" s="47"/>
      <c r="C7" s="47"/>
      <c r="D7" s="47"/>
      <c r="E7" s="47"/>
      <c r="F7" s="47"/>
      <c r="G7" s="47"/>
      <c r="H7" s="47"/>
      <c r="I7" s="47"/>
      <c r="J7" s="48"/>
    </row>
    <row r="8" spans="1:10" ht="30" customHeight="1">
      <c r="A8" s="53" t="s">
        <v>2456</v>
      </c>
      <c r="B8" s="54"/>
      <c r="C8" s="54"/>
      <c r="D8" s="54"/>
      <c r="E8" s="54"/>
      <c r="F8" s="54"/>
      <c r="G8" s="54"/>
      <c r="H8" s="54"/>
      <c r="I8" s="54"/>
      <c r="J8" s="55"/>
    </row>
    <row r="9" spans="1:10" ht="16.899999999999999" customHeight="1">
      <c r="A9" s="46"/>
      <c r="B9" s="47"/>
      <c r="C9" s="47"/>
      <c r="D9" s="47"/>
      <c r="E9" s="47"/>
      <c r="F9" s="47"/>
      <c r="G9" s="47"/>
      <c r="H9" s="47"/>
      <c r="I9" s="47"/>
      <c r="J9" s="48"/>
    </row>
    <row r="10" spans="1:10" ht="16.899999999999999" customHeight="1">
      <c r="A10" s="46"/>
      <c r="B10" s="47"/>
      <c r="C10" s="47"/>
      <c r="D10" s="47"/>
      <c r="E10" s="47"/>
      <c r="F10" s="47"/>
      <c r="G10" s="47"/>
      <c r="H10" s="47"/>
      <c r="I10" s="47"/>
      <c r="J10" s="48"/>
    </row>
    <row r="11" spans="1:10" ht="16.899999999999999" customHeight="1">
      <c r="A11" s="56" t="s">
        <v>236</v>
      </c>
      <c r="B11" s="50"/>
      <c r="C11" s="50"/>
      <c r="D11" s="50"/>
      <c r="E11" s="50"/>
      <c r="F11" s="50"/>
      <c r="G11" s="50"/>
      <c r="H11" s="50"/>
      <c r="I11" s="50"/>
      <c r="J11" s="51"/>
    </row>
    <row r="12" spans="1:10" ht="16.899999999999999" customHeight="1">
      <c r="A12" s="46"/>
      <c r="B12" s="47"/>
      <c r="C12" s="47"/>
      <c r="D12" s="47"/>
      <c r="E12" s="47"/>
      <c r="F12" s="47"/>
      <c r="G12" s="47"/>
      <c r="H12" s="47"/>
      <c r="I12" s="47"/>
      <c r="J12" s="48"/>
    </row>
    <row r="13" spans="1:10" ht="22.5" customHeight="1" thickBot="1">
      <c r="A13" s="46"/>
      <c r="B13" s="2407" t="str">
        <f>+'Data sheet'!D27</f>
        <v xml:space="preserve">Veolia Water New York, Inc. </v>
      </c>
      <c r="C13" s="50"/>
      <c r="D13" s="50"/>
      <c r="E13" s="50"/>
      <c r="F13" s="50"/>
      <c r="G13" s="50"/>
      <c r="H13" s="50"/>
      <c r="I13" s="50"/>
      <c r="J13" s="48"/>
    </row>
    <row r="14" spans="1:10" ht="15.75">
      <c r="A14" s="57"/>
      <c r="B14" s="58" t="s">
        <v>2017</v>
      </c>
      <c r="C14" s="59"/>
      <c r="D14" s="59"/>
      <c r="E14" s="59"/>
      <c r="F14" s="59"/>
      <c r="G14" s="59"/>
      <c r="H14" s="59"/>
      <c r="I14" s="59"/>
      <c r="J14" s="48"/>
    </row>
    <row r="15" spans="1:10">
      <c r="A15" s="60" t="s">
        <v>2018</v>
      </c>
      <c r="B15" s="61"/>
      <c r="C15" s="61"/>
      <c r="D15" s="61"/>
      <c r="E15" s="61"/>
      <c r="F15" s="61"/>
      <c r="G15" s="61"/>
      <c r="H15" s="61"/>
      <c r="I15" s="61"/>
      <c r="J15" s="62"/>
    </row>
    <row r="16" spans="1:10" ht="19.899999999999999" customHeight="1">
      <c r="A16" s="46"/>
      <c r="B16" s="47"/>
      <c r="C16" s="47"/>
      <c r="D16" s="47"/>
      <c r="E16" s="47"/>
      <c r="F16" s="47"/>
      <c r="G16" s="47"/>
      <c r="H16" s="47"/>
      <c r="I16" s="47"/>
      <c r="J16" s="48"/>
    </row>
    <row r="17" spans="1:14" ht="19.899999999999999" customHeight="1" thickBot="1">
      <c r="A17" s="46"/>
      <c r="B17" s="63" t="str">
        <f>'Data sheet'!D29</f>
        <v>162 Old Mill Road</v>
      </c>
      <c r="C17" s="64"/>
      <c r="D17" s="64"/>
      <c r="E17" s="64"/>
      <c r="F17" s="64"/>
      <c r="G17" s="64"/>
      <c r="H17" s="64"/>
      <c r="I17" s="64"/>
      <c r="J17" s="48"/>
    </row>
    <row r="18" spans="1:14" ht="19.899999999999999" customHeight="1">
      <c r="A18" s="46"/>
      <c r="B18" s="47"/>
      <c r="C18" s="47"/>
      <c r="D18" s="47"/>
      <c r="E18" s="47"/>
      <c r="F18" s="47"/>
      <c r="G18" s="47"/>
      <c r="H18" s="47"/>
      <c r="I18" s="47"/>
      <c r="J18" s="48"/>
    </row>
    <row r="19" spans="1:14" ht="21.95" customHeight="1" thickBot="1">
      <c r="A19" s="46"/>
      <c r="B19" s="63" t="str">
        <f>'Data sheet'!D31</f>
        <v>West Nyack, NY 10994</v>
      </c>
      <c r="C19" s="64"/>
      <c r="D19" s="64"/>
      <c r="E19" s="64"/>
      <c r="F19" s="64"/>
      <c r="G19" s="64"/>
      <c r="H19" s="64"/>
      <c r="I19" s="64"/>
      <c r="J19" s="48"/>
    </row>
    <row r="20" spans="1:14">
      <c r="A20" s="65"/>
      <c r="B20" s="66" t="s">
        <v>2019</v>
      </c>
      <c r="C20" s="50"/>
      <c r="D20" s="50"/>
      <c r="E20" s="50"/>
      <c r="F20" s="50"/>
      <c r="G20" s="50"/>
      <c r="H20" s="50"/>
      <c r="I20" s="50"/>
      <c r="J20" s="48"/>
    </row>
    <row r="21" spans="1:14">
      <c r="A21" s="46"/>
      <c r="B21" s="67"/>
      <c r="C21" s="47"/>
      <c r="D21" s="47"/>
      <c r="E21" s="47"/>
      <c r="F21" s="47"/>
      <c r="G21" s="47"/>
      <c r="H21" s="47"/>
      <c r="I21" s="47"/>
      <c r="J21" s="48"/>
    </row>
    <row r="22" spans="1:14">
      <c r="A22" s="46"/>
      <c r="B22" s="47"/>
      <c r="C22" s="47"/>
      <c r="D22" s="47"/>
      <c r="E22" s="47"/>
      <c r="F22" s="47"/>
      <c r="G22" s="47"/>
      <c r="H22" s="47"/>
      <c r="I22" s="47"/>
      <c r="J22" s="48"/>
      <c r="N22" s="86"/>
    </row>
    <row r="23" spans="1:14" ht="18" customHeight="1">
      <c r="A23" s="46"/>
      <c r="B23" s="68" t="s">
        <v>2020</v>
      </c>
      <c r="C23" s="50"/>
      <c r="D23" s="50"/>
      <c r="E23" s="50"/>
      <c r="F23" s="50"/>
      <c r="G23" s="50"/>
      <c r="H23" s="50"/>
      <c r="I23" s="50"/>
      <c r="J23" s="48"/>
    </row>
    <row r="24" spans="1:14">
      <c r="A24" s="46"/>
      <c r="B24" s="47"/>
      <c r="C24" s="47"/>
      <c r="D24" s="47"/>
      <c r="E24" s="47"/>
      <c r="F24" s="47"/>
      <c r="G24" s="47"/>
      <c r="H24" s="47"/>
      <c r="I24" s="47"/>
      <c r="J24" s="48"/>
    </row>
    <row r="25" spans="1:14" ht="27.95" customHeight="1">
      <c r="A25" s="69"/>
      <c r="B25" s="70" t="str">
        <f>'Data sheet'!A47</f>
        <v>Year Ended  December 31, 2023</v>
      </c>
      <c r="C25" s="50"/>
      <c r="D25" s="50"/>
      <c r="E25" s="50"/>
      <c r="F25" s="50"/>
      <c r="G25" s="50"/>
      <c r="H25" s="50"/>
      <c r="I25" s="50"/>
      <c r="J25" s="48"/>
    </row>
    <row r="26" spans="1:14" ht="18" customHeight="1">
      <c r="A26" s="46"/>
      <c r="B26" s="47"/>
      <c r="C26" s="47"/>
      <c r="D26" s="47"/>
      <c r="E26" s="47"/>
      <c r="F26" s="47"/>
      <c r="G26" s="47"/>
      <c r="H26" s="47"/>
      <c r="I26" s="47"/>
      <c r="J26" s="48"/>
    </row>
    <row r="27" spans="1:14" ht="19.899999999999999" customHeight="1">
      <c r="A27" s="46"/>
      <c r="B27" s="71" t="s">
        <v>2021</v>
      </c>
      <c r="C27" s="50"/>
      <c r="D27" s="50"/>
      <c r="E27" s="50"/>
      <c r="F27" s="50"/>
      <c r="G27" s="50"/>
      <c r="H27" s="50"/>
      <c r="I27" s="50"/>
      <c r="J27" s="48"/>
    </row>
    <row r="28" spans="1:14">
      <c r="A28" s="46"/>
      <c r="B28" s="47"/>
      <c r="C28" s="47"/>
      <c r="D28" s="47"/>
      <c r="E28" s="47"/>
      <c r="F28" s="47"/>
      <c r="G28" s="47"/>
      <c r="H28" s="47"/>
      <c r="I28" s="47"/>
      <c r="J28" s="48"/>
    </row>
    <row r="29" spans="1:14">
      <c r="A29" s="46"/>
      <c r="B29" s="47"/>
      <c r="C29" s="47"/>
      <c r="D29" s="47"/>
      <c r="E29" s="47"/>
      <c r="F29" s="47"/>
      <c r="G29" s="47"/>
      <c r="H29" s="47"/>
      <c r="I29" s="47"/>
      <c r="J29" s="48"/>
    </row>
    <row r="30" spans="1:14" ht="19.899999999999999" customHeight="1">
      <c r="A30" s="46"/>
      <c r="B30" s="71" t="s">
        <v>2454</v>
      </c>
      <c r="C30" s="50"/>
      <c r="D30" s="50"/>
      <c r="E30" s="50"/>
      <c r="F30" s="50"/>
      <c r="G30" s="50"/>
      <c r="H30" s="50"/>
      <c r="I30" s="50"/>
      <c r="J30" s="48"/>
    </row>
    <row r="31" spans="1:14">
      <c r="A31" s="46"/>
      <c r="B31" s="47"/>
      <c r="C31" s="47"/>
      <c r="D31" s="47"/>
      <c r="E31" s="47"/>
      <c r="F31" s="47"/>
      <c r="G31" s="47"/>
      <c r="H31" s="47"/>
      <c r="I31" s="47"/>
      <c r="J31" s="48"/>
    </row>
    <row r="32" spans="1:14" ht="12" customHeight="1">
      <c r="A32" s="46"/>
      <c r="B32" s="47"/>
      <c r="C32" s="47"/>
      <c r="D32" s="47"/>
      <c r="E32" s="47"/>
      <c r="F32" s="47"/>
      <c r="G32" s="47"/>
      <c r="H32" s="47"/>
      <c r="I32" s="47"/>
      <c r="J32" s="48"/>
    </row>
    <row r="33" spans="1:10" ht="19.899999999999999" customHeight="1">
      <c r="A33" s="46"/>
      <c r="B33" s="71" t="s">
        <v>2455</v>
      </c>
      <c r="C33" s="50"/>
      <c r="D33" s="50"/>
      <c r="E33" s="50"/>
      <c r="F33" s="50"/>
      <c r="G33" s="50"/>
      <c r="H33" s="50"/>
      <c r="I33" s="50"/>
      <c r="J33" s="48"/>
    </row>
    <row r="34" spans="1:10" ht="19.899999999999999" customHeight="1">
      <c r="A34" s="46"/>
      <c r="B34" s="47"/>
      <c r="C34" s="47"/>
      <c r="D34" s="47"/>
      <c r="E34" s="47"/>
      <c r="F34" s="47"/>
      <c r="G34" s="47"/>
      <c r="H34" s="47"/>
      <c r="I34" s="47"/>
      <c r="J34" s="48"/>
    </row>
    <row r="35" spans="1:10" ht="19.899999999999999" customHeight="1" thickBot="1">
      <c r="A35" s="46"/>
      <c r="B35" s="72"/>
      <c r="C35" s="50"/>
      <c r="D35" s="64"/>
      <c r="E35" s="64"/>
      <c r="F35" s="64"/>
      <c r="G35" s="64"/>
      <c r="H35" s="50"/>
      <c r="I35" s="50"/>
      <c r="J35" s="48"/>
    </row>
    <row r="36" spans="1:10" ht="19.899999999999999" customHeight="1">
      <c r="A36" s="46"/>
      <c r="B36" s="47"/>
      <c r="C36" s="47"/>
      <c r="D36" s="47"/>
      <c r="E36" s="47"/>
      <c r="F36" s="47"/>
      <c r="G36" s="47"/>
      <c r="H36" s="47"/>
      <c r="I36" s="47"/>
      <c r="J36" s="48"/>
    </row>
    <row r="37" spans="1:10" ht="19.899999999999999" customHeight="1">
      <c r="A37" s="46"/>
      <c r="B37" s="47"/>
      <c r="C37" s="47" t="s">
        <v>2022</v>
      </c>
      <c r="D37" s="47"/>
      <c r="E37" s="47"/>
      <c r="F37" s="47"/>
      <c r="G37" s="47"/>
      <c r="H37" s="47"/>
      <c r="I37" s="47"/>
      <c r="J37" s="48"/>
    </row>
    <row r="38" spans="1:10" ht="19.899999999999999" customHeight="1">
      <c r="A38" s="46"/>
      <c r="B38" s="73"/>
      <c r="C38" s="73" t="s">
        <v>2023</v>
      </c>
      <c r="D38" s="47"/>
      <c r="E38" s="47"/>
      <c r="F38" s="47"/>
      <c r="G38" s="47"/>
      <c r="H38" s="47"/>
      <c r="I38" s="47"/>
      <c r="J38" s="48"/>
    </row>
    <row r="39" spans="1:10" ht="19.899999999999999" customHeight="1">
      <c r="A39" s="46"/>
      <c r="B39" s="2187" t="s">
        <v>5308</v>
      </c>
      <c r="C39" s="74"/>
      <c r="D39" s="74"/>
      <c r="E39" s="74"/>
      <c r="F39" s="74"/>
      <c r="G39" s="74"/>
      <c r="H39" s="74"/>
      <c r="I39" s="74"/>
      <c r="J39" s="48"/>
    </row>
    <row r="40" spans="1:10" ht="19.899999999999999" customHeight="1">
      <c r="A40" s="46"/>
      <c r="B40" s="2187" t="s">
        <v>5307</v>
      </c>
      <c r="C40" s="74"/>
      <c r="D40" s="74"/>
      <c r="E40" s="74"/>
      <c r="F40" s="74"/>
      <c r="G40" s="74"/>
      <c r="H40" s="74"/>
      <c r="I40" s="74"/>
      <c r="J40" s="48"/>
    </row>
    <row r="41" spans="1:10" ht="19.899999999999999" customHeight="1">
      <c r="A41" s="46"/>
      <c r="B41" s="2768" t="s">
        <v>5309</v>
      </c>
      <c r="C41" s="2768"/>
      <c r="D41" s="2769"/>
      <c r="E41" s="2769"/>
      <c r="F41" s="2770"/>
      <c r="G41" s="2770"/>
      <c r="H41" s="2770"/>
      <c r="I41" s="2770"/>
      <c r="J41" s="48"/>
    </row>
    <row r="42" spans="1:10" ht="9.9499999999999993" customHeight="1" thickBot="1">
      <c r="A42" s="75"/>
      <c r="B42" s="76"/>
      <c r="C42" s="76"/>
      <c r="D42" s="76"/>
      <c r="E42" s="76"/>
      <c r="F42" s="76"/>
      <c r="G42" s="76"/>
      <c r="H42" s="76"/>
      <c r="I42" s="76"/>
      <c r="J42" s="77"/>
    </row>
    <row r="43" spans="1:10">
      <c r="A43" s="18"/>
      <c r="B43" s="18"/>
      <c r="C43" s="18"/>
      <c r="D43" s="18"/>
      <c r="E43" s="18"/>
      <c r="F43" s="18"/>
      <c r="G43" s="18"/>
      <c r="H43" s="18"/>
      <c r="I43" s="78" t="s">
        <v>2024</v>
      </c>
      <c r="J43" s="18"/>
    </row>
  </sheetData>
  <phoneticPr fontId="0" type="noConversion"/>
  <pageMargins left="0.4" right="0.4" top="0.3" bottom="0.3" header="0.5" footer="0.5"/>
  <pageSetup scale="91"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codeName="Sheet33">
    <pageSetUpPr fitToPage="1"/>
  </sheetPr>
  <dimension ref="A1:I62"/>
  <sheetViews>
    <sheetView defaultGridColor="0" colorId="22" zoomScaleNormal="100" workbookViewId="0">
      <selection activeCell="E28" sqref="E28"/>
    </sheetView>
  </sheetViews>
  <sheetFormatPr defaultColWidth="9.77734375" defaultRowHeight="15"/>
  <cols>
    <col min="1" max="1" width="4.77734375" customWidth="1"/>
    <col min="2" max="2" width="25.77734375" customWidth="1"/>
    <col min="3" max="4" width="10.77734375" customWidth="1"/>
    <col min="5" max="7" width="18.77734375" customWidth="1"/>
    <col min="8" max="8" width="23.21875" customWidth="1"/>
    <col min="9" max="9" width="22.77734375" customWidth="1"/>
  </cols>
  <sheetData>
    <row r="1" spans="1:9" ht="15.75" thickBot="1">
      <c r="A1" s="14" t="str">
        <f>'Data sheet'!A65</f>
        <v>Annual Report of Veolia Water New York, Inc.                                                                                          Year Ended  December 31, 2023</v>
      </c>
      <c r="B1" s="86"/>
      <c r="C1" s="86"/>
      <c r="D1" s="86"/>
      <c r="E1" s="86"/>
      <c r="F1" s="86"/>
      <c r="G1" s="86"/>
      <c r="H1" s="16"/>
      <c r="I1" s="5"/>
    </row>
    <row r="2" spans="1:9">
      <c r="A2" s="129"/>
      <c r="B2" s="130"/>
      <c r="C2" s="130"/>
      <c r="D2" s="130"/>
      <c r="E2" s="130"/>
      <c r="F2" s="130"/>
      <c r="G2" s="130"/>
      <c r="H2" s="130"/>
      <c r="I2" s="131"/>
    </row>
    <row r="3" spans="1:9" ht="18">
      <c r="A3" s="220" t="s">
        <v>2911</v>
      </c>
      <c r="B3" s="3"/>
      <c r="C3" s="3"/>
      <c r="D3" s="3"/>
      <c r="E3" s="3"/>
      <c r="F3" s="3"/>
      <c r="G3" s="3"/>
      <c r="H3" s="3"/>
      <c r="I3" s="84"/>
    </row>
    <row r="4" spans="1:9">
      <c r="A4" s="85"/>
      <c r="B4" s="86"/>
      <c r="C4" s="86"/>
      <c r="D4" s="86"/>
      <c r="E4" s="86"/>
      <c r="F4" s="86"/>
      <c r="G4" s="86"/>
      <c r="H4" s="86"/>
      <c r="I4" s="87"/>
    </row>
    <row r="5" spans="1:9">
      <c r="A5" s="83"/>
      <c r="B5" s="108" t="s">
        <v>2912</v>
      </c>
      <c r="C5" s="86"/>
      <c r="D5" s="86"/>
      <c r="E5" s="86"/>
      <c r="F5" s="86"/>
      <c r="G5" s="86"/>
      <c r="H5" s="86"/>
      <c r="I5" s="87"/>
    </row>
    <row r="6" spans="1:9">
      <c r="A6" s="83"/>
      <c r="B6" s="108"/>
      <c r="C6" s="86"/>
      <c r="D6" s="86"/>
      <c r="E6" s="86"/>
      <c r="F6" s="86"/>
      <c r="G6" s="86"/>
      <c r="H6" s="86"/>
      <c r="I6" s="87"/>
    </row>
    <row r="7" spans="1:9">
      <c r="A7" s="83"/>
      <c r="B7" s="108" t="s">
        <v>2913</v>
      </c>
      <c r="C7" s="86"/>
      <c r="D7" s="86"/>
      <c r="E7" s="86"/>
      <c r="F7" s="86"/>
      <c r="G7" s="86"/>
      <c r="H7" s="86"/>
      <c r="I7" s="87"/>
    </row>
    <row r="8" spans="1:9">
      <c r="A8" s="83"/>
      <c r="B8" s="108"/>
      <c r="C8" s="86"/>
      <c r="D8" s="86"/>
      <c r="E8" s="86"/>
      <c r="F8" s="86"/>
      <c r="G8" s="86"/>
      <c r="H8" s="86"/>
      <c r="I8" s="87"/>
    </row>
    <row r="9" spans="1:9">
      <c r="A9" s="83"/>
      <c r="B9" s="108" t="s">
        <v>2914</v>
      </c>
      <c r="C9" s="86"/>
      <c r="D9" s="86"/>
      <c r="E9" s="86"/>
      <c r="F9" s="86"/>
      <c r="G9" s="86"/>
      <c r="H9" s="86"/>
      <c r="I9" s="87"/>
    </row>
    <row r="10" spans="1:9">
      <c r="A10" s="83"/>
      <c r="B10" s="108" t="s">
        <v>1561</v>
      </c>
      <c r="C10" s="86"/>
      <c r="D10" s="86"/>
      <c r="E10" s="86"/>
      <c r="F10" s="86"/>
      <c r="G10" s="86"/>
      <c r="H10" s="86"/>
      <c r="I10" s="87"/>
    </row>
    <row r="11" spans="1:9">
      <c r="A11" s="83"/>
      <c r="B11" s="108"/>
      <c r="C11" s="86"/>
      <c r="D11" s="86"/>
      <c r="E11" s="86"/>
      <c r="F11" s="86"/>
      <c r="G11" s="86"/>
      <c r="H11" s="86"/>
      <c r="I11" s="87"/>
    </row>
    <row r="12" spans="1:9">
      <c r="A12" s="83"/>
      <c r="B12" s="108" t="s">
        <v>2042</v>
      </c>
      <c r="C12" s="86"/>
      <c r="D12" s="86"/>
      <c r="E12" s="86"/>
      <c r="F12" s="86"/>
      <c r="G12" s="86"/>
      <c r="H12" s="86"/>
      <c r="I12" s="87"/>
    </row>
    <row r="13" spans="1:9">
      <c r="A13" s="83"/>
      <c r="B13" s="108" t="s">
        <v>2043</v>
      </c>
      <c r="C13" s="86"/>
      <c r="D13" s="86"/>
      <c r="E13" s="86"/>
      <c r="F13" s="86"/>
      <c r="G13" s="86"/>
      <c r="H13" s="86"/>
      <c r="I13" s="87"/>
    </row>
    <row r="14" spans="1:9">
      <c r="A14" s="83"/>
      <c r="B14" s="108" t="s">
        <v>2044</v>
      </c>
      <c r="C14" s="86"/>
      <c r="D14" s="86"/>
      <c r="E14" s="86"/>
      <c r="F14" s="86"/>
      <c r="G14" s="86"/>
      <c r="H14" s="86"/>
      <c r="I14" s="87"/>
    </row>
    <row r="15" spans="1:9">
      <c r="A15" s="83"/>
      <c r="B15" s="108"/>
      <c r="C15" s="86"/>
      <c r="D15" s="86"/>
      <c r="E15" s="86"/>
      <c r="F15" s="86"/>
      <c r="G15" s="86"/>
      <c r="H15" s="86"/>
      <c r="I15" s="87"/>
    </row>
    <row r="16" spans="1:9">
      <c r="A16" s="83"/>
      <c r="B16" s="108" t="s">
        <v>2667</v>
      </c>
      <c r="C16" s="86"/>
      <c r="D16" s="86"/>
      <c r="E16" s="86"/>
      <c r="F16" s="86"/>
      <c r="G16" s="86"/>
      <c r="H16" s="86"/>
      <c r="I16" s="87"/>
    </row>
    <row r="17" spans="1:9">
      <c r="A17" s="83"/>
      <c r="B17" s="108"/>
      <c r="C17" s="86"/>
      <c r="D17" s="86"/>
      <c r="E17" s="86"/>
      <c r="F17" s="86"/>
      <c r="G17" s="86"/>
      <c r="H17" s="86"/>
      <c r="I17" s="87"/>
    </row>
    <row r="18" spans="1:9">
      <c r="A18" s="83"/>
      <c r="B18" s="108" t="s">
        <v>1521</v>
      </c>
      <c r="C18" s="86"/>
      <c r="D18" s="86"/>
      <c r="E18" s="86"/>
      <c r="F18" s="86"/>
      <c r="G18" s="86"/>
      <c r="H18" s="86"/>
      <c r="I18" s="87"/>
    </row>
    <row r="19" spans="1:9">
      <c r="A19" s="83"/>
      <c r="B19" s="108"/>
      <c r="C19" s="86"/>
      <c r="D19" s="86"/>
      <c r="E19" s="86"/>
      <c r="F19" s="86"/>
      <c r="G19" s="86"/>
      <c r="H19" s="86"/>
      <c r="I19" s="87"/>
    </row>
    <row r="20" spans="1:9">
      <c r="A20" s="83"/>
      <c r="B20" s="108" t="s">
        <v>1806</v>
      </c>
      <c r="C20" s="86"/>
      <c r="D20" s="86"/>
      <c r="E20" s="86"/>
      <c r="F20" s="86"/>
      <c r="G20" s="86"/>
      <c r="H20" s="86"/>
      <c r="I20" s="87"/>
    </row>
    <row r="21" spans="1:9">
      <c r="A21" s="83"/>
      <c r="B21" s="108"/>
      <c r="C21" s="86"/>
      <c r="D21" s="86"/>
      <c r="E21" s="86"/>
      <c r="F21" s="86"/>
      <c r="G21" s="86"/>
      <c r="H21" s="86"/>
      <c r="I21" s="87"/>
    </row>
    <row r="22" spans="1:9">
      <c r="A22" s="83"/>
      <c r="B22" s="108" t="s">
        <v>2256</v>
      </c>
      <c r="C22" s="86"/>
      <c r="D22" s="86"/>
      <c r="E22" s="86"/>
      <c r="F22" s="86"/>
      <c r="G22" s="86"/>
      <c r="H22" s="86"/>
      <c r="I22" s="87"/>
    </row>
    <row r="23" spans="1:9">
      <c r="A23" s="83"/>
      <c r="B23" s="108" t="s">
        <v>138</v>
      </c>
      <c r="C23" s="86"/>
      <c r="D23" s="86"/>
      <c r="E23" s="86"/>
      <c r="F23" s="86"/>
      <c r="G23" s="86"/>
      <c r="H23" s="86"/>
      <c r="I23" s="87"/>
    </row>
    <row r="24" spans="1:9" ht="15.75" thickBot="1">
      <c r="A24" s="85"/>
      <c r="B24" s="86"/>
      <c r="C24" s="86"/>
      <c r="D24" s="86"/>
      <c r="E24" s="86"/>
      <c r="F24" s="86"/>
      <c r="G24" s="86"/>
      <c r="H24" s="86"/>
      <c r="I24" s="87"/>
    </row>
    <row r="25" spans="1:9">
      <c r="A25" s="129"/>
      <c r="B25" s="1078"/>
      <c r="C25" s="1078"/>
      <c r="D25" s="1078"/>
      <c r="E25" s="1078"/>
      <c r="F25" s="1082" t="s">
        <v>139</v>
      </c>
      <c r="G25" s="1084"/>
      <c r="H25" s="82"/>
      <c r="I25" s="417" t="s">
        <v>140</v>
      </c>
    </row>
    <row r="26" spans="1:9">
      <c r="A26" s="85"/>
      <c r="B26" s="109" t="s">
        <v>141</v>
      </c>
      <c r="C26" s="109" t="s">
        <v>185</v>
      </c>
      <c r="D26" s="109" t="s">
        <v>186</v>
      </c>
      <c r="E26" s="109" t="s">
        <v>187</v>
      </c>
      <c r="F26" s="620" t="s">
        <v>188</v>
      </c>
      <c r="G26" s="616" t="s">
        <v>189</v>
      </c>
      <c r="H26" s="428" t="s">
        <v>2300</v>
      </c>
      <c r="I26" s="428" t="s">
        <v>190</v>
      </c>
    </row>
    <row r="27" spans="1:9">
      <c r="A27" s="85"/>
      <c r="B27" s="96"/>
      <c r="C27" s="109" t="s">
        <v>191</v>
      </c>
      <c r="D27" s="109" t="s">
        <v>2588</v>
      </c>
      <c r="E27" s="109" t="s">
        <v>2589</v>
      </c>
      <c r="F27" s="620" t="s">
        <v>2590</v>
      </c>
      <c r="G27" s="616" t="s">
        <v>2591</v>
      </c>
      <c r="H27" s="428" t="s">
        <v>2592</v>
      </c>
      <c r="I27" s="428" t="s">
        <v>2593</v>
      </c>
    </row>
    <row r="28" spans="1:9">
      <c r="A28" s="488" t="s">
        <v>1727</v>
      </c>
      <c r="B28" s="96"/>
      <c r="C28" s="96"/>
      <c r="D28" s="96"/>
      <c r="E28" s="109" t="s">
        <v>2594</v>
      </c>
      <c r="F28" s="620" t="s">
        <v>1627</v>
      </c>
      <c r="G28" s="616" t="s">
        <v>2594</v>
      </c>
      <c r="H28" s="428" t="s">
        <v>712</v>
      </c>
      <c r="I28" s="428" t="s">
        <v>2595</v>
      </c>
    </row>
    <row r="29" spans="1:9" ht="15.75" thickBot="1">
      <c r="A29" s="491" t="s">
        <v>1739</v>
      </c>
      <c r="B29" s="1079" t="s">
        <v>3279</v>
      </c>
      <c r="C29" s="1079" t="s">
        <v>3280</v>
      </c>
      <c r="D29" s="1079" t="s">
        <v>3281</v>
      </c>
      <c r="E29" s="1079" t="s">
        <v>3282</v>
      </c>
      <c r="F29" s="1080" t="s">
        <v>721</v>
      </c>
      <c r="G29" s="617" t="s">
        <v>722</v>
      </c>
      <c r="H29" s="439" t="s">
        <v>723</v>
      </c>
      <c r="I29" s="439" t="s">
        <v>335</v>
      </c>
    </row>
    <row r="30" spans="1:9">
      <c r="A30" s="488">
        <v>1</v>
      </c>
      <c r="B30" s="141"/>
      <c r="C30" s="141"/>
      <c r="D30" s="141"/>
      <c r="E30" s="511"/>
      <c r="F30" s="1077"/>
      <c r="G30" s="1085"/>
      <c r="H30" s="1075"/>
      <c r="I30" s="1075"/>
    </row>
    <row r="31" spans="1:9">
      <c r="A31" s="488">
        <v>2</v>
      </c>
      <c r="B31" s="141"/>
      <c r="C31" s="141"/>
      <c r="D31" s="141"/>
      <c r="E31" s="143"/>
      <c r="F31" s="1074"/>
      <c r="G31" s="1086"/>
      <c r="H31" s="144"/>
      <c r="I31" s="144"/>
    </row>
    <row r="32" spans="1:9">
      <c r="A32" s="488">
        <v>3</v>
      </c>
      <c r="B32" s="2063" t="s">
        <v>4556</v>
      </c>
      <c r="C32" s="141"/>
      <c r="D32" s="141"/>
      <c r="E32" s="143"/>
      <c r="F32" s="1074"/>
      <c r="G32" s="1086"/>
      <c r="H32" s="144"/>
      <c r="I32" s="144"/>
    </row>
    <row r="33" spans="1:9">
      <c r="A33" s="488">
        <v>4</v>
      </c>
      <c r="B33" s="141"/>
      <c r="C33" s="141"/>
      <c r="D33" s="141"/>
      <c r="E33" s="143"/>
      <c r="F33" s="1074"/>
      <c r="G33" s="1086"/>
      <c r="H33" s="144"/>
      <c r="I33" s="144"/>
    </row>
    <row r="34" spans="1:9">
      <c r="A34" s="488">
        <v>5</v>
      </c>
      <c r="B34" s="141"/>
      <c r="C34" s="141"/>
      <c r="D34" s="141"/>
      <c r="E34" s="143"/>
      <c r="F34" s="1074"/>
      <c r="G34" s="1086"/>
      <c r="H34" s="144"/>
      <c r="I34" s="144"/>
    </row>
    <row r="35" spans="1:9">
      <c r="A35" s="488">
        <v>6</v>
      </c>
      <c r="B35" s="141"/>
      <c r="C35" s="141"/>
      <c r="D35" s="141"/>
      <c r="E35" s="143"/>
      <c r="F35" s="1074"/>
      <c r="G35" s="1086"/>
      <c r="H35" s="87"/>
      <c r="I35" s="144"/>
    </row>
    <row r="36" spans="1:9" ht="15.75" thickBot="1">
      <c r="A36" s="488">
        <v>7</v>
      </c>
      <c r="B36" s="148"/>
      <c r="C36" s="141"/>
      <c r="D36" s="141"/>
      <c r="E36" s="143"/>
      <c r="F36" s="1074"/>
      <c r="G36" s="1087"/>
      <c r="H36" s="144"/>
      <c r="I36" s="144"/>
    </row>
    <row r="37" spans="1:9" ht="15.75" thickBot="1">
      <c r="A37" s="488">
        <v>8</v>
      </c>
      <c r="B37" s="1076" t="s">
        <v>2596</v>
      </c>
      <c r="C37" s="1081"/>
      <c r="D37" s="1081"/>
      <c r="E37" s="378">
        <f>SUM(E30:E36)</f>
        <v>0</v>
      </c>
      <c r="F37" s="1083"/>
      <c r="G37" s="1088">
        <f>SUM(G30:G36)</f>
        <v>0</v>
      </c>
      <c r="H37" s="1088">
        <f>SUM(H30:H36)</f>
        <v>0</v>
      </c>
      <c r="I37" s="1088">
        <f>SUM(I30:I36)</f>
        <v>0</v>
      </c>
    </row>
    <row r="38" spans="1:9">
      <c r="A38" s="488">
        <v>9</v>
      </c>
      <c r="B38" s="489"/>
      <c r="C38" s="141"/>
      <c r="D38" s="141"/>
      <c r="E38" s="143"/>
      <c r="F38" s="1074"/>
      <c r="G38" s="1089"/>
      <c r="H38" s="1089"/>
      <c r="I38" s="1089"/>
    </row>
    <row r="39" spans="1:9">
      <c r="A39" s="488">
        <v>10</v>
      </c>
      <c r="B39" s="489"/>
      <c r="C39" s="141"/>
      <c r="D39" s="141"/>
      <c r="E39" s="143"/>
      <c r="F39" s="1074"/>
      <c r="G39" s="1086"/>
      <c r="H39" s="1086"/>
      <c r="I39" s="1086"/>
    </row>
    <row r="40" spans="1:9">
      <c r="A40" s="488">
        <v>11</v>
      </c>
      <c r="B40" s="2129" t="s">
        <v>4556</v>
      </c>
      <c r="C40" s="141"/>
      <c r="D40" s="141"/>
      <c r="E40" s="143"/>
      <c r="F40" s="1074"/>
      <c r="G40" s="1086"/>
      <c r="H40" s="1086"/>
      <c r="I40" s="1086"/>
    </row>
    <row r="41" spans="1:9">
      <c r="A41" s="488">
        <v>12</v>
      </c>
      <c r="B41" s="489"/>
      <c r="C41" s="141"/>
      <c r="D41" s="141"/>
      <c r="E41" s="143"/>
      <c r="F41" s="1074"/>
      <c r="G41" s="1086"/>
      <c r="H41" s="1086"/>
      <c r="I41" s="1086"/>
    </row>
    <row r="42" spans="1:9">
      <c r="A42" s="488">
        <v>13</v>
      </c>
      <c r="B42" s="489"/>
      <c r="C42" s="141"/>
      <c r="D42" s="141"/>
      <c r="E42" s="143"/>
      <c r="F42" s="1074"/>
      <c r="G42" s="1086"/>
      <c r="H42" s="1086"/>
      <c r="I42" s="1086"/>
    </row>
    <row r="43" spans="1:9">
      <c r="A43" s="488">
        <v>14</v>
      </c>
      <c r="B43" s="489"/>
      <c r="C43" s="141"/>
      <c r="D43" s="141"/>
      <c r="E43" s="143"/>
      <c r="F43" s="1074"/>
      <c r="G43" s="1086"/>
      <c r="H43" s="1086"/>
      <c r="I43" s="1086"/>
    </row>
    <row r="44" spans="1:9" ht="15.75" thickBot="1">
      <c r="A44" s="488">
        <v>15</v>
      </c>
      <c r="B44" s="489"/>
      <c r="C44" s="141"/>
      <c r="D44" s="141"/>
      <c r="E44" s="143"/>
      <c r="F44" s="1074"/>
      <c r="G44" s="1087"/>
      <c r="H44" s="1087"/>
      <c r="I44" s="1087"/>
    </row>
    <row r="45" spans="1:9" ht="15.75" thickBot="1">
      <c r="A45" s="491">
        <v>16</v>
      </c>
      <c r="B45" s="1013" t="s">
        <v>2597</v>
      </c>
      <c r="C45" s="1092"/>
      <c r="D45" s="1090"/>
      <c r="E45" s="1088">
        <f>SUM(E38:E44)</f>
        <v>0</v>
      </c>
      <c r="F45" s="1091"/>
      <c r="G45" s="1088">
        <f>SUM(G38:G44)</f>
        <v>0</v>
      </c>
      <c r="H45" s="1088">
        <f>SUM(H38:H44)</f>
        <v>0</v>
      </c>
      <c r="I45" s="1088">
        <f>SUM(I38:I44)</f>
        <v>0</v>
      </c>
    </row>
    <row r="46" spans="1:9">
      <c r="A46" s="86"/>
      <c r="B46" s="86" t="s">
        <v>2598</v>
      </c>
      <c r="C46" s="86"/>
      <c r="D46" s="86"/>
      <c r="E46" s="86"/>
      <c r="F46" s="86"/>
      <c r="G46" s="86"/>
      <c r="H46" s="86"/>
      <c r="I46" s="94" t="s">
        <v>2024</v>
      </c>
    </row>
    <row r="47" spans="1:9" s="86" customFormat="1">
      <c r="A47" s="2044" t="s">
        <v>2599</v>
      </c>
      <c r="B47" s="2044"/>
      <c r="C47" s="2044"/>
      <c r="D47" s="2044"/>
      <c r="E47" s="2044"/>
      <c r="F47" s="2044"/>
      <c r="G47" s="2044"/>
      <c r="H47" s="2044"/>
      <c r="I47" s="2044"/>
    </row>
    <row r="53" spans="2:2">
      <c r="B53" s="22"/>
    </row>
    <row r="54" spans="2:2">
      <c r="B54" s="22"/>
    </row>
    <row r="55" spans="2:2">
      <c r="B55" s="22"/>
    </row>
    <row r="56" spans="2:2">
      <c r="B56" s="22"/>
    </row>
    <row r="57" spans="2:2">
      <c r="B57" s="22"/>
    </row>
    <row r="58" spans="2:2">
      <c r="B58" s="22"/>
    </row>
    <row r="59" spans="2:2">
      <c r="B59" s="22"/>
    </row>
    <row r="60" spans="2:2">
      <c r="B60" s="22"/>
    </row>
    <row r="61" spans="2:2">
      <c r="B61" s="22"/>
    </row>
    <row r="62" spans="2:2">
      <c r="B62" s="22"/>
    </row>
  </sheetData>
  <phoneticPr fontId="0" type="noConversion"/>
  <pageMargins left="0.4" right="0.4" top="0.3" bottom="0.3" header="0.5" footer="0.5"/>
  <pageSetup scale="7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codeName="Sheet34">
    <pageSetUpPr fitToPage="1"/>
  </sheetPr>
  <dimension ref="A1:L137"/>
  <sheetViews>
    <sheetView defaultGridColor="0" colorId="22" zoomScaleNormal="100" workbookViewId="0">
      <pane xSplit="1" ySplit="19" topLeftCell="B20" activePane="bottomRight" state="frozen"/>
      <selection activeCell="R36" sqref="R36"/>
      <selection pane="topRight" activeCell="R36" sqref="R36"/>
      <selection pane="bottomLeft" activeCell="R36" sqref="R36"/>
      <selection pane="bottomRight" activeCell="I18" sqref="I18"/>
    </sheetView>
  </sheetViews>
  <sheetFormatPr defaultColWidth="9.77734375" defaultRowHeight="15"/>
  <cols>
    <col min="1" max="1" width="4.77734375" customWidth="1"/>
    <col min="2" max="2" width="34.21875" customWidth="1"/>
    <col min="3" max="3" width="27.77734375" bestFit="1" customWidth="1"/>
    <col min="4" max="6" width="18.77734375" customWidth="1"/>
    <col min="9" max="9" width="12.21875" bestFit="1" customWidth="1"/>
  </cols>
  <sheetData>
    <row r="1" spans="1:6" ht="15.75" thickBot="1">
      <c r="A1" s="86" t="str">
        <f>'Data sheet'!A67</f>
        <v>Annual Report of Veolia Water New York, Inc.                                                                                                         Year Ended  December 31, 2023</v>
      </c>
      <c r="B1" s="86"/>
      <c r="C1" s="86"/>
      <c r="D1" s="86"/>
      <c r="E1" s="86"/>
      <c r="F1" s="86"/>
    </row>
    <row r="2" spans="1:6">
      <c r="A2" s="129"/>
      <c r="B2" s="130"/>
      <c r="C2" s="130"/>
      <c r="D2" s="130"/>
      <c r="E2" s="130"/>
      <c r="F2" s="131"/>
    </row>
    <row r="3" spans="1:6" ht="15.75">
      <c r="A3" s="118" t="s">
        <v>2600</v>
      </c>
      <c r="B3" s="5"/>
      <c r="C3" s="5"/>
      <c r="D3" s="5"/>
      <c r="E3" s="5"/>
      <c r="F3" s="132"/>
    </row>
    <row r="4" spans="1:6">
      <c r="A4" s="97"/>
      <c r="B4" s="98"/>
      <c r="C4" s="98"/>
      <c r="D4" s="1057"/>
      <c r="E4" s="98"/>
      <c r="F4" s="101"/>
    </row>
    <row r="5" spans="1:6">
      <c r="A5" s="85"/>
      <c r="B5" s="86"/>
      <c r="C5" s="86"/>
      <c r="D5" s="86"/>
      <c r="E5" s="86"/>
      <c r="F5" s="87"/>
    </row>
    <row r="6" spans="1:6">
      <c r="A6" s="85"/>
      <c r="B6" s="108" t="s">
        <v>701</v>
      </c>
      <c r="C6" s="86"/>
      <c r="D6" s="86"/>
      <c r="E6" s="86"/>
      <c r="F6" s="87"/>
    </row>
    <row r="7" spans="1:6">
      <c r="A7" s="85"/>
      <c r="B7" s="108"/>
      <c r="C7" s="86"/>
      <c r="D7" s="86"/>
      <c r="E7" s="86"/>
      <c r="F7" s="87"/>
    </row>
    <row r="8" spans="1:6">
      <c r="A8" s="85"/>
      <c r="B8" s="108" t="s">
        <v>702</v>
      </c>
      <c r="C8" s="86"/>
      <c r="D8" s="86"/>
      <c r="E8" s="86"/>
      <c r="F8" s="87"/>
    </row>
    <row r="9" spans="1:6">
      <c r="A9" s="85"/>
      <c r="B9" s="108" t="s">
        <v>703</v>
      </c>
      <c r="C9" s="86"/>
      <c r="D9" s="86"/>
      <c r="E9" s="86"/>
      <c r="F9" s="87"/>
    </row>
    <row r="10" spans="1:6">
      <c r="A10" s="85"/>
      <c r="B10" s="108"/>
      <c r="C10" s="86"/>
      <c r="D10" s="86"/>
      <c r="E10" s="86"/>
      <c r="F10" s="87"/>
    </row>
    <row r="11" spans="1:6">
      <c r="A11" s="85"/>
      <c r="B11" s="108" t="s">
        <v>3085</v>
      </c>
      <c r="C11" s="86"/>
      <c r="D11" s="86"/>
      <c r="E11" s="86"/>
      <c r="F11" s="87"/>
    </row>
    <row r="12" spans="1:6">
      <c r="A12" s="85"/>
      <c r="B12" s="108"/>
      <c r="C12" s="86"/>
      <c r="D12" s="86"/>
      <c r="E12" s="86"/>
      <c r="F12" s="87"/>
    </row>
    <row r="13" spans="1:6">
      <c r="A13" s="85"/>
      <c r="B13" s="108" t="s">
        <v>734</v>
      </c>
      <c r="C13" s="86"/>
      <c r="D13" s="86"/>
      <c r="E13" s="86"/>
      <c r="F13" s="87"/>
    </row>
    <row r="14" spans="1:6">
      <c r="A14" s="85"/>
      <c r="B14" s="108"/>
      <c r="C14" s="86"/>
      <c r="D14" s="86"/>
      <c r="E14" s="86"/>
      <c r="F14" s="87"/>
    </row>
    <row r="15" spans="1:6">
      <c r="A15" s="85"/>
      <c r="B15" s="108" t="s">
        <v>735</v>
      </c>
      <c r="C15" s="86"/>
      <c r="D15" s="86"/>
      <c r="E15" s="86"/>
      <c r="F15" s="87"/>
    </row>
    <row r="16" spans="1:6">
      <c r="A16" s="97"/>
      <c r="B16" s="98"/>
      <c r="C16" s="98"/>
      <c r="D16" s="98"/>
      <c r="E16" s="98"/>
      <c r="F16" s="101"/>
    </row>
    <row r="17" spans="1:6">
      <c r="A17" s="237"/>
      <c r="B17" s="86"/>
      <c r="C17" s="86"/>
      <c r="D17" s="620" t="s">
        <v>1625</v>
      </c>
      <c r="E17" s="620" t="s">
        <v>736</v>
      </c>
      <c r="F17" s="363" t="s">
        <v>1625</v>
      </c>
    </row>
    <row r="18" spans="1:6">
      <c r="A18" s="237" t="s">
        <v>1727</v>
      </c>
      <c r="B18" s="5" t="s">
        <v>208</v>
      </c>
      <c r="C18" s="5"/>
      <c r="D18" s="620" t="s">
        <v>1956</v>
      </c>
      <c r="E18" s="620" t="s">
        <v>1022</v>
      </c>
      <c r="F18" s="363" t="s">
        <v>1627</v>
      </c>
    </row>
    <row r="19" spans="1:6">
      <c r="A19" s="240" t="s">
        <v>1739</v>
      </c>
      <c r="B19" s="133" t="s">
        <v>3279</v>
      </c>
      <c r="C19" s="133"/>
      <c r="D19" s="621" t="s">
        <v>3280</v>
      </c>
      <c r="E19" s="621" t="s">
        <v>3281</v>
      </c>
      <c r="F19" s="367" t="s">
        <v>3282</v>
      </c>
    </row>
    <row r="20" spans="1:6">
      <c r="A20" s="237">
        <v>1</v>
      </c>
      <c r="B20" s="86" t="s">
        <v>4780</v>
      </c>
      <c r="C20" s="86"/>
      <c r="D20" s="492">
        <v>1401882.5500000007</v>
      </c>
      <c r="E20" s="492"/>
      <c r="F20" s="441">
        <v>1401882.5500000007</v>
      </c>
    </row>
    <row r="21" spans="1:6">
      <c r="A21" s="237">
        <v>2</v>
      </c>
      <c r="B21" s="86"/>
      <c r="C21" s="86"/>
      <c r="D21" s="2594"/>
      <c r="E21" s="2595"/>
      <c r="F21" s="2596"/>
    </row>
    <row r="22" spans="1:6">
      <c r="A22" s="237">
        <v>3</v>
      </c>
      <c r="B22" s="86" t="s">
        <v>5271</v>
      </c>
      <c r="C22" s="86"/>
      <c r="D22" s="508"/>
      <c r="E22" s="426"/>
      <c r="F22" s="442"/>
    </row>
    <row r="23" spans="1:6">
      <c r="A23" s="237">
        <v>4</v>
      </c>
      <c r="B23" s="86"/>
      <c r="C23" s="86"/>
      <c r="D23" s="554"/>
      <c r="E23" s="426"/>
      <c r="F23" s="441"/>
    </row>
    <row r="24" spans="1:6">
      <c r="A24" s="237">
        <v>5</v>
      </c>
      <c r="B24" s="86"/>
      <c r="C24" s="86"/>
      <c r="D24" s="508"/>
      <c r="E24" s="426"/>
      <c r="F24" s="442"/>
    </row>
    <row r="25" spans="1:6">
      <c r="A25" s="237">
        <v>6</v>
      </c>
      <c r="B25" s="86"/>
      <c r="C25" s="86"/>
      <c r="D25" s="508"/>
      <c r="E25" s="426"/>
      <c r="F25" s="442"/>
    </row>
    <row r="26" spans="1:6">
      <c r="A26" s="237">
        <v>7</v>
      </c>
      <c r="B26" s="86" t="s">
        <v>4779</v>
      </c>
      <c r="C26" s="86"/>
      <c r="D26" s="554"/>
      <c r="E26" s="426"/>
      <c r="F26" s="441"/>
    </row>
    <row r="27" spans="1:6">
      <c r="A27" s="237">
        <v>8</v>
      </c>
      <c r="B27" s="86" t="s">
        <v>5272</v>
      </c>
      <c r="C27" s="86"/>
      <c r="D27" s="508"/>
      <c r="E27" s="426"/>
      <c r="F27" s="442"/>
    </row>
    <row r="28" spans="1:6">
      <c r="A28" s="237">
        <v>9</v>
      </c>
      <c r="B28" s="86" t="s">
        <v>4781</v>
      </c>
      <c r="C28" s="86"/>
      <c r="D28" s="508"/>
      <c r="E28" s="508"/>
      <c r="F28" s="442"/>
    </row>
    <row r="29" spans="1:6">
      <c r="A29" s="237">
        <v>10</v>
      </c>
      <c r="B29" s="86" t="s">
        <v>4782</v>
      </c>
      <c r="C29" s="86"/>
      <c r="D29" s="484"/>
      <c r="E29" s="484"/>
      <c r="F29" s="442"/>
    </row>
    <row r="30" spans="1:6">
      <c r="A30" s="237">
        <v>11</v>
      </c>
      <c r="B30" s="86" t="s">
        <v>4783</v>
      </c>
      <c r="C30" s="86"/>
      <c r="D30" s="484"/>
      <c r="E30" s="484"/>
      <c r="F30" s="442"/>
    </row>
    <row r="31" spans="1:6">
      <c r="A31" s="237">
        <v>12</v>
      </c>
      <c r="B31" s="86" t="s">
        <v>5273</v>
      </c>
      <c r="C31" s="86"/>
      <c r="D31" s="484"/>
      <c r="E31" s="484"/>
      <c r="F31" s="442"/>
    </row>
    <row r="32" spans="1:6">
      <c r="A32" s="237">
        <v>13</v>
      </c>
      <c r="B32" s="86"/>
      <c r="C32" s="86"/>
      <c r="D32" s="484"/>
      <c r="E32" s="484"/>
      <c r="F32" s="442"/>
    </row>
    <row r="33" spans="1:6">
      <c r="A33" s="237">
        <v>14</v>
      </c>
      <c r="B33" s="86"/>
      <c r="C33" s="86"/>
      <c r="D33" s="484"/>
      <c r="E33" s="484"/>
      <c r="F33" s="442"/>
    </row>
    <row r="34" spans="1:6">
      <c r="A34" s="237">
        <v>15</v>
      </c>
      <c r="B34" s="86"/>
      <c r="C34" s="86"/>
      <c r="D34" s="484"/>
      <c r="E34" s="484"/>
      <c r="F34" s="442"/>
    </row>
    <row r="35" spans="1:6">
      <c r="A35" s="237">
        <v>16</v>
      </c>
      <c r="B35" s="86"/>
      <c r="C35" s="86"/>
      <c r="D35" s="484"/>
      <c r="E35" s="484"/>
      <c r="F35" s="442"/>
    </row>
    <row r="36" spans="1:6">
      <c r="A36" s="237">
        <v>17</v>
      </c>
      <c r="B36" s="86"/>
      <c r="C36" s="86"/>
      <c r="D36" s="484"/>
      <c r="E36" s="484"/>
      <c r="F36" s="442"/>
    </row>
    <row r="37" spans="1:6">
      <c r="A37" s="237">
        <v>18</v>
      </c>
      <c r="B37" s="86"/>
      <c r="C37" s="86"/>
      <c r="D37" s="484"/>
      <c r="E37" s="484"/>
      <c r="F37" s="442"/>
    </row>
    <row r="38" spans="1:6">
      <c r="A38" s="237">
        <v>19</v>
      </c>
      <c r="B38" s="86"/>
      <c r="C38" s="86"/>
      <c r="D38" s="484"/>
      <c r="E38" s="484"/>
      <c r="F38" s="442"/>
    </row>
    <row r="39" spans="1:6">
      <c r="A39" s="237">
        <v>20</v>
      </c>
      <c r="B39" s="86"/>
      <c r="C39" s="86"/>
      <c r="D39" s="484"/>
      <c r="E39" s="484"/>
      <c r="F39" s="442"/>
    </row>
    <row r="40" spans="1:6">
      <c r="A40" s="237">
        <v>21</v>
      </c>
      <c r="B40" s="86"/>
      <c r="C40" s="86"/>
      <c r="D40" s="484"/>
      <c r="E40" s="484"/>
      <c r="F40" s="442"/>
    </row>
    <row r="41" spans="1:6">
      <c r="A41" s="237">
        <v>22</v>
      </c>
      <c r="B41" s="86"/>
      <c r="C41" s="86"/>
      <c r="D41" s="484"/>
      <c r="E41" s="484"/>
      <c r="F41" s="442"/>
    </row>
    <row r="42" spans="1:6">
      <c r="A42" s="237">
        <v>23</v>
      </c>
      <c r="B42" s="86"/>
      <c r="C42" s="86"/>
      <c r="D42" s="484"/>
      <c r="E42" s="484"/>
      <c r="F42" s="442"/>
    </row>
    <row r="43" spans="1:6">
      <c r="A43" s="237">
        <v>24</v>
      </c>
      <c r="B43" s="86"/>
      <c r="C43" s="86"/>
      <c r="D43" s="484"/>
      <c r="E43" s="484"/>
      <c r="F43" s="442"/>
    </row>
    <row r="44" spans="1:6">
      <c r="A44" s="237">
        <v>25</v>
      </c>
      <c r="B44" s="86"/>
      <c r="C44" s="86"/>
      <c r="D44" s="484"/>
      <c r="E44" s="484"/>
      <c r="F44" s="442"/>
    </row>
    <row r="45" spans="1:6">
      <c r="A45" s="237">
        <v>26</v>
      </c>
      <c r="B45" s="86"/>
      <c r="C45" s="86"/>
      <c r="D45" s="484"/>
      <c r="E45" s="484"/>
      <c r="F45" s="442"/>
    </row>
    <row r="46" spans="1:6">
      <c r="A46" s="237">
        <v>27</v>
      </c>
      <c r="B46" s="86"/>
      <c r="C46" s="86"/>
      <c r="D46" s="484"/>
      <c r="E46" s="484"/>
      <c r="F46" s="442"/>
    </row>
    <row r="47" spans="1:6">
      <c r="A47" s="237">
        <v>28</v>
      </c>
      <c r="B47" s="86"/>
      <c r="C47" s="86"/>
      <c r="D47" s="484"/>
      <c r="E47" s="484"/>
      <c r="F47" s="442"/>
    </row>
    <row r="48" spans="1:6">
      <c r="A48" s="237">
        <v>29</v>
      </c>
      <c r="B48" s="86"/>
      <c r="C48" s="86"/>
      <c r="D48" s="484"/>
      <c r="E48" s="484"/>
      <c r="F48" s="442"/>
    </row>
    <row r="49" spans="1:12">
      <c r="A49" s="237">
        <v>30</v>
      </c>
      <c r="B49" s="86"/>
      <c r="C49" s="86"/>
      <c r="D49" s="484"/>
      <c r="E49" s="484"/>
      <c r="F49" s="442"/>
    </row>
    <row r="50" spans="1:12">
      <c r="A50" s="237">
        <v>31</v>
      </c>
      <c r="B50" s="86"/>
      <c r="C50" s="86"/>
      <c r="D50" s="484"/>
      <c r="E50" s="484"/>
      <c r="F50" s="442"/>
    </row>
    <row r="51" spans="1:12">
      <c r="A51" s="237">
        <v>32</v>
      </c>
      <c r="B51" s="86"/>
      <c r="C51" s="86"/>
      <c r="D51" s="484"/>
      <c r="E51" s="484"/>
      <c r="F51" s="442"/>
    </row>
    <row r="52" spans="1:12">
      <c r="A52" s="237">
        <v>33</v>
      </c>
      <c r="B52" s="86"/>
      <c r="C52" s="86"/>
      <c r="D52" s="484"/>
      <c r="E52" s="484"/>
      <c r="F52" s="442"/>
    </row>
    <row r="53" spans="1:12">
      <c r="A53" s="237">
        <v>34</v>
      </c>
      <c r="B53" s="86"/>
      <c r="C53" s="86"/>
      <c r="D53" s="484"/>
      <c r="E53" s="484"/>
      <c r="F53" s="442"/>
    </row>
    <row r="54" spans="1:12">
      <c r="A54" s="237">
        <v>35</v>
      </c>
      <c r="B54" s="86"/>
      <c r="C54" s="86"/>
      <c r="D54" s="484"/>
      <c r="E54" s="484"/>
      <c r="F54" s="442"/>
    </row>
    <row r="55" spans="1:12">
      <c r="A55" s="237">
        <v>36</v>
      </c>
      <c r="B55" s="86"/>
      <c r="C55" s="86"/>
      <c r="D55" s="484"/>
      <c r="E55" s="484"/>
      <c r="F55" s="442"/>
    </row>
    <row r="56" spans="1:12">
      <c r="A56" s="237">
        <v>37</v>
      </c>
      <c r="B56" s="86"/>
      <c r="C56" s="86"/>
      <c r="D56" s="484"/>
      <c r="E56" s="484"/>
      <c r="F56" s="442"/>
    </row>
    <row r="57" spans="1:12">
      <c r="A57" s="237">
        <v>38</v>
      </c>
      <c r="B57" s="86"/>
      <c r="C57" s="86"/>
      <c r="D57" s="484"/>
      <c r="E57" s="484"/>
      <c r="F57" s="442"/>
    </row>
    <row r="58" spans="1:12">
      <c r="A58" s="237">
        <v>39</v>
      </c>
      <c r="B58" s="86"/>
      <c r="C58" s="86"/>
      <c r="D58" s="484"/>
      <c r="E58" s="484"/>
      <c r="F58" s="442"/>
    </row>
    <row r="59" spans="1:12">
      <c r="A59" s="237">
        <v>40</v>
      </c>
      <c r="B59" s="86"/>
      <c r="C59" s="86"/>
      <c r="D59" s="484"/>
      <c r="E59" s="484"/>
      <c r="F59" s="442"/>
    </row>
    <row r="60" spans="1:12">
      <c r="A60" s="237">
        <v>41</v>
      </c>
      <c r="B60" s="86"/>
      <c r="C60" s="86"/>
      <c r="D60" s="484"/>
      <c r="E60" s="484"/>
      <c r="F60" s="442"/>
    </row>
    <row r="61" spans="1:12">
      <c r="A61" s="237">
        <v>42</v>
      </c>
      <c r="B61" s="86" t="s">
        <v>1023</v>
      </c>
      <c r="C61" s="86"/>
      <c r="D61" s="484"/>
      <c r="E61" s="484"/>
      <c r="F61" s="442"/>
      <c r="I61" s="86"/>
    </row>
    <row r="62" spans="1:12" ht="15.75" thickBot="1">
      <c r="A62" s="397">
        <v>43</v>
      </c>
      <c r="B62" s="485" t="s">
        <v>2245</v>
      </c>
      <c r="C62" s="485"/>
      <c r="D62" s="486">
        <f>SUM(D20:D61)</f>
        <v>1401882.5500000007</v>
      </c>
      <c r="E62" s="486">
        <f>SUM(E20:E61)</f>
        <v>0</v>
      </c>
      <c r="F62" s="401">
        <f>SUM(F20:F61)</f>
        <v>1401882.5500000007</v>
      </c>
      <c r="G62" t="str">
        <f>IF(ROUND(F62,0)=ROUND('114115'!F13,0),"ok","error")</f>
        <v>ok</v>
      </c>
      <c r="H62" s="140"/>
      <c r="I62" s="198"/>
      <c r="J62" s="86"/>
      <c r="L62" s="86"/>
    </row>
    <row r="63" spans="1:12">
      <c r="A63" s="86" t="s">
        <v>2024</v>
      </c>
      <c r="B63" s="86"/>
      <c r="C63" s="86"/>
      <c r="D63" s="86"/>
      <c r="E63" s="86"/>
      <c r="F63" s="86"/>
    </row>
    <row r="64" spans="1:12">
      <c r="A64" s="5" t="s">
        <v>2246</v>
      </c>
      <c r="B64" s="5"/>
      <c r="C64" s="5"/>
      <c r="D64" s="5"/>
      <c r="E64" s="5"/>
      <c r="F64" s="5"/>
    </row>
    <row r="65" spans="1:6">
      <c r="A65" s="86"/>
      <c r="B65" s="86"/>
      <c r="C65" s="86"/>
      <c r="D65" s="86"/>
      <c r="E65" s="86"/>
      <c r="F65" s="86"/>
    </row>
    <row r="66" spans="1:6">
      <c r="A66" s="86"/>
      <c r="B66" s="86"/>
      <c r="C66" s="86"/>
      <c r="D66" s="86"/>
      <c r="E66" s="86"/>
      <c r="F66" s="86"/>
    </row>
    <row r="67" spans="1:6">
      <c r="A67" s="86"/>
      <c r="B67" s="86"/>
      <c r="C67" s="86"/>
      <c r="D67" s="86"/>
      <c r="E67" s="86"/>
      <c r="F67" s="86"/>
    </row>
    <row r="68" spans="1:6">
      <c r="A68" s="86"/>
      <c r="B68" s="86"/>
      <c r="C68" s="86"/>
      <c r="D68" s="86"/>
      <c r="E68" s="86"/>
      <c r="F68" s="86"/>
    </row>
    <row r="69" spans="1:6">
      <c r="A69" s="86"/>
      <c r="B69" s="86"/>
      <c r="C69" s="86"/>
      <c r="D69" s="86"/>
      <c r="E69" s="86"/>
      <c r="F69" s="86"/>
    </row>
    <row r="70" spans="1:6">
      <c r="A70" s="86"/>
      <c r="B70" s="86"/>
      <c r="C70" s="86"/>
      <c r="D70" s="86"/>
      <c r="E70" s="86"/>
      <c r="F70" s="86"/>
    </row>
    <row r="71" spans="1:6">
      <c r="A71" s="86"/>
      <c r="B71" s="86"/>
      <c r="C71" s="86"/>
      <c r="D71" s="86"/>
      <c r="E71" s="86"/>
      <c r="F71" s="86"/>
    </row>
    <row r="72" spans="1:6">
      <c r="A72" s="86"/>
      <c r="B72" s="86"/>
      <c r="C72" s="86"/>
      <c r="D72" s="86"/>
      <c r="E72" s="86"/>
      <c r="F72" s="86"/>
    </row>
    <row r="73" spans="1:6">
      <c r="A73" s="86"/>
      <c r="B73" s="86"/>
      <c r="C73" s="86"/>
      <c r="D73" s="86"/>
      <c r="E73" s="86"/>
      <c r="F73" s="86"/>
    </row>
    <row r="74" spans="1:6">
      <c r="A74" s="86"/>
      <c r="B74" s="86"/>
      <c r="C74" s="86"/>
      <c r="D74" s="86"/>
      <c r="E74" s="86"/>
      <c r="F74" s="86"/>
    </row>
    <row r="75" spans="1:6">
      <c r="A75" s="86"/>
      <c r="B75" s="86"/>
      <c r="C75" s="86"/>
      <c r="D75" s="86"/>
      <c r="E75" s="86"/>
      <c r="F75" s="86"/>
    </row>
    <row r="76" spans="1:6">
      <c r="A76" s="86"/>
      <c r="B76" s="86"/>
      <c r="C76" s="86"/>
      <c r="D76" s="86"/>
      <c r="E76" s="86"/>
      <c r="F76" s="86"/>
    </row>
    <row r="77" spans="1:6">
      <c r="A77" s="86"/>
      <c r="B77" s="86"/>
      <c r="C77" s="86"/>
      <c r="D77" s="86"/>
      <c r="E77" s="86"/>
      <c r="F77" s="86"/>
    </row>
    <row r="78" spans="1:6">
      <c r="A78" s="86"/>
      <c r="B78" s="86"/>
      <c r="C78" s="86"/>
      <c r="D78" s="86"/>
      <c r="E78" s="86"/>
      <c r="F78" s="86"/>
    </row>
    <row r="79" spans="1:6">
      <c r="A79" s="86"/>
      <c r="B79" s="86"/>
      <c r="C79" s="86"/>
      <c r="D79" s="86"/>
      <c r="E79" s="86"/>
      <c r="F79" s="86"/>
    </row>
    <row r="80" spans="1:6">
      <c r="A80" s="86"/>
      <c r="B80" s="86"/>
      <c r="C80" s="86"/>
      <c r="D80" s="86"/>
      <c r="E80" s="86"/>
      <c r="F80" s="86"/>
    </row>
    <row r="81" spans="1:6">
      <c r="A81" s="86"/>
      <c r="B81" s="86"/>
      <c r="C81" s="86"/>
      <c r="D81" s="86"/>
      <c r="E81" s="86"/>
      <c r="F81" s="86"/>
    </row>
    <row r="82" spans="1:6">
      <c r="A82" s="86"/>
      <c r="B82" s="86"/>
      <c r="C82" s="86"/>
      <c r="D82" s="86"/>
      <c r="E82" s="86"/>
      <c r="F82" s="86"/>
    </row>
    <row r="83" spans="1:6">
      <c r="A83" s="86"/>
      <c r="B83" s="86"/>
      <c r="C83" s="86"/>
      <c r="D83" s="86"/>
      <c r="E83" s="86"/>
      <c r="F83" s="86"/>
    </row>
    <row r="84" spans="1:6">
      <c r="A84" s="86"/>
      <c r="B84" s="86"/>
      <c r="C84" s="86"/>
      <c r="D84" s="86"/>
      <c r="E84" s="86"/>
      <c r="F84" s="86"/>
    </row>
    <row r="85" spans="1:6">
      <c r="A85" s="86"/>
      <c r="B85" s="86"/>
      <c r="C85" s="86"/>
      <c r="D85" s="86"/>
      <c r="E85" s="86"/>
      <c r="F85" s="86"/>
    </row>
    <row r="86" spans="1:6">
      <c r="A86" s="86"/>
      <c r="B86" s="86"/>
      <c r="C86" s="86"/>
      <c r="D86" s="86"/>
      <c r="E86" s="86"/>
      <c r="F86" s="86"/>
    </row>
    <row r="87" spans="1:6">
      <c r="A87" s="86"/>
      <c r="B87" s="86"/>
      <c r="C87" s="86"/>
      <c r="D87" s="86"/>
      <c r="E87" s="86"/>
      <c r="F87" s="86"/>
    </row>
    <row r="88" spans="1:6">
      <c r="A88" s="86"/>
      <c r="B88" s="86"/>
      <c r="C88" s="86"/>
      <c r="D88" s="86"/>
      <c r="E88" s="86"/>
      <c r="F88" s="86"/>
    </row>
    <row r="89" spans="1:6">
      <c r="A89" s="86"/>
      <c r="B89" s="86"/>
      <c r="C89" s="86"/>
      <c r="D89" s="86"/>
      <c r="E89" s="86"/>
      <c r="F89" s="86"/>
    </row>
    <row r="90" spans="1:6">
      <c r="A90" s="86"/>
      <c r="B90" s="86"/>
      <c r="C90" s="86"/>
      <c r="D90" s="86"/>
      <c r="E90" s="86"/>
      <c r="F90" s="86"/>
    </row>
    <row r="91" spans="1:6">
      <c r="A91" s="86"/>
      <c r="B91" s="86"/>
      <c r="C91" s="86"/>
      <c r="D91" s="86"/>
      <c r="E91" s="86"/>
      <c r="F91" s="86"/>
    </row>
    <row r="92" spans="1:6">
      <c r="A92" s="86"/>
      <c r="B92" s="86"/>
      <c r="C92" s="86"/>
      <c r="D92" s="86"/>
      <c r="E92" s="86"/>
      <c r="F92" s="86"/>
    </row>
    <row r="93" spans="1:6">
      <c r="A93" s="86"/>
      <c r="B93" s="86"/>
      <c r="C93" s="86"/>
      <c r="D93" s="86"/>
      <c r="E93" s="86"/>
      <c r="F93" s="86"/>
    </row>
    <row r="94" spans="1:6">
      <c r="A94" s="86"/>
      <c r="B94" s="86"/>
      <c r="C94" s="86"/>
      <c r="D94" s="86"/>
      <c r="E94" s="86"/>
      <c r="F94" s="86"/>
    </row>
    <row r="95" spans="1:6">
      <c r="A95" s="86"/>
      <c r="B95" s="86"/>
      <c r="C95" s="86"/>
      <c r="D95" s="86"/>
      <c r="E95" s="86"/>
      <c r="F95" s="86"/>
    </row>
    <row r="96" spans="1:6">
      <c r="A96" s="86"/>
      <c r="B96" s="86"/>
      <c r="C96" s="86"/>
      <c r="D96" s="86"/>
      <c r="E96" s="86"/>
      <c r="F96" s="86"/>
    </row>
    <row r="97" spans="1:6">
      <c r="A97" s="86"/>
      <c r="B97" s="86"/>
      <c r="C97" s="86"/>
      <c r="D97" s="86"/>
      <c r="E97" s="86"/>
      <c r="F97" s="86"/>
    </row>
    <row r="98" spans="1:6">
      <c r="A98" s="86"/>
      <c r="B98" s="86"/>
      <c r="C98" s="86"/>
      <c r="D98" s="86"/>
      <c r="E98" s="86"/>
      <c r="F98" s="86"/>
    </row>
    <row r="99" spans="1:6">
      <c r="A99" s="86"/>
      <c r="B99" s="86"/>
      <c r="C99" s="86"/>
      <c r="D99" s="86"/>
      <c r="E99" s="86"/>
      <c r="F99" s="86"/>
    </row>
    <row r="100" spans="1:6">
      <c r="A100" s="86"/>
      <c r="B100" s="86"/>
      <c r="C100" s="86"/>
      <c r="D100" s="86"/>
      <c r="E100" s="86"/>
      <c r="F100" s="86"/>
    </row>
    <row r="101" spans="1:6">
      <c r="A101" s="86"/>
      <c r="B101" s="86"/>
      <c r="C101" s="86"/>
      <c r="D101" s="86"/>
      <c r="E101" s="86"/>
      <c r="F101" s="86"/>
    </row>
    <row r="102" spans="1:6">
      <c r="A102" s="86"/>
      <c r="B102" s="86"/>
      <c r="C102" s="86"/>
      <c r="D102" s="86"/>
      <c r="E102" s="86"/>
      <c r="F102" s="86"/>
    </row>
    <row r="103" spans="1:6">
      <c r="A103" s="86"/>
      <c r="B103" s="86"/>
      <c r="C103" s="86"/>
      <c r="D103" s="86"/>
      <c r="E103" s="86"/>
      <c r="F103" s="86"/>
    </row>
    <row r="104" spans="1:6">
      <c r="A104" s="86"/>
      <c r="B104" s="86"/>
      <c r="C104" s="86"/>
      <c r="D104" s="86"/>
      <c r="E104" s="86"/>
      <c r="F104" s="86"/>
    </row>
    <row r="105" spans="1:6">
      <c r="A105" s="86"/>
      <c r="B105" s="86"/>
      <c r="C105" s="86"/>
      <c r="D105" s="86"/>
      <c r="E105" s="86"/>
      <c r="F105" s="86"/>
    </row>
    <row r="106" spans="1:6">
      <c r="A106" s="86"/>
      <c r="B106" s="86"/>
      <c r="C106" s="86"/>
      <c r="D106" s="86"/>
      <c r="E106" s="86"/>
      <c r="F106" s="86"/>
    </row>
    <row r="107" spans="1:6">
      <c r="A107" s="86"/>
      <c r="B107" s="86"/>
      <c r="C107" s="86"/>
      <c r="D107" s="86"/>
      <c r="E107" s="86"/>
      <c r="F107" s="86"/>
    </row>
    <row r="108" spans="1:6">
      <c r="A108" s="86"/>
      <c r="B108" s="86"/>
      <c r="C108" s="86"/>
      <c r="D108" s="86"/>
      <c r="E108" s="86"/>
      <c r="F108" s="86"/>
    </row>
    <row r="109" spans="1:6">
      <c r="A109" s="86"/>
      <c r="B109" s="86"/>
      <c r="C109" s="86"/>
      <c r="D109" s="86"/>
      <c r="E109" s="86"/>
      <c r="F109" s="86"/>
    </row>
    <row r="110" spans="1:6">
      <c r="A110" s="86"/>
      <c r="B110" s="86"/>
      <c r="C110" s="86"/>
      <c r="D110" s="86"/>
      <c r="E110" s="86"/>
      <c r="F110" s="86"/>
    </row>
    <row r="111" spans="1:6">
      <c r="A111" s="86"/>
      <c r="B111" s="86"/>
      <c r="C111" s="86"/>
      <c r="D111" s="86"/>
      <c r="E111" s="86"/>
      <c r="F111" s="86"/>
    </row>
    <row r="112" spans="1:6">
      <c r="A112" s="86"/>
      <c r="B112" s="86"/>
      <c r="C112" s="86"/>
      <c r="D112" s="86"/>
      <c r="E112" s="86"/>
      <c r="F112" s="86"/>
    </row>
    <row r="113" spans="1:6">
      <c r="A113" s="86"/>
      <c r="B113" s="86"/>
      <c r="C113" s="86"/>
      <c r="D113" s="86"/>
      <c r="E113" s="86"/>
      <c r="F113" s="86"/>
    </row>
    <row r="114" spans="1:6">
      <c r="A114" s="86"/>
      <c r="B114" s="86"/>
      <c r="C114" s="86"/>
      <c r="D114" s="86"/>
      <c r="E114" s="86"/>
      <c r="F114" s="86"/>
    </row>
    <row r="115" spans="1:6">
      <c r="A115" s="86"/>
      <c r="B115" s="86"/>
      <c r="C115" s="86"/>
      <c r="D115" s="86"/>
      <c r="E115" s="86"/>
      <c r="F115" s="86"/>
    </row>
    <row r="116" spans="1:6">
      <c r="A116" s="86"/>
      <c r="B116" s="86"/>
      <c r="C116" s="86"/>
      <c r="D116" s="86"/>
      <c r="E116" s="86"/>
      <c r="F116" s="86"/>
    </row>
    <row r="117" spans="1:6">
      <c r="A117" s="86"/>
      <c r="B117" s="86"/>
      <c r="C117" s="86"/>
      <c r="D117" s="86"/>
      <c r="E117" s="86"/>
      <c r="F117" s="86"/>
    </row>
    <row r="118" spans="1:6">
      <c r="A118" s="86"/>
      <c r="B118" s="86"/>
      <c r="C118" s="86"/>
      <c r="D118" s="86"/>
      <c r="E118" s="86"/>
      <c r="F118" s="86"/>
    </row>
    <row r="119" spans="1:6">
      <c r="A119" s="86"/>
      <c r="B119" s="86"/>
      <c r="C119" s="86"/>
      <c r="D119" s="86"/>
      <c r="E119" s="86"/>
      <c r="F119" s="86"/>
    </row>
    <row r="120" spans="1:6">
      <c r="A120" s="86"/>
      <c r="B120" s="86"/>
      <c r="C120" s="86"/>
      <c r="D120" s="86"/>
      <c r="E120" s="86"/>
      <c r="F120" s="86"/>
    </row>
    <row r="121" spans="1:6">
      <c r="A121" s="86"/>
      <c r="B121" s="86"/>
      <c r="C121" s="86"/>
      <c r="D121" s="86"/>
      <c r="E121" s="86"/>
      <c r="F121" s="86"/>
    </row>
    <row r="122" spans="1:6">
      <c r="A122" s="86"/>
      <c r="B122" s="86"/>
      <c r="C122" s="86"/>
      <c r="D122" s="86"/>
      <c r="E122" s="86"/>
      <c r="F122" s="86"/>
    </row>
    <row r="123" spans="1:6">
      <c r="A123" s="86"/>
      <c r="B123" s="86"/>
      <c r="C123" s="86"/>
      <c r="D123" s="86"/>
      <c r="E123" s="86"/>
      <c r="F123" s="86"/>
    </row>
    <row r="124" spans="1:6">
      <c r="A124" s="86"/>
      <c r="B124" s="86"/>
      <c r="C124" s="86"/>
      <c r="D124" s="86"/>
      <c r="E124" s="86"/>
      <c r="F124" s="86"/>
    </row>
    <row r="125" spans="1:6">
      <c r="A125" s="86"/>
      <c r="B125" s="86"/>
      <c r="C125" s="86"/>
      <c r="D125" s="86"/>
      <c r="E125" s="86"/>
      <c r="F125" s="86"/>
    </row>
    <row r="126" spans="1:6">
      <c r="A126" s="86"/>
      <c r="B126" s="86"/>
      <c r="C126" s="86"/>
      <c r="D126" s="86"/>
      <c r="E126" s="86"/>
      <c r="F126" s="86"/>
    </row>
    <row r="127" spans="1:6">
      <c r="A127" s="86"/>
      <c r="B127" s="86"/>
      <c r="C127" s="86"/>
      <c r="D127" s="86"/>
      <c r="E127" s="86"/>
      <c r="F127" s="86"/>
    </row>
    <row r="128" spans="1:6">
      <c r="A128" s="86"/>
      <c r="B128" s="86"/>
      <c r="C128" s="86"/>
      <c r="D128" s="86"/>
      <c r="E128" s="86"/>
      <c r="F128" s="86"/>
    </row>
    <row r="129" spans="1:6">
      <c r="A129" s="86"/>
      <c r="B129" s="86"/>
      <c r="C129" s="86"/>
      <c r="D129" s="86"/>
      <c r="E129" s="86"/>
      <c r="F129" s="86"/>
    </row>
    <row r="130" spans="1:6">
      <c r="A130" s="86"/>
      <c r="B130" s="86"/>
      <c r="C130" s="86"/>
      <c r="D130" s="86"/>
      <c r="E130" s="86"/>
      <c r="F130" s="86"/>
    </row>
    <row r="131" spans="1:6">
      <c r="A131" s="86"/>
      <c r="B131" s="86"/>
      <c r="C131" s="86"/>
      <c r="D131" s="86"/>
      <c r="E131" s="86"/>
      <c r="F131" s="86"/>
    </row>
    <row r="132" spans="1:6">
      <c r="A132" s="86"/>
      <c r="B132" s="86"/>
      <c r="C132" s="86"/>
      <c r="D132" s="86"/>
      <c r="E132" s="86"/>
      <c r="F132" s="86"/>
    </row>
    <row r="133" spans="1:6">
      <c r="A133" s="86"/>
      <c r="B133" s="86"/>
      <c r="C133" s="86"/>
      <c r="D133" s="86"/>
      <c r="E133" s="86"/>
      <c r="F133" s="86"/>
    </row>
    <row r="134" spans="1:6">
      <c r="A134" s="86"/>
      <c r="B134" s="86"/>
      <c r="C134" s="86"/>
      <c r="D134" s="86"/>
      <c r="E134" s="86"/>
      <c r="F134" s="86"/>
    </row>
    <row r="135" spans="1:6">
      <c r="A135" s="86"/>
      <c r="B135" s="86"/>
      <c r="C135" s="86"/>
      <c r="D135" s="86"/>
      <c r="E135" s="86"/>
      <c r="F135" s="86"/>
    </row>
    <row r="136" spans="1:6">
      <c r="A136" s="86"/>
      <c r="B136" s="86"/>
      <c r="C136" s="86"/>
      <c r="D136" s="86"/>
      <c r="E136" s="86"/>
      <c r="F136" s="86"/>
    </row>
    <row r="137" spans="1:6">
      <c r="A137" s="86"/>
      <c r="B137" s="86"/>
      <c r="C137" s="86"/>
      <c r="D137" s="86"/>
      <c r="E137" s="86"/>
      <c r="F137" s="86"/>
    </row>
  </sheetData>
  <phoneticPr fontId="0" type="noConversion"/>
  <printOptions horizontalCentered="1" verticalCentered="1"/>
  <pageMargins left="0.4" right="0.4" top="0.3" bottom="0.3" header="0" footer="0"/>
  <pageSetup scale="66"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ransitionEvaluation="1" codeName="Sheet35">
    <pageSetUpPr fitToPage="1"/>
  </sheetPr>
  <dimension ref="A1:D210"/>
  <sheetViews>
    <sheetView defaultGridColor="0" topLeftCell="A5" colorId="22" zoomScaleNormal="100" workbookViewId="0">
      <selection activeCell="C30" sqref="C30"/>
    </sheetView>
  </sheetViews>
  <sheetFormatPr defaultColWidth="9.77734375" defaultRowHeight="15"/>
  <cols>
    <col min="1" max="1" width="5.77734375" customWidth="1"/>
    <col min="2" max="2" width="79.6640625" customWidth="1"/>
    <col min="3" max="3" width="19.6640625" customWidth="1"/>
  </cols>
  <sheetData>
    <row r="1" spans="1:4" ht="15.75" thickBot="1">
      <c r="A1" s="86" t="str">
        <f>'Data sheet'!A57</f>
        <v>Annual Report of Veolia Water New York, Inc.                                              Year Ended  December 31, 2023</v>
      </c>
      <c r="B1" s="98"/>
      <c r="C1" s="86"/>
      <c r="D1" s="86"/>
    </row>
    <row r="2" spans="1:4" ht="15.75">
      <c r="A2" s="493"/>
      <c r="B2" s="494"/>
      <c r="C2" s="495"/>
      <c r="D2" s="86"/>
    </row>
    <row r="3" spans="1:4" ht="15.75">
      <c r="A3" s="118" t="s">
        <v>2247</v>
      </c>
      <c r="B3" s="3"/>
      <c r="C3" s="132"/>
      <c r="D3" s="86"/>
    </row>
    <row r="4" spans="1:4" ht="15.75">
      <c r="A4" s="118" t="s">
        <v>2248</v>
      </c>
      <c r="B4" s="3"/>
      <c r="C4" s="132"/>
      <c r="D4" s="86"/>
    </row>
    <row r="5" spans="1:4">
      <c r="A5" s="85"/>
      <c r="B5" s="86"/>
      <c r="C5" s="87"/>
      <c r="D5" s="86"/>
    </row>
    <row r="6" spans="1:4">
      <c r="A6" s="85"/>
      <c r="B6" s="108" t="s">
        <v>2249</v>
      </c>
      <c r="C6" s="87"/>
      <c r="D6" s="86"/>
    </row>
    <row r="7" spans="1:4">
      <c r="A7" s="85"/>
      <c r="B7" s="108" t="s">
        <v>3229</v>
      </c>
      <c r="C7" s="87"/>
      <c r="D7" s="86"/>
    </row>
    <row r="8" spans="1:4">
      <c r="A8" s="85"/>
      <c r="B8" s="108"/>
      <c r="C8" s="87"/>
      <c r="D8" s="86"/>
    </row>
    <row r="9" spans="1:4">
      <c r="A9" s="85"/>
      <c r="B9" s="108" t="s">
        <v>3230</v>
      </c>
      <c r="C9" s="87"/>
      <c r="D9" s="86"/>
    </row>
    <row r="10" spans="1:4">
      <c r="A10" s="85"/>
      <c r="B10" s="108"/>
      <c r="C10" s="87"/>
      <c r="D10" s="86"/>
    </row>
    <row r="11" spans="1:4">
      <c r="A11" s="85"/>
      <c r="B11" s="108" t="s">
        <v>2453</v>
      </c>
      <c r="C11" s="87"/>
      <c r="D11" s="86"/>
    </row>
    <row r="12" spans="1:4">
      <c r="A12" s="85"/>
      <c r="B12" s="108"/>
      <c r="C12" s="87"/>
      <c r="D12" s="86"/>
    </row>
    <row r="13" spans="1:4">
      <c r="A13" s="85"/>
      <c r="B13" s="108" t="s">
        <v>3371</v>
      </c>
      <c r="C13" s="87"/>
      <c r="D13" s="86"/>
    </row>
    <row r="14" spans="1:4">
      <c r="A14" s="85"/>
      <c r="B14" s="108" t="s">
        <v>1839</v>
      </c>
      <c r="C14" s="87"/>
      <c r="D14" s="86"/>
    </row>
    <row r="15" spans="1:4">
      <c r="A15" s="97"/>
      <c r="B15" s="98"/>
      <c r="C15" s="101"/>
      <c r="D15" s="86"/>
    </row>
    <row r="16" spans="1:4">
      <c r="A16" s="237"/>
      <c r="B16" s="86"/>
      <c r="C16" s="363" t="s">
        <v>1840</v>
      </c>
      <c r="D16" s="86"/>
    </row>
    <row r="17" spans="1:4">
      <c r="A17" s="237" t="s">
        <v>1727</v>
      </c>
      <c r="B17" s="94" t="s">
        <v>1508</v>
      </c>
      <c r="C17" s="363" t="s">
        <v>1627</v>
      </c>
      <c r="D17" s="86"/>
    </row>
    <row r="18" spans="1:4">
      <c r="A18" s="240" t="s">
        <v>1739</v>
      </c>
      <c r="B18" s="996" t="s">
        <v>3279</v>
      </c>
      <c r="C18" s="367" t="s">
        <v>3280</v>
      </c>
      <c r="D18" s="86"/>
    </row>
    <row r="19" spans="1:4">
      <c r="A19" s="237">
        <v>1</v>
      </c>
      <c r="B19" s="86"/>
      <c r="C19" s="441"/>
      <c r="D19" s="86"/>
    </row>
    <row r="20" spans="1:4">
      <c r="A20" s="237">
        <v>2</v>
      </c>
      <c r="B20" s="94" t="s">
        <v>2289</v>
      </c>
      <c r="C20" s="442"/>
      <c r="D20" s="86"/>
    </row>
    <row r="21" spans="1:4">
      <c r="A21" s="237">
        <v>3</v>
      </c>
      <c r="B21" s="86"/>
      <c r="C21" s="442"/>
      <c r="D21" s="86"/>
    </row>
    <row r="22" spans="1:4">
      <c r="A22" s="237">
        <v>4</v>
      </c>
      <c r="B22" s="86"/>
      <c r="C22" s="442"/>
      <c r="D22" s="86"/>
    </row>
    <row r="23" spans="1:4">
      <c r="A23" s="237">
        <v>5</v>
      </c>
      <c r="B23" s="98"/>
      <c r="C23" s="445"/>
      <c r="D23" s="86"/>
    </row>
    <row r="24" spans="1:4">
      <c r="A24" s="237">
        <v>6</v>
      </c>
      <c r="B24" s="98" t="s">
        <v>1509</v>
      </c>
      <c r="C24" s="441">
        <f>SUM(C19:C23)</f>
        <v>0</v>
      </c>
      <c r="D24" s="86"/>
    </row>
    <row r="25" spans="1:4">
      <c r="A25" s="237">
        <v>7</v>
      </c>
      <c r="B25" s="86"/>
      <c r="C25" s="496"/>
      <c r="D25" s="86"/>
    </row>
    <row r="26" spans="1:4">
      <c r="A26" s="237">
        <v>8</v>
      </c>
      <c r="B26" s="86"/>
      <c r="C26" s="442"/>
      <c r="D26" s="86"/>
    </row>
    <row r="27" spans="1:4">
      <c r="A27" s="237">
        <v>9</v>
      </c>
      <c r="B27" s="94" t="s">
        <v>2289</v>
      </c>
      <c r="C27" s="442"/>
      <c r="D27" s="86"/>
    </row>
    <row r="28" spans="1:4">
      <c r="A28" s="237">
        <v>10</v>
      </c>
      <c r="B28" s="86"/>
      <c r="C28" s="442"/>
      <c r="D28" s="86"/>
    </row>
    <row r="29" spans="1:4">
      <c r="A29" s="237">
        <v>11</v>
      </c>
      <c r="B29" s="86"/>
      <c r="C29" s="442"/>
      <c r="D29" s="86"/>
    </row>
    <row r="30" spans="1:4">
      <c r="A30" s="237">
        <v>12</v>
      </c>
      <c r="B30" s="98"/>
      <c r="C30" s="445"/>
      <c r="D30" s="86"/>
    </row>
    <row r="31" spans="1:4">
      <c r="A31" s="237">
        <v>13</v>
      </c>
      <c r="B31" s="98" t="s">
        <v>1510</v>
      </c>
      <c r="C31" s="441">
        <f>SUM(C25:C30)</f>
        <v>0</v>
      </c>
      <c r="D31" s="86"/>
    </row>
    <row r="32" spans="1:4">
      <c r="A32" s="237">
        <v>14</v>
      </c>
      <c r="B32" s="86"/>
      <c r="C32" s="496"/>
      <c r="D32" s="86"/>
    </row>
    <row r="33" spans="1:4">
      <c r="A33" s="237">
        <v>15</v>
      </c>
      <c r="B33" s="86"/>
      <c r="C33" s="442"/>
      <c r="D33" s="86"/>
    </row>
    <row r="34" spans="1:4">
      <c r="A34" s="237">
        <v>16</v>
      </c>
      <c r="B34" s="94" t="s">
        <v>2289</v>
      </c>
      <c r="C34" s="442"/>
      <c r="D34" s="86"/>
    </row>
    <row r="35" spans="1:4">
      <c r="A35" s="237">
        <v>17</v>
      </c>
      <c r="B35" s="86"/>
      <c r="C35" s="442"/>
      <c r="D35" s="86"/>
    </row>
    <row r="36" spans="1:4">
      <c r="A36" s="237">
        <v>18</v>
      </c>
      <c r="B36" s="86"/>
      <c r="C36" s="442"/>
      <c r="D36" s="86"/>
    </row>
    <row r="37" spans="1:4">
      <c r="A37" s="237">
        <v>19</v>
      </c>
      <c r="B37" s="98"/>
      <c r="C37" s="445"/>
      <c r="D37" s="86"/>
    </row>
    <row r="38" spans="1:4">
      <c r="A38" s="240">
        <v>20</v>
      </c>
      <c r="B38" s="98" t="s">
        <v>1511</v>
      </c>
      <c r="C38" s="441">
        <f>SUM(C32:C37)</f>
        <v>0</v>
      </c>
      <c r="D38" s="86"/>
    </row>
    <row r="39" spans="1:4">
      <c r="A39" s="110"/>
      <c r="B39" s="86"/>
      <c r="C39" s="93"/>
      <c r="D39" s="86"/>
    </row>
    <row r="40" spans="1:4" ht="15.75">
      <c r="A40" s="118" t="s">
        <v>1512</v>
      </c>
      <c r="B40" s="3"/>
      <c r="C40" s="132"/>
      <c r="D40" s="86"/>
    </row>
    <row r="41" spans="1:4">
      <c r="A41" s="110"/>
      <c r="B41" s="86"/>
      <c r="C41" s="87"/>
      <c r="D41" s="86"/>
    </row>
    <row r="42" spans="1:4">
      <c r="A42" s="110"/>
      <c r="B42" s="108" t="s">
        <v>2978</v>
      </c>
      <c r="C42" s="87"/>
      <c r="D42" s="86"/>
    </row>
    <row r="43" spans="1:4">
      <c r="A43" s="110"/>
      <c r="B43" s="108" t="s">
        <v>3378</v>
      </c>
      <c r="C43" s="87"/>
      <c r="D43" s="86"/>
    </row>
    <row r="44" spans="1:4">
      <c r="A44" s="110"/>
      <c r="B44" s="108" t="s">
        <v>3899</v>
      </c>
      <c r="C44" s="87"/>
      <c r="D44" s="86"/>
    </row>
    <row r="45" spans="1:4">
      <c r="A45" s="110"/>
      <c r="B45" s="108" t="s">
        <v>3400</v>
      </c>
      <c r="C45" s="87"/>
      <c r="D45" s="86"/>
    </row>
    <row r="46" spans="1:4">
      <c r="A46" s="364"/>
      <c r="B46" s="98"/>
      <c r="C46" s="101"/>
      <c r="D46" s="86"/>
    </row>
    <row r="47" spans="1:4">
      <c r="A47" s="237"/>
      <c r="B47" s="86"/>
      <c r="C47" s="363" t="s">
        <v>1840</v>
      </c>
      <c r="D47" s="86"/>
    </row>
    <row r="48" spans="1:4">
      <c r="A48" s="237" t="s">
        <v>3143</v>
      </c>
      <c r="B48" s="94" t="s">
        <v>3144</v>
      </c>
      <c r="C48" s="363" t="s">
        <v>1627</v>
      </c>
      <c r="D48" s="86"/>
    </row>
    <row r="49" spans="1:4">
      <c r="A49" s="240" t="s">
        <v>3145</v>
      </c>
      <c r="B49" s="996" t="s">
        <v>3279</v>
      </c>
      <c r="C49" s="367" t="s">
        <v>3280</v>
      </c>
      <c r="D49" s="86"/>
    </row>
    <row r="50" spans="1:4">
      <c r="A50" s="497">
        <v>21</v>
      </c>
      <c r="B50" s="108"/>
      <c r="C50" s="441">
        <v>0</v>
      </c>
      <c r="D50" s="86"/>
    </row>
    <row r="51" spans="1:4">
      <c r="A51" s="497">
        <v>22</v>
      </c>
      <c r="B51" s="108"/>
      <c r="C51" s="442"/>
      <c r="D51" s="86"/>
    </row>
    <row r="52" spans="1:4">
      <c r="A52" s="497">
        <v>23</v>
      </c>
      <c r="B52" s="94" t="s">
        <v>2289</v>
      </c>
      <c r="C52" s="442"/>
      <c r="D52" s="86"/>
    </row>
    <row r="53" spans="1:4">
      <c r="A53" s="497">
        <v>24</v>
      </c>
      <c r="B53" s="108"/>
      <c r="C53" s="442"/>
      <c r="D53" s="86"/>
    </row>
    <row r="54" spans="1:4">
      <c r="A54" s="497">
        <v>25</v>
      </c>
      <c r="B54" s="86"/>
      <c r="C54" s="442"/>
      <c r="D54" s="86"/>
    </row>
    <row r="55" spans="1:4">
      <c r="A55" s="497">
        <v>26</v>
      </c>
      <c r="B55" s="108"/>
      <c r="C55" s="442"/>
      <c r="D55" s="86"/>
    </row>
    <row r="56" spans="1:4">
      <c r="A56" s="497">
        <v>27</v>
      </c>
      <c r="B56" s="108"/>
      <c r="C56" s="442"/>
      <c r="D56" s="86"/>
    </row>
    <row r="57" spans="1:4">
      <c r="A57" s="497">
        <v>28</v>
      </c>
      <c r="B57" s="108"/>
      <c r="C57" s="442"/>
      <c r="D57" s="86"/>
    </row>
    <row r="58" spans="1:4">
      <c r="A58" s="497">
        <v>29</v>
      </c>
      <c r="B58" s="86"/>
      <c r="C58" s="442"/>
      <c r="D58" s="86"/>
    </row>
    <row r="59" spans="1:4">
      <c r="A59" s="497">
        <v>30</v>
      </c>
      <c r="B59" s="86"/>
      <c r="C59" s="442"/>
      <c r="D59" s="86"/>
    </row>
    <row r="60" spans="1:4">
      <c r="A60" s="497">
        <v>31</v>
      </c>
      <c r="B60" s="86"/>
      <c r="C60" s="442"/>
      <c r="D60" s="86"/>
    </row>
    <row r="61" spans="1:4">
      <c r="A61" s="497">
        <v>32</v>
      </c>
      <c r="B61" s="86"/>
      <c r="C61" s="442"/>
      <c r="D61" s="86"/>
    </row>
    <row r="62" spans="1:4">
      <c r="A62" s="497">
        <v>33</v>
      </c>
      <c r="B62" s="86"/>
      <c r="C62" s="442"/>
      <c r="D62" s="86"/>
    </row>
    <row r="63" spans="1:4">
      <c r="A63" s="497">
        <v>34</v>
      </c>
      <c r="B63" s="86"/>
      <c r="C63" s="442"/>
      <c r="D63" s="86"/>
    </row>
    <row r="64" spans="1:4">
      <c r="A64" s="497">
        <v>35</v>
      </c>
      <c r="B64" s="86"/>
      <c r="C64" s="442"/>
      <c r="D64" s="86"/>
    </row>
    <row r="65" spans="1:4">
      <c r="A65" s="497">
        <v>36</v>
      </c>
      <c r="B65" s="98"/>
      <c r="C65" s="442"/>
      <c r="D65" s="86"/>
    </row>
    <row r="66" spans="1:4" ht="15.75" thickBot="1">
      <c r="A66" s="498">
        <v>37</v>
      </c>
      <c r="B66" s="113" t="s">
        <v>1969</v>
      </c>
      <c r="C66" s="401">
        <f>SUM(C54:C65)</f>
        <v>0</v>
      </c>
      <c r="D66" s="86"/>
    </row>
    <row r="67" spans="1:4">
      <c r="A67" s="177"/>
      <c r="B67" s="177"/>
      <c r="C67" s="86" t="s">
        <v>2024</v>
      </c>
      <c r="D67" s="86"/>
    </row>
    <row r="68" spans="1:4">
      <c r="A68" s="159" t="s">
        <v>1970</v>
      </c>
      <c r="B68" s="5"/>
      <c r="C68" s="5"/>
      <c r="D68" s="86"/>
    </row>
    <row r="69" spans="1:4">
      <c r="A69" s="359"/>
      <c r="B69" s="359"/>
      <c r="C69" s="359"/>
      <c r="D69" s="86"/>
    </row>
    <row r="70" spans="1:4">
      <c r="A70" s="359"/>
      <c r="B70" s="359"/>
      <c r="C70" s="359"/>
      <c r="D70" s="86"/>
    </row>
    <row r="71" spans="1:4">
      <c r="A71" s="177"/>
      <c r="B71" s="177"/>
      <c r="C71" s="177"/>
      <c r="D71" s="86"/>
    </row>
    <row r="72" spans="1:4">
      <c r="A72" s="177"/>
      <c r="B72" s="177"/>
      <c r="C72" s="177"/>
      <c r="D72" s="86"/>
    </row>
    <row r="73" spans="1:4">
      <c r="A73" s="177"/>
      <c r="B73" s="177"/>
      <c r="C73" s="177"/>
      <c r="D73" s="86"/>
    </row>
    <row r="74" spans="1:4">
      <c r="A74" s="177"/>
      <c r="B74" s="177"/>
      <c r="C74" s="177"/>
      <c r="D74" s="86"/>
    </row>
    <row r="75" spans="1:4">
      <c r="A75" s="86"/>
      <c r="B75" s="86"/>
      <c r="C75" s="177"/>
      <c r="D75" s="86"/>
    </row>
    <row r="76" spans="1:4">
      <c r="A76" s="86"/>
      <c r="B76" s="86"/>
      <c r="C76" s="177"/>
      <c r="D76" s="86"/>
    </row>
    <row r="77" spans="1:4">
      <c r="A77" s="86"/>
      <c r="B77" s="86"/>
      <c r="C77" s="177"/>
      <c r="D77" s="86"/>
    </row>
    <row r="78" spans="1:4">
      <c r="A78" s="86"/>
      <c r="B78" s="86"/>
      <c r="C78" s="177"/>
      <c r="D78" s="86"/>
    </row>
    <row r="79" spans="1:4">
      <c r="A79" s="86"/>
      <c r="B79" s="86"/>
      <c r="C79" s="177"/>
      <c r="D79" s="86"/>
    </row>
    <row r="80" spans="1:4">
      <c r="A80" s="86"/>
      <c r="B80" s="86"/>
      <c r="C80" s="177"/>
      <c r="D80" s="86"/>
    </row>
    <row r="81" spans="1:4">
      <c r="A81" s="86"/>
      <c r="B81" s="86"/>
      <c r="C81" s="177"/>
      <c r="D81" s="86"/>
    </row>
    <row r="82" spans="1:4">
      <c r="A82" s="86"/>
      <c r="B82" s="86"/>
      <c r="C82" s="177"/>
      <c r="D82" s="86"/>
    </row>
    <row r="83" spans="1:4">
      <c r="A83" s="86"/>
      <c r="B83" s="86"/>
      <c r="C83" s="177"/>
      <c r="D83" s="86"/>
    </row>
    <row r="84" spans="1:4">
      <c r="A84" s="177"/>
      <c r="B84" s="86"/>
      <c r="C84" s="177"/>
      <c r="D84" s="86"/>
    </row>
    <row r="85" spans="1:4">
      <c r="A85" s="86"/>
      <c r="B85" s="86"/>
      <c r="C85" s="86"/>
      <c r="D85" s="86"/>
    </row>
    <row r="86" spans="1:4">
      <c r="A86" s="86"/>
      <c r="B86" s="86"/>
      <c r="C86" s="86"/>
      <c r="D86" s="86"/>
    </row>
    <row r="87" spans="1:4">
      <c r="A87" s="86"/>
      <c r="B87" s="86"/>
      <c r="C87" s="86"/>
      <c r="D87" s="86"/>
    </row>
    <row r="88" spans="1:4">
      <c r="A88" s="86"/>
      <c r="B88" s="86"/>
      <c r="C88" s="86"/>
      <c r="D88" s="86"/>
    </row>
    <row r="89" spans="1:4">
      <c r="A89" s="86"/>
      <c r="B89" s="86"/>
      <c r="C89" s="86"/>
      <c r="D89" s="86"/>
    </row>
    <row r="90" spans="1:4">
      <c r="A90" s="86"/>
      <c r="B90" s="86"/>
      <c r="C90" s="86"/>
      <c r="D90" s="86"/>
    </row>
    <row r="91" spans="1:4">
      <c r="A91" s="86"/>
      <c r="B91" s="86"/>
      <c r="C91" s="86"/>
      <c r="D91" s="86"/>
    </row>
    <row r="92" spans="1:4">
      <c r="A92" s="86"/>
      <c r="B92" s="86"/>
      <c r="C92" s="86"/>
      <c r="D92" s="86"/>
    </row>
    <row r="93" spans="1:4">
      <c r="A93" s="86"/>
      <c r="B93" s="86"/>
      <c r="C93" s="86"/>
      <c r="D93" s="86"/>
    </row>
    <row r="94" spans="1:4">
      <c r="A94" s="86"/>
      <c r="B94" s="86"/>
      <c r="C94" s="86"/>
      <c r="D94" s="86"/>
    </row>
    <row r="95" spans="1:4">
      <c r="A95" s="86"/>
      <c r="B95" s="86"/>
      <c r="C95" s="86"/>
      <c r="D95" s="86"/>
    </row>
    <row r="96" spans="1:4">
      <c r="A96" s="86"/>
      <c r="B96" s="86"/>
      <c r="C96" s="86"/>
      <c r="D96" s="86"/>
    </row>
    <row r="97" spans="1:4">
      <c r="A97" s="86"/>
      <c r="B97" s="86"/>
      <c r="C97" s="86"/>
      <c r="D97" s="86"/>
    </row>
    <row r="98" spans="1:4">
      <c r="A98" s="86"/>
      <c r="B98" s="86"/>
      <c r="C98" s="86"/>
      <c r="D98" s="86"/>
    </row>
    <row r="99" spans="1:4">
      <c r="A99" s="86"/>
      <c r="B99" s="86"/>
      <c r="C99" s="86"/>
      <c r="D99" s="86"/>
    </row>
    <row r="100" spans="1:4">
      <c r="A100" s="86"/>
      <c r="B100" s="86"/>
      <c r="C100" s="86"/>
      <c r="D100" s="86"/>
    </row>
    <row r="101" spans="1:4">
      <c r="A101" s="86"/>
      <c r="B101" s="86"/>
      <c r="C101" s="86"/>
      <c r="D101" s="86"/>
    </row>
    <row r="102" spans="1:4">
      <c r="A102" s="86"/>
      <c r="B102" s="86"/>
      <c r="C102" s="86"/>
      <c r="D102" s="86"/>
    </row>
    <row r="103" spans="1:4">
      <c r="A103" s="86"/>
      <c r="B103" s="86"/>
      <c r="C103" s="86"/>
      <c r="D103" s="86"/>
    </row>
    <row r="104" spans="1:4">
      <c r="A104" s="86"/>
      <c r="B104" s="86"/>
      <c r="C104" s="86"/>
      <c r="D104" s="86"/>
    </row>
    <row r="105" spans="1:4">
      <c r="A105" s="86"/>
      <c r="B105" s="86"/>
      <c r="C105" s="86"/>
      <c r="D105" s="86"/>
    </row>
    <row r="106" spans="1:4">
      <c r="A106" s="86"/>
      <c r="B106" s="86"/>
      <c r="C106" s="86"/>
      <c r="D106" s="86"/>
    </row>
    <row r="107" spans="1:4">
      <c r="A107" s="86"/>
      <c r="B107" s="86"/>
      <c r="C107" s="86"/>
      <c r="D107" s="86"/>
    </row>
    <row r="108" spans="1:4">
      <c r="A108" s="86"/>
      <c r="B108" s="86"/>
      <c r="C108" s="86"/>
      <c r="D108" s="86"/>
    </row>
    <row r="109" spans="1:4">
      <c r="A109" s="86"/>
      <c r="B109" s="86"/>
      <c r="C109" s="86"/>
      <c r="D109" s="86"/>
    </row>
    <row r="110" spans="1:4">
      <c r="A110" s="86"/>
      <c r="B110" s="86"/>
      <c r="C110" s="86"/>
      <c r="D110" s="86"/>
    </row>
    <row r="111" spans="1:4">
      <c r="A111" s="86"/>
      <c r="B111" s="86"/>
      <c r="C111" s="86"/>
      <c r="D111" s="86"/>
    </row>
    <row r="112" spans="1:4">
      <c r="A112" s="86"/>
      <c r="B112" s="86"/>
      <c r="C112" s="86"/>
      <c r="D112" s="86"/>
    </row>
    <row r="113" spans="1:4">
      <c r="A113" s="86"/>
      <c r="B113" s="86"/>
      <c r="C113" s="86"/>
      <c r="D113" s="86"/>
    </row>
    <row r="114" spans="1:4">
      <c r="A114" s="86"/>
      <c r="B114" s="86"/>
      <c r="C114" s="86"/>
      <c r="D114" s="86"/>
    </row>
    <row r="115" spans="1:4">
      <c r="A115" s="86"/>
      <c r="B115" s="86"/>
      <c r="C115" s="86"/>
      <c r="D115" s="86"/>
    </row>
    <row r="116" spans="1:4">
      <c r="A116" s="86"/>
      <c r="B116" s="86"/>
      <c r="C116" s="86"/>
      <c r="D116" s="86"/>
    </row>
    <row r="117" spans="1:4">
      <c r="A117" s="86"/>
      <c r="B117" s="86"/>
      <c r="C117" s="86"/>
      <c r="D117" s="86"/>
    </row>
    <row r="118" spans="1:4">
      <c r="A118" s="86"/>
      <c r="B118" s="86"/>
      <c r="C118" s="86"/>
      <c r="D118" s="86"/>
    </row>
    <row r="119" spans="1:4">
      <c r="A119" s="86"/>
      <c r="B119" s="86"/>
      <c r="C119" s="86"/>
      <c r="D119" s="86"/>
    </row>
    <row r="120" spans="1:4">
      <c r="A120" s="86"/>
      <c r="B120" s="86"/>
      <c r="C120" s="86"/>
      <c r="D120" s="86"/>
    </row>
    <row r="121" spans="1:4">
      <c r="A121" s="86"/>
      <c r="B121" s="86"/>
      <c r="C121" s="86"/>
      <c r="D121" s="86"/>
    </row>
    <row r="122" spans="1:4">
      <c r="A122" s="86"/>
      <c r="B122" s="86"/>
      <c r="C122" s="86"/>
      <c r="D122" s="86"/>
    </row>
    <row r="123" spans="1:4">
      <c r="A123" s="86"/>
      <c r="B123" s="86"/>
      <c r="C123" s="86"/>
      <c r="D123" s="86"/>
    </row>
    <row r="124" spans="1:4">
      <c r="A124" s="86"/>
      <c r="B124" s="86"/>
      <c r="C124" s="86"/>
      <c r="D124" s="86"/>
    </row>
    <row r="125" spans="1:4">
      <c r="A125" s="86"/>
      <c r="B125" s="86"/>
      <c r="C125" s="86"/>
      <c r="D125" s="86"/>
    </row>
    <row r="126" spans="1:4">
      <c r="A126" s="86"/>
      <c r="B126" s="86"/>
      <c r="C126" s="86"/>
      <c r="D126" s="86"/>
    </row>
    <row r="127" spans="1:4">
      <c r="A127" s="86"/>
      <c r="B127" s="86"/>
      <c r="C127" s="86"/>
      <c r="D127" s="86"/>
    </row>
    <row r="128" spans="1:4">
      <c r="A128" s="86"/>
      <c r="B128" s="86"/>
      <c r="C128" s="86"/>
      <c r="D128" s="86"/>
    </row>
    <row r="129" spans="1:4">
      <c r="A129" s="86"/>
      <c r="B129" s="86"/>
      <c r="C129" s="86"/>
      <c r="D129" s="86"/>
    </row>
    <row r="130" spans="1:4">
      <c r="A130" s="86"/>
      <c r="B130" s="86"/>
      <c r="C130" s="86"/>
      <c r="D130" s="86"/>
    </row>
    <row r="131" spans="1:4">
      <c r="A131" s="86"/>
      <c r="B131" s="86"/>
      <c r="C131" s="86"/>
      <c r="D131" s="86"/>
    </row>
    <row r="132" spans="1:4">
      <c r="A132" s="86"/>
      <c r="B132" s="86"/>
      <c r="C132" s="86"/>
      <c r="D132" s="86"/>
    </row>
    <row r="133" spans="1:4">
      <c r="A133" s="86"/>
      <c r="B133" s="86"/>
      <c r="C133" s="86"/>
      <c r="D133" s="86"/>
    </row>
    <row r="134" spans="1:4">
      <c r="A134" s="86"/>
      <c r="B134" s="86"/>
      <c r="C134" s="86"/>
      <c r="D134" s="86"/>
    </row>
    <row r="135" spans="1:4">
      <c r="A135" s="86"/>
      <c r="B135" s="86"/>
      <c r="C135" s="86"/>
      <c r="D135" s="86"/>
    </row>
    <row r="136" spans="1:4">
      <c r="A136" s="86"/>
      <c r="B136" s="86"/>
      <c r="C136" s="86"/>
      <c r="D136" s="86"/>
    </row>
    <row r="137" spans="1:4">
      <c r="A137" s="86"/>
      <c r="B137" s="86"/>
      <c r="C137" s="86"/>
      <c r="D137" s="86"/>
    </row>
    <row r="138" spans="1:4">
      <c r="A138" s="86"/>
      <c r="B138" s="86"/>
      <c r="C138" s="86"/>
      <c r="D138" s="86"/>
    </row>
    <row r="139" spans="1:4">
      <c r="A139" s="86"/>
      <c r="B139" s="86"/>
      <c r="C139" s="86"/>
      <c r="D139" s="86"/>
    </row>
    <row r="140" spans="1:4">
      <c r="A140" s="86"/>
      <c r="B140" s="86"/>
      <c r="C140" s="86"/>
      <c r="D140" s="86"/>
    </row>
    <row r="141" spans="1:4">
      <c r="A141" s="86"/>
      <c r="B141" s="86"/>
      <c r="C141" s="86"/>
      <c r="D141" s="86"/>
    </row>
    <row r="142" spans="1:4">
      <c r="A142" s="86"/>
      <c r="B142" s="86"/>
      <c r="C142" s="86"/>
      <c r="D142" s="86"/>
    </row>
    <row r="143" spans="1:4">
      <c r="A143" s="86"/>
      <c r="B143" s="86"/>
      <c r="C143" s="86"/>
      <c r="D143" s="86"/>
    </row>
    <row r="144" spans="1:4">
      <c r="A144" s="86"/>
      <c r="B144" s="86"/>
      <c r="C144" s="86"/>
      <c r="D144" s="86"/>
    </row>
    <row r="145" spans="1:4">
      <c r="A145" s="86"/>
      <c r="B145" s="86"/>
      <c r="C145" s="86"/>
      <c r="D145" s="86"/>
    </row>
    <row r="146" spans="1:4">
      <c r="A146" s="86"/>
      <c r="B146" s="86"/>
      <c r="C146" s="86"/>
      <c r="D146" s="86"/>
    </row>
    <row r="147" spans="1:4">
      <c r="A147" s="86"/>
      <c r="B147" s="86"/>
      <c r="C147" s="86"/>
      <c r="D147" s="86"/>
    </row>
    <row r="148" spans="1:4">
      <c r="A148" s="86"/>
      <c r="B148" s="86"/>
      <c r="C148" s="86"/>
      <c r="D148" s="86"/>
    </row>
    <row r="149" spans="1:4">
      <c r="A149" s="86"/>
      <c r="B149" s="86"/>
      <c r="C149" s="86"/>
      <c r="D149" s="86"/>
    </row>
    <row r="150" spans="1:4">
      <c r="A150" s="86"/>
      <c r="B150" s="86"/>
      <c r="C150" s="86"/>
      <c r="D150" s="86"/>
    </row>
    <row r="151" spans="1:4">
      <c r="A151" s="86"/>
      <c r="B151" s="86"/>
      <c r="C151" s="86"/>
      <c r="D151" s="86"/>
    </row>
    <row r="152" spans="1:4">
      <c r="A152" s="86"/>
      <c r="B152" s="86"/>
      <c r="C152" s="86"/>
      <c r="D152" s="86"/>
    </row>
    <row r="153" spans="1:4">
      <c r="A153" s="86"/>
      <c r="B153" s="86"/>
      <c r="C153" s="86"/>
      <c r="D153" s="86"/>
    </row>
    <row r="154" spans="1:4">
      <c r="A154" s="86"/>
      <c r="B154" s="86"/>
      <c r="C154" s="86"/>
      <c r="D154" s="86"/>
    </row>
    <row r="155" spans="1:4">
      <c r="A155" s="86"/>
      <c r="B155" s="86"/>
      <c r="C155" s="86"/>
      <c r="D155" s="86"/>
    </row>
    <row r="156" spans="1:4">
      <c r="A156" s="86"/>
      <c r="B156" s="86"/>
      <c r="C156" s="86"/>
      <c r="D156" s="86"/>
    </row>
    <row r="157" spans="1:4">
      <c r="A157" s="86"/>
      <c r="B157" s="86"/>
      <c r="C157" s="86"/>
      <c r="D157" s="86"/>
    </row>
    <row r="158" spans="1:4">
      <c r="A158" s="86"/>
      <c r="B158" s="86"/>
      <c r="C158" s="86"/>
      <c r="D158" s="86"/>
    </row>
    <row r="159" spans="1:4">
      <c r="A159" s="86"/>
      <c r="B159" s="86"/>
      <c r="C159" s="86"/>
      <c r="D159" s="86"/>
    </row>
    <row r="160" spans="1:4">
      <c r="A160" s="86"/>
      <c r="B160" s="86"/>
      <c r="C160" s="86"/>
      <c r="D160" s="86"/>
    </row>
    <row r="161" spans="1:4">
      <c r="A161" s="86"/>
      <c r="B161" s="86"/>
      <c r="C161" s="86"/>
      <c r="D161" s="86"/>
    </row>
    <row r="162" spans="1:4">
      <c r="A162" s="86"/>
      <c r="B162" s="86"/>
      <c r="C162" s="86"/>
      <c r="D162" s="86"/>
    </row>
    <row r="163" spans="1:4">
      <c r="A163" s="86"/>
      <c r="B163" s="86"/>
      <c r="C163" s="86"/>
      <c r="D163" s="86"/>
    </row>
    <row r="164" spans="1:4">
      <c r="A164" s="86"/>
      <c r="B164" s="86"/>
      <c r="C164" s="86"/>
      <c r="D164" s="86"/>
    </row>
    <row r="165" spans="1:4">
      <c r="A165" s="86"/>
      <c r="B165" s="86"/>
      <c r="C165" s="86"/>
      <c r="D165" s="86"/>
    </row>
    <row r="166" spans="1:4">
      <c r="A166" s="86"/>
      <c r="B166" s="86"/>
      <c r="C166" s="86"/>
      <c r="D166" s="86"/>
    </row>
    <row r="167" spans="1:4">
      <c r="A167" s="86"/>
      <c r="B167" s="86"/>
      <c r="C167" s="86"/>
      <c r="D167" s="86"/>
    </row>
    <row r="168" spans="1:4">
      <c r="A168" s="86"/>
      <c r="B168" s="86"/>
      <c r="C168" s="86"/>
      <c r="D168" s="86"/>
    </row>
    <row r="169" spans="1:4">
      <c r="A169" s="86"/>
      <c r="B169" s="86"/>
      <c r="C169" s="86"/>
      <c r="D169" s="86"/>
    </row>
    <row r="170" spans="1:4">
      <c r="A170" s="86"/>
      <c r="B170" s="86"/>
      <c r="C170" s="86"/>
      <c r="D170" s="86"/>
    </row>
    <row r="171" spans="1:4">
      <c r="A171" s="86"/>
      <c r="B171" s="86"/>
      <c r="C171" s="86"/>
      <c r="D171" s="86"/>
    </row>
    <row r="172" spans="1:4">
      <c r="A172" s="86"/>
      <c r="B172" s="86"/>
      <c r="C172" s="86"/>
      <c r="D172" s="86"/>
    </row>
    <row r="173" spans="1:4">
      <c r="A173" s="86"/>
      <c r="B173" s="86"/>
      <c r="C173" s="86"/>
      <c r="D173" s="86"/>
    </row>
    <row r="174" spans="1:4">
      <c r="A174" s="86"/>
      <c r="B174" s="86"/>
      <c r="C174" s="86"/>
      <c r="D174" s="86"/>
    </row>
    <row r="175" spans="1:4">
      <c r="A175" s="86"/>
      <c r="B175" s="86"/>
      <c r="C175" s="86"/>
      <c r="D175" s="86"/>
    </row>
    <row r="176" spans="1:4">
      <c r="A176" s="86"/>
      <c r="B176" s="86"/>
      <c r="C176" s="86"/>
      <c r="D176" s="86"/>
    </row>
    <row r="177" spans="1:4">
      <c r="A177" s="86"/>
      <c r="B177" s="86"/>
      <c r="C177" s="86"/>
      <c r="D177" s="86"/>
    </row>
    <row r="178" spans="1:4">
      <c r="A178" s="86"/>
      <c r="B178" s="86"/>
      <c r="C178" s="86"/>
      <c r="D178" s="86"/>
    </row>
    <row r="179" spans="1:4">
      <c r="A179" s="86"/>
      <c r="B179" s="86"/>
      <c r="C179" s="86"/>
      <c r="D179" s="86"/>
    </row>
    <row r="180" spans="1:4">
      <c r="A180" s="86"/>
      <c r="B180" s="86"/>
      <c r="C180" s="86"/>
      <c r="D180" s="86"/>
    </row>
    <row r="181" spans="1:4">
      <c r="A181" s="86"/>
      <c r="B181" s="86"/>
      <c r="C181" s="86"/>
      <c r="D181" s="86"/>
    </row>
    <row r="182" spans="1:4">
      <c r="A182" s="86"/>
      <c r="B182" s="86"/>
      <c r="C182" s="86"/>
      <c r="D182" s="86"/>
    </row>
    <row r="183" spans="1:4">
      <c r="A183" s="86"/>
      <c r="B183" s="86"/>
      <c r="C183" s="86"/>
      <c r="D183" s="86"/>
    </row>
    <row r="184" spans="1:4">
      <c r="A184" s="86"/>
      <c r="B184" s="86"/>
      <c r="C184" s="86"/>
      <c r="D184" s="86"/>
    </row>
    <row r="185" spans="1:4">
      <c r="A185" s="86"/>
      <c r="B185" s="86"/>
      <c r="C185" s="86"/>
      <c r="D185" s="86"/>
    </row>
    <row r="186" spans="1:4">
      <c r="A186" s="86"/>
      <c r="B186" s="86"/>
      <c r="C186" s="86"/>
      <c r="D186" s="86"/>
    </row>
    <row r="187" spans="1:4">
      <c r="A187" s="86"/>
      <c r="B187" s="86"/>
      <c r="C187" s="86"/>
      <c r="D187" s="86"/>
    </row>
    <row r="188" spans="1:4">
      <c r="A188" s="86"/>
      <c r="B188" s="86"/>
      <c r="C188" s="86"/>
      <c r="D188" s="86"/>
    </row>
    <row r="189" spans="1:4">
      <c r="A189" s="86"/>
      <c r="B189" s="86"/>
      <c r="C189" s="86"/>
      <c r="D189" s="86"/>
    </row>
    <row r="190" spans="1:4">
      <c r="A190" s="86"/>
      <c r="B190" s="86"/>
      <c r="C190" s="86"/>
      <c r="D190" s="86"/>
    </row>
    <row r="191" spans="1:4">
      <c r="A191" s="86"/>
      <c r="B191" s="86"/>
      <c r="C191" s="86"/>
      <c r="D191" s="86"/>
    </row>
    <row r="192" spans="1:4">
      <c r="A192" s="86"/>
      <c r="B192" s="86"/>
      <c r="C192" s="86"/>
      <c r="D192" s="86"/>
    </row>
    <row r="193" spans="1:4">
      <c r="A193" s="86"/>
      <c r="B193" s="86"/>
      <c r="C193" s="86"/>
      <c r="D193" s="86"/>
    </row>
    <row r="194" spans="1:4">
      <c r="A194" s="86"/>
      <c r="B194" s="86"/>
      <c r="C194" s="86"/>
      <c r="D194" s="86"/>
    </row>
    <row r="195" spans="1:4">
      <c r="A195" s="86"/>
      <c r="B195" s="86"/>
      <c r="C195" s="86"/>
      <c r="D195" s="86"/>
    </row>
    <row r="196" spans="1:4">
      <c r="A196" s="86"/>
      <c r="B196" s="86"/>
      <c r="C196" s="86"/>
      <c r="D196" s="86"/>
    </row>
    <row r="197" spans="1:4">
      <c r="A197" s="86"/>
      <c r="B197" s="86"/>
      <c r="C197" s="86"/>
      <c r="D197" s="86"/>
    </row>
    <row r="198" spans="1:4">
      <c r="A198" s="86"/>
      <c r="B198" s="86"/>
      <c r="C198" s="86"/>
      <c r="D198" s="86"/>
    </row>
    <row r="199" spans="1:4">
      <c r="A199" s="86"/>
      <c r="B199" s="86"/>
      <c r="C199" s="86"/>
      <c r="D199" s="86"/>
    </row>
    <row r="200" spans="1:4">
      <c r="A200" s="86"/>
      <c r="B200" s="86"/>
      <c r="C200" s="86"/>
      <c r="D200" s="86"/>
    </row>
    <row r="201" spans="1:4">
      <c r="A201" s="86"/>
      <c r="B201" s="86"/>
      <c r="C201" s="86"/>
      <c r="D201" s="86"/>
    </row>
    <row r="202" spans="1:4">
      <c r="A202" s="86"/>
      <c r="B202" s="86"/>
      <c r="C202" s="86"/>
      <c r="D202" s="86"/>
    </row>
    <row r="203" spans="1:4">
      <c r="A203" s="86"/>
      <c r="B203" s="86"/>
      <c r="C203" s="86"/>
      <c r="D203" s="86"/>
    </row>
    <row r="204" spans="1:4">
      <c r="A204" s="86"/>
      <c r="B204" s="86"/>
      <c r="C204" s="86"/>
      <c r="D204" s="86"/>
    </row>
    <row r="205" spans="1:4">
      <c r="A205" s="86"/>
      <c r="B205" s="86"/>
      <c r="C205" s="86"/>
      <c r="D205" s="86"/>
    </row>
    <row r="206" spans="1:4">
      <c r="A206" s="86"/>
      <c r="B206" s="86"/>
      <c r="C206" s="86"/>
      <c r="D206" s="86"/>
    </row>
    <row r="207" spans="1:4">
      <c r="A207" s="86"/>
      <c r="B207" s="86"/>
      <c r="C207" s="86"/>
      <c r="D207" s="86"/>
    </row>
    <row r="208" spans="1:4">
      <c r="A208" s="86"/>
      <c r="B208" s="86"/>
      <c r="C208" s="86"/>
      <c r="D208" s="86"/>
    </row>
    <row r="209" spans="1:4">
      <c r="A209" s="86"/>
      <c r="B209" s="86"/>
      <c r="C209" s="86"/>
      <c r="D209" s="86"/>
    </row>
    <row r="210" spans="1:4">
      <c r="A210" s="86"/>
      <c r="B210" s="86"/>
      <c r="C210" s="86"/>
      <c r="D210" s="86"/>
    </row>
  </sheetData>
  <phoneticPr fontId="0" type="noConversion"/>
  <printOptions horizontalCentered="1" verticalCentered="1"/>
  <pageMargins left="0.4" right="0.4" top="0.3" bottom="0.3" header="0" footer="0"/>
  <pageSetup scale="74"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ransitionEvaluation="1" codeName="Sheet36">
    <pageSetUpPr fitToPage="1"/>
  </sheetPr>
  <dimension ref="A1:K78"/>
  <sheetViews>
    <sheetView defaultGridColor="0" colorId="22" zoomScaleNormal="100" workbookViewId="0">
      <pane xSplit="5" ySplit="14" topLeftCell="F15" activePane="bottomRight" state="frozen"/>
      <selection activeCell="R36" sqref="R36"/>
      <selection pane="topRight" activeCell="R36" sqref="R36"/>
      <selection pane="bottomLeft" activeCell="R36" sqref="R36"/>
      <selection pane="bottomRight" activeCell="H25" sqref="H25"/>
    </sheetView>
  </sheetViews>
  <sheetFormatPr defaultColWidth="9.77734375" defaultRowHeight="15"/>
  <cols>
    <col min="1" max="1" width="4.77734375" customWidth="1"/>
    <col min="2" max="2" width="29.33203125" customWidth="1"/>
    <col min="3" max="4" width="13.5546875" customWidth="1"/>
    <col min="5" max="6" width="12.77734375" customWidth="1"/>
    <col min="7" max="7" width="13.5546875" customWidth="1"/>
    <col min="9" max="9" width="11.88671875" bestFit="1" customWidth="1"/>
    <col min="10" max="10" width="20.77734375" bestFit="1" customWidth="1"/>
  </cols>
  <sheetData>
    <row r="1" spans="1:7" ht="15.75" thickBot="1">
      <c r="A1" s="14" t="str">
        <f>'Data sheet'!A57</f>
        <v>Annual Report of Veolia Water New York, Inc.                                              Year Ended  December 31, 2023</v>
      </c>
      <c r="B1" s="86"/>
      <c r="C1" s="86"/>
      <c r="D1" s="86"/>
      <c r="E1" s="215"/>
      <c r="F1" s="16"/>
      <c r="G1" s="5"/>
    </row>
    <row r="2" spans="1:7">
      <c r="A2" s="129"/>
      <c r="B2" s="130"/>
      <c r="C2" s="130"/>
      <c r="D2" s="130"/>
      <c r="E2" s="130"/>
      <c r="F2" s="130"/>
      <c r="G2" s="131"/>
    </row>
    <row r="3" spans="1:7" ht="15.75">
      <c r="A3" s="118" t="s">
        <v>1971</v>
      </c>
      <c r="B3" s="3"/>
      <c r="C3" s="3"/>
      <c r="D3" s="3"/>
      <c r="E3" s="3"/>
      <c r="F3" s="3"/>
      <c r="G3" s="84"/>
    </row>
    <row r="4" spans="1:7">
      <c r="A4" s="499"/>
      <c r="B4" s="133"/>
      <c r="C4" s="133"/>
      <c r="D4" s="133"/>
      <c r="E4" s="133"/>
      <c r="F4" s="133"/>
      <c r="G4" s="500"/>
    </row>
    <row r="5" spans="1:7">
      <c r="A5" s="85"/>
      <c r="B5" s="86"/>
      <c r="C5" s="86"/>
      <c r="D5" s="86"/>
      <c r="E5" s="86"/>
      <c r="F5" s="86"/>
      <c r="G5" s="87"/>
    </row>
    <row r="6" spans="1:7">
      <c r="A6" s="85"/>
      <c r="B6" s="108" t="s">
        <v>1972</v>
      </c>
      <c r="C6" s="86"/>
      <c r="D6" s="86"/>
      <c r="E6" s="86"/>
      <c r="F6" s="86"/>
      <c r="G6" s="87"/>
    </row>
    <row r="7" spans="1:7">
      <c r="A7" s="85"/>
      <c r="B7" s="108" t="s">
        <v>1968</v>
      </c>
      <c r="C7" s="86"/>
      <c r="D7" s="86"/>
      <c r="E7" s="86"/>
      <c r="F7" s="86"/>
      <c r="G7" s="87"/>
    </row>
    <row r="8" spans="1:7">
      <c r="A8" s="85"/>
      <c r="B8" s="5" t="s">
        <v>3960</v>
      </c>
      <c r="C8" s="86"/>
      <c r="D8" s="86"/>
      <c r="E8" s="86"/>
      <c r="F8" s="86"/>
      <c r="G8" s="87"/>
    </row>
    <row r="9" spans="1:7">
      <c r="A9" s="85"/>
      <c r="B9" s="5" t="s">
        <v>3961</v>
      </c>
      <c r="C9" s="86"/>
      <c r="D9" s="86"/>
      <c r="E9" s="86"/>
      <c r="F9" s="86"/>
      <c r="G9" s="87"/>
    </row>
    <row r="10" spans="1:7">
      <c r="A10" s="85"/>
      <c r="B10" s="86"/>
      <c r="C10" s="86"/>
      <c r="D10" s="86"/>
      <c r="E10" s="86"/>
      <c r="F10" s="86"/>
      <c r="G10" s="87"/>
    </row>
    <row r="11" spans="1:7">
      <c r="A11" s="501"/>
      <c r="B11" s="90"/>
      <c r="C11" s="90"/>
      <c r="D11" s="90"/>
      <c r="E11" s="90"/>
      <c r="F11" s="995" t="s">
        <v>1840</v>
      </c>
      <c r="G11" s="593" t="s">
        <v>1840</v>
      </c>
    </row>
    <row r="12" spans="1:7">
      <c r="A12" s="226"/>
      <c r="B12" s="86"/>
      <c r="C12" s="86"/>
      <c r="D12" s="86"/>
      <c r="E12" s="86"/>
      <c r="F12" s="109" t="s">
        <v>3962</v>
      </c>
      <c r="G12" s="428" t="s">
        <v>2591</v>
      </c>
    </row>
    <row r="13" spans="1:7">
      <c r="A13" s="237" t="s">
        <v>3963</v>
      </c>
      <c r="B13" s="5"/>
      <c r="C13" s="5"/>
      <c r="D13" s="5"/>
      <c r="E13" s="5"/>
      <c r="F13" s="109" t="s">
        <v>1689</v>
      </c>
      <c r="G13" s="363" t="s">
        <v>1689</v>
      </c>
    </row>
    <row r="14" spans="1:7">
      <c r="A14" s="240" t="s">
        <v>1690</v>
      </c>
      <c r="B14" s="133"/>
      <c r="C14" s="133"/>
      <c r="D14" s="133"/>
      <c r="E14" s="133"/>
      <c r="F14" s="997" t="s">
        <v>847</v>
      </c>
      <c r="G14" s="424" t="s">
        <v>848</v>
      </c>
    </row>
    <row r="15" spans="1:7" ht="15.75" thickBot="1">
      <c r="A15" s="237">
        <v>1</v>
      </c>
      <c r="B15" s="86" t="s">
        <v>849</v>
      </c>
      <c r="C15" s="86"/>
      <c r="D15" s="86"/>
      <c r="E15" s="86"/>
      <c r="F15" s="502"/>
      <c r="G15" s="503"/>
    </row>
    <row r="16" spans="1:7" ht="15.75" thickTop="1">
      <c r="A16" s="237">
        <v>2</v>
      </c>
      <c r="B16" s="86" t="s">
        <v>850</v>
      </c>
      <c r="C16" s="86"/>
      <c r="D16" s="86"/>
      <c r="E16" s="86"/>
      <c r="F16" s="504"/>
      <c r="G16" s="505"/>
    </row>
    <row r="17" spans="1:11">
      <c r="A17" s="237">
        <v>3</v>
      </c>
      <c r="B17" s="86" t="s">
        <v>851</v>
      </c>
      <c r="C17" s="86"/>
      <c r="D17" s="86"/>
      <c r="E17" s="86"/>
      <c r="F17" s="2248">
        <v>15190893</v>
      </c>
      <c r="G17" s="2047">
        <v>14572057</v>
      </c>
      <c r="H17" t="str">
        <f>IF(G17='114115'!F30,"ok","error")</f>
        <v>ok</v>
      </c>
      <c r="I17" s="140"/>
      <c r="J17" s="2591"/>
    </row>
    <row r="18" spans="1:11">
      <c r="A18" s="237">
        <v>4</v>
      </c>
      <c r="B18" s="86" t="s">
        <v>1722</v>
      </c>
      <c r="C18" s="86"/>
      <c r="D18" s="86"/>
      <c r="E18" s="86"/>
      <c r="F18" s="2176"/>
      <c r="G18" s="2045"/>
    </row>
    <row r="19" spans="1:11">
      <c r="A19" s="237">
        <v>5</v>
      </c>
      <c r="B19" s="86" t="s">
        <v>2102</v>
      </c>
      <c r="C19" s="86"/>
      <c r="D19" s="86"/>
      <c r="E19" s="86"/>
      <c r="F19" s="2176"/>
      <c r="G19" s="2045"/>
    </row>
    <row r="20" spans="1:11">
      <c r="A20" s="237">
        <v>6</v>
      </c>
      <c r="B20" s="86" t="s">
        <v>2103</v>
      </c>
      <c r="C20" s="86"/>
      <c r="D20" s="86"/>
      <c r="E20" s="86"/>
      <c r="F20" s="2176"/>
      <c r="G20" s="2045"/>
    </row>
    <row r="21" spans="1:11">
      <c r="A21" s="237">
        <v>7</v>
      </c>
      <c r="B21" s="86" t="s">
        <v>2104</v>
      </c>
      <c r="C21" s="86"/>
      <c r="D21" s="86"/>
      <c r="E21" s="86"/>
      <c r="F21" s="2176"/>
      <c r="G21" s="2045"/>
      <c r="I21" s="140"/>
      <c r="J21" s="2601"/>
    </row>
    <row r="22" spans="1:11">
      <c r="A22" s="237">
        <v>8</v>
      </c>
      <c r="B22" s="86" t="s">
        <v>663</v>
      </c>
      <c r="C22" s="86"/>
      <c r="D22" s="86"/>
      <c r="E22" s="86"/>
      <c r="F22" s="2186">
        <v>878566</v>
      </c>
      <c r="G22" s="2045">
        <v>1052024</v>
      </c>
      <c r="H22" t="str">
        <f>IF(ROUND(G22,0)=ROUND(+'114115'!F31,0),"ok","error")</f>
        <v>ok</v>
      </c>
      <c r="I22" s="140"/>
      <c r="J22" s="2601"/>
      <c r="K22" s="86"/>
    </row>
    <row r="23" spans="1:11">
      <c r="A23" s="237">
        <v>9</v>
      </c>
      <c r="B23" s="94" t="s">
        <v>664</v>
      </c>
      <c r="C23" s="86"/>
      <c r="D23" s="86"/>
      <c r="E23" s="86"/>
      <c r="F23" s="2176">
        <f>SUM(F17:F22)</f>
        <v>16069459</v>
      </c>
      <c r="G23" s="507">
        <f>SUM(G17:G22)</f>
        <v>15624081</v>
      </c>
    </row>
    <row r="24" spans="1:11">
      <c r="A24" s="237">
        <v>10</v>
      </c>
      <c r="B24" s="86" t="s">
        <v>665</v>
      </c>
      <c r="C24" s="86"/>
      <c r="D24" s="86"/>
      <c r="E24" s="86"/>
      <c r="F24" s="2176">
        <v>4892337</v>
      </c>
      <c r="G24" s="427">
        <v>4522596</v>
      </c>
      <c r="H24" t="str">
        <f>IF(G24=+'114115'!F32,"ok","error")</f>
        <v>ok</v>
      </c>
    </row>
    <row r="25" spans="1:11" ht="15.75" thickBot="1">
      <c r="A25" s="237">
        <v>11</v>
      </c>
      <c r="B25" s="86" t="s">
        <v>2016</v>
      </c>
      <c r="C25" s="86"/>
      <c r="D25" s="86"/>
      <c r="E25" s="86"/>
      <c r="F25" s="509">
        <f>F23-F24</f>
        <v>11177122</v>
      </c>
      <c r="G25" s="510">
        <f>G23-G24</f>
        <v>11101485</v>
      </c>
    </row>
    <row r="26" spans="1:11" ht="15.75" thickTop="1">
      <c r="A26" s="237">
        <v>12</v>
      </c>
      <c r="B26" s="86"/>
      <c r="C26" s="86"/>
      <c r="D26" s="86"/>
      <c r="E26" s="86"/>
      <c r="F26" s="508"/>
      <c r="G26" s="427"/>
    </row>
    <row r="27" spans="1:11">
      <c r="A27" s="237">
        <v>13</v>
      </c>
      <c r="B27" s="86"/>
      <c r="C27" s="404"/>
      <c r="D27" s="86"/>
      <c r="E27" s="86"/>
      <c r="F27" s="143"/>
      <c r="G27" s="144"/>
    </row>
    <row r="28" spans="1:11">
      <c r="A28" s="237">
        <v>14</v>
      </c>
      <c r="B28" s="86"/>
      <c r="C28" s="404"/>
      <c r="D28" s="86"/>
      <c r="E28" s="86"/>
      <c r="F28" s="143"/>
      <c r="G28" s="144"/>
    </row>
    <row r="29" spans="1:11">
      <c r="A29" s="237">
        <v>15</v>
      </c>
      <c r="B29" s="86"/>
      <c r="C29" s="404"/>
      <c r="D29" s="86"/>
      <c r="E29" s="86"/>
      <c r="F29" s="143"/>
      <c r="G29" s="144"/>
    </row>
    <row r="30" spans="1:11">
      <c r="A30" s="362"/>
      <c r="B30" s="90"/>
      <c r="C30" s="90"/>
      <c r="D30" s="90"/>
      <c r="E30" s="90"/>
      <c r="F30" s="90"/>
      <c r="G30" s="93"/>
    </row>
    <row r="31" spans="1:11" ht="15.75">
      <c r="A31" s="118" t="s">
        <v>4078</v>
      </c>
      <c r="B31" s="2130"/>
      <c r="C31" s="3"/>
      <c r="D31" s="3"/>
      <c r="E31" s="3"/>
      <c r="F31" s="3"/>
      <c r="G31" s="84"/>
    </row>
    <row r="32" spans="1:11">
      <c r="A32" s="110"/>
      <c r="B32" s="86"/>
      <c r="C32" s="86"/>
      <c r="D32" s="86"/>
      <c r="E32" s="86"/>
      <c r="F32" s="86"/>
      <c r="G32" s="87"/>
    </row>
    <row r="33" spans="1:10">
      <c r="A33" s="110"/>
      <c r="B33" s="86" t="s">
        <v>4079</v>
      </c>
      <c r="C33" s="86"/>
      <c r="D33" s="86"/>
      <c r="E33" s="86"/>
      <c r="F33" s="86"/>
      <c r="G33" s="87"/>
    </row>
    <row r="34" spans="1:10">
      <c r="A34" s="110"/>
      <c r="B34" s="86" t="s">
        <v>4080</v>
      </c>
      <c r="C34" s="86"/>
      <c r="D34" s="86"/>
      <c r="E34" s="86"/>
      <c r="F34" s="86"/>
      <c r="G34" s="87"/>
    </row>
    <row r="35" spans="1:10">
      <c r="A35" s="110"/>
      <c r="B35" s="86" t="s">
        <v>4081</v>
      </c>
      <c r="C35" s="86"/>
      <c r="D35" s="86"/>
      <c r="E35" s="86"/>
      <c r="F35" s="86"/>
      <c r="G35" s="87"/>
    </row>
    <row r="36" spans="1:10">
      <c r="A36" s="480"/>
      <c r="B36" s="90"/>
      <c r="C36" s="92"/>
      <c r="D36" s="995" t="s">
        <v>4082</v>
      </c>
      <c r="E36" s="995" t="s">
        <v>4083</v>
      </c>
      <c r="F36" s="92"/>
      <c r="G36" s="93"/>
    </row>
    <row r="37" spans="1:10">
      <c r="A37" s="237"/>
      <c r="B37" s="86"/>
      <c r="C37" s="109" t="s">
        <v>4084</v>
      </c>
      <c r="D37" s="109" t="s">
        <v>4085</v>
      </c>
      <c r="E37" s="109" t="s">
        <v>4086</v>
      </c>
      <c r="F37" s="96"/>
      <c r="G37" s="87"/>
    </row>
    <row r="38" spans="1:10">
      <c r="A38" s="237" t="s">
        <v>3963</v>
      </c>
      <c r="B38" s="94" t="s">
        <v>1290</v>
      </c>
      <c r="C38" s="109" t="s">
        <v>4087</v>
      </c>
      <c r="D38" s="109" t="s">
        <v>4088</v>
      </c>
      <c r="E38" s="109" t="s">
        <v>1084</v>
      </c>
      <c r="F38" s="109" t="s">
        <v>1737</v>
      </c>
      <c r="G38" s="428" t="s">
        <v>1738</v>
      </c>
    </row>
    <row r="39" spans="1:10">
      <c r="A39" s="240" t="s">
        <v>1690</v>
      </c>
      <c r="B39" s="996" t="s">
        <v>3279</v>
      </c>
      <c r="C39" s="997" t="s">
        <v>847</v>
      </c>
      <c r="D39" s="997" t="s">
        <v>848</v>
      </c>
      <c r="E39" s="997" t="s">
        <v>1085</v>
      </c>
      <c r="F39" s="997" t="s">
        <v>1086</v>
      </c>
      <c r="G39" s="424" t="s">
        <v>1087</v>
      </c>
    </row>
    <row r="40" spans="1:10">
      <c r="A40" s="237">
        <v>16</v>
      </c>
      <c r="B40" s="86" t="s">
        <v>871</v>
      </c>
      <c r="C40" s="1557">
        <v>4892337</v>
      </c>
      <c r="D40" s="1557">
        <v>0</v>
      </c>
      <c r="E40" s="1557">
        <v>0</v>
      </c>
      <c r="F40" s="1557">
        <v>0</v>
      </c>
      <c r="G40" s="435">
        <f t="shared" ref="G40:G45" si="0">SUM(C40:F40)</f>
        <v>4892337</v>
      </c>
      <c r="I40" s="198"/>
      <c r="J40" s="2258"/>
    </row>
    <row r="41" spans="1:10">
      <c r="A41" s="237">
        <v>17</v>
      </c>
      <c r="B41" s="86" t="s">
        <v>3850</v>
      </c>
      <c r="C41" s="1558">
        <v>1242020.24</v>
      </c>
      <c r="D41" s="1558"/>
      <c r="E41" s="1558"/>
      <c r="F41" s="1558"/>
      <c r="G41" s="427">
        <f t="shared" si="0"/>
        <v>1242020.24</v>
      </c>
    </row>
    <row r="42" spans="1:10">
      <c r="A42" s="237">
        <v>18</v>
      </c>
      <c r="B42" s="86" t="s">
        <v>1540</v>
      </c>
      <c r="C42" s="1558">
        <v>-1695397.78</v>
      </c>
      <c r="D42" s="1558"/>
      <c r="E42" s="1558"/>
      <c r="F42" s="1558"/>
      <c r="G42" s="427">
        <f t="shared" si="0"/>
        <v>-1695397.78</v>
      </c>
    </row>
    <row r="43" spans="1:10">
      <c r="A43" s="237">
        <f t="shared" ref="A43:A58" si="1">A42+1</f>
        <v>19</v>
      </c>
      <c r="B43" s="86" t="s">
        <v>3989</v>
      </c>
      <c r="C43" s="1558">
        <v>83636.540000000008</v>
      </c>
      <c r="D43" s="1558"/>
      <c r="E43" s="1558"/>
      <c r="F43" s="1558"/>
      <c r="G43" s="427">
        <f t="shared" si="0"/>
        <v>83636.540000000008</v>
      </c>
    </row>
    <row r="44" spans="1:10">
      <c r="A44" s="237">
        <f t="shared" si="1"/>
        <v>20</v>
      </c>
      <c r="B44" s="238" t="s">
        <v>3228</v>
      </c>
      <c r="C44" s="86"/>
      <c r="D44" s="1558"/>
      <c r="E44" s="1558"/>
      <c r="F44" s="1558"/>
      <c r="G44" s="427">
        <f t="shared" si="0"/>
        <v>0</v>
      </c>
    </row>
    <row r="45" spans="1:10">
      <c r="A45" s="237">
        <f t="shared" si="1"/>
        <v>21</v>
      </c>
      <c r="B45" s="86"/>
      <c r="C45" s="508"/>
      <c r="D45" s="508"/>
      <c r="E45" s="508"/>
      <c r="F45" s="508"/>
      <c r="G45" s="427">
        <f t="shared" si="0"/>
        <v>0</v>
      </c>
    </row>
    <row r="46" spans="1:10" ht="15.75" thickBot="1">
      <c r="A46" s="237">
        <f t="shared" si="1"/>
        <v>22</v>
      </c>
      <c r="B46" s="86" t="s">
        <v>3990</v>
      </c>
      <c r="C46" s="509">
        <f>C40+C41+C42+SUM(C43:C45)</f>
        <v>4522596</v>
      </c>
      <c r="D46" s="509">
        <f>D40+D41-D42+SUM(D43:D45)</f>
        <v>0</v>
      </c>
      <c r="E46" s="509">
        <f>E40+E41-E42+SUM(E43:E45)</f>
        <v>0</v>
      </c>
      <c r="F46" s="509">
        <f>F40+F41+F42+SUM(F43:F45)</f>
        <v>0</v>
      </c>
      <c r="G46" s="512">
        <f>G40+G41+G42+SUM(G43:G45)</f>
        <v>4522596</v>
      </c>
      <c r="H46" t="str">
        <f>IF(ROUND(G46,0)=ROUND(+'114115'!F32,0),"ok","error")</f>
        <v>ok</v>
      </c>
      <c r="I46" s="140"/>
      <c r="J46" s="2600"/>
    </row>
    <row r="47" spans="1:10" ht="15.75" thickTop="1">
      <c r="A47" s="237">
        <f t="shared" si="1"/>
        <v>23</v>
      </c>
      <c r="B47" s="86"/>
      <c r="C47" s="86"/>
      <c r="D47" s="86"/>
      <c r="E47" s="86"/>
      <c r="F47" s="86"/>
      <c r="G47" s="87"/>
    </row>
    <row r="48" spans="1:10">
      <c r="A48" s="237">
        <f t="shared" si="1"/>
        <v>24</v>
      </c>
      <c r="B48" s="86" t="s">
        <v>3991</v>
      </c>
      <c r="C48" s="86"/>
      <c r="D48" s="86"/>
      <c r="E48" s="86"/>
      <c r="F48" s="86"/>
      <c r="G48" s="435"/>
    </row>
    <row r="49" spans="1:7">
      <c r="A49" s="237">
        <f t="shared" si="1"/>
        <v>25</v>
      </c>
      <c r="B49" s="86"/>
      <c r="C49" s="86"/>
      <c r="D49" s="86"/>
      <c r="E49" s="86"/>
      <c r="F49" s="86"/>
      <c r="G49" s="87"/>
    </row>
    <row r="50" spans="1:7">
      <c r="A50" s="237">
        <f t="shared" si="1"/>
        <v>26</v>
      </c>
      <c r="B50" s="86" t="s">
        <v>4683</v>
      </c>
      <c r="C50" s="86"/>
      <c r="D50" s="86"/>
      <c r="E50" s="86"/>
      <c r="F50" s="86"/>
      <c r="G50" s="87"/>
    </row>
    <row r="51" spans="1:7">
      <c r="A51" s="237">
        <f t="shared" si="1"/>
        <v>27</v>
      </c>
      <c r="B51" s="86" t="s">
        <v>4684</v>
      </c>
      <c r="C51" s="86"/>
      <c r="D51" s="86"/>
      <c r="E51" s="86"/>
      <c r="F51" s="86"/>
      <c r="G51" s="87"/>
    </row>
    <row r="52" spans="1:7">
      <c r="A52" s="237">
        <f t="shared" si="1"/>
        <v>28</v>
      </c>
      <c r="B52" s="86" t="s">
        <v>4687</v>
      </c>
      <c r="C52" s="86"/>
      <c r="D52" s="86"/>
      <c r="E52" s="86"/>
      <c r="F52" s="86"/>
      <c r="G52" s="87"/>
    </row>
    <row r="53" spans="1:7">
      <c r="A53" s="237">
        <f t="shared" si="1"/>
        <v>29</v>
      </c>
      <c r="B53" s="86" t="s">
        <v>4688</v>
      </c>
      <c r="C53" s="86"/>
      <c r="D53" s="86"/>
      <c r="E53" s="86"/>
      <c r="F53" s="86"/>
      <c r="G53" s="87"/>
    </row>
    <row r="54" spans="1:7">
      <c r="A54" s="237">
        <f t="shared" si="1"/>
        <v>30</v>
      </c>
      <c r="B54" s="86"/>
      <c r="C54" s="86"/>
      <c r="D54" s="86"/>
      <c r="E54" s="86"/>
      <c r="F54" s="86"/>
      <c r="G54" s="87"/>
    </row>
    <row r="55" spans="1:7">
      <c r="A55" s="237">
        <f t="shared" si="1"/>
        <v>31</v>
      </c>
      <c r="B55" s="86" t="s">
        <v>4685</v>
      </c>
      <c r="C55" s="86"/>
      <c r="D55" s="86"/>
      <c r="E55" s="86"/>
      <c r="F55" s="86"/>
      <c r="G55" s="87"/>
    </row>
    <row r="56" spans="1:7">
      <c r="A56" s="237">
        <f t="shared" si="1"/>
        <v>32</v>
      </c>
      <c r="B56" s="86" t="s">
        <v>4686</v>
      </c>
      <c r="C56" s="86"/>
      <c r="D56" s="86"/>
      <c r="E56" s="86"/>
      <c r="F56" s="86"/>
      <c r="G56" s="87"/>
    </row>
    <row r="57" spans="1:7">
      <c r="A57" s="237">
        <f t="shared" si="1"/>
        <v>33</v>
      </c>
      <c r="B57" s="86"/>
      <c r="C57" s="86"/>
      <c r="D57" s="86"/>
      <c r="E57" s="86"/>
      <c r="F57" s="86"/>
      <c r="G57" s="87"/>
    </row>
    <row r="58" spans="1:7">
      <c r="A58" s="237">
        <f t="shared" si="1"/>
        <v>34</v>
      </c>
      <c r="B58" s="86"/>
      <c r="C58" s="86"/>
      <c r="D58" s="86"/>
      <c r="E58" s="86"/>
      <c r="F58" s="86"/>
      <c r="G58" s="87"/>
    </row>
    <row r="59" spans="1:7" ht="15.75" thickBot="1">
      <c r="A59" s="443">
        <v>35</v>
      </c>
      <c r="B59" s="113"/>
      <c r="C59" s="113"/>
      <c r="D59" s="113"/>
      <c r="E59" s="113"/>
      <c r="F59" s="113"/>
      <c r="G59" s="116"/>
    </row>
    <row r="60" spans="1:7">
      <c r="A60" s="90"/>
      <c r="B60" s="90"/>
      <c r="C60" s="90"/>
      <c r="D60" s="90"/>
      <c r="E60" s="90"/>
      <c r="F60" s="90"/>
      <c r="G60" s="2046" t="s">
        <v>2024</v>
      </c>
    </row>
    <row r="61" spans="1:7" s="86" customFormat="1">
      <c r="A61" s="2044" t="s">
        <v>3992</v>
      </c>
      <c r="B61" s="2044"/>
      <c r="C61" s="2044"/>
      <c r="D61" s="2044"/>
      <c r="E61" s="2044"/>
      <c r="F61" s="2044"/>
      <c r="G61" s="2044"/>
    </row>
    <row r="62" spans="1:7">
      <c r="C62" s="86"/>
      <c r="D62" s="86"/>
      <c r="E62" s="86"/>
      <c r="F62" s="86"/>
      <c r="G62" s="86"/>
    </row>
    <row r="69" spans="2:2">
      <c r="B69" s="108"/>
    </row>
    <row r="71" spans="2:2">
      <c r="B71" s="108"/>
    </row>
    <row r="72" spans="2:2">
      <c r="B72" s="108"/>
    </row>
    <row r="73" spans="2:2">
      <c r="B73" s="108"/>
    </row>
    <row r="74" spans="2:2">
      <c r="B74" s="108"/>
    </row>
    <row r="75" spans="2:2">
      <c r="B75" s="108"/>
    </row>
    <row r="76" spans="2:2">
      <c r="B76" s="86"/>
    </row>
    <row r="77" spans="2:2">
      <c r="B77" s="108"/>
    </row>
    <row r="78" spans="2:2">
      <c r="B78" s="108"/>
    </row>
  </sheetData>
  <phoneticPr fontId="0" type="noConversion"/>
  <printOptions horizontalCentered="1" verticalCentered="1"/>
  <pageMargins left="0.4" right="0.4" top="0.3" bottom="0.3" header="0" footer="0"/>
  <pageSetup scale="82"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codeName="Sheet37">
    <pageSetUpPr fitToPage="1"/>
  </sheetPr>
  <dimension ref="A1:J86"/>
  <sheetViews>
    <sheetView defaultGridColor="0" colorId="22" zoomScaleNormal="100" workbookViewId="0">
      <pane xSplit="2" ySplit="18" topLeftCell="C55" activePane="bottomRight" state="frozen"/>
      <selection activeCell="R36" sqref="R36"/>
      <selection pane="topRight" activeCell="R36" sqref="R36"/>
      <selection pane="bottomLeft" activeCell="R36" sqref="R36"/>
      <selection pane="bottomRight" activeCell="C38" sqref="C38"/>
    </sheetView>
  </sheetViews>
  <sheetFormatPr defaultColWidth="9.77734375" defaultRowHeight="15"/>
  <cols>
    <col min="1" max="1" width="4.77734375" customWidth="1"/>
    <col min="2" max="2" width="32.88671875" customWidth="1"/>
    <col min="3" max="6" width="15.77734375" customWidth="1"/>
    <col min="7" max="7" width="14.77734375" customWidth="1"/>
    <col min="8" max="8" width="10.33203125" bestFit="1" customWidth="1"/>
    <col min="9" max="9" width="13.5546875" bestFit="1" customWidth="1"/>
    <col min="10" max="10" width="10" bestFit="1" customWidth="1"/>
  </cols>
  <sheetData>
    <row r="1" spans="1:7" ht="15.75" thickBot="1">
      <c r="A1" s="14" t="str">
        <f>'Data sheet'!A65</f>
        <v>Annual Report of Veolia Water New York, Inc.                                                                                          Year Ended  December 31, 2023</v>
      </c>
      <c r="B1" s="98"/>
      <c r="C1" s="98"/>
      <c r="D1" s="98"/>
      <c r="E1" s="98"/>
      <c r="F1" s="16"/>
      <c r="G1" s="5"/>
    </row>
    <row r="2" spans="1:7">
      <c r="A2" s="513"/>
      <c r="B2" s="514"/>
      <c r="C2" s="514"/>
      <c r="D2" s="514"/>
      <c r="E2" s="514"/>
      <c r="F2" s="514"/>
      <c r="G2" s="515"/>
    </row>
    <row r="3" spans="1:7" ht="15.75">
      <c r="A3" s="118" t="s">
        <v>3851</v>
      </c>
      <c r="B3" s="516"/>
      <c r="C3" s="516"/>
      <c r="D3" s="516"/>
      <c r="E3" s="516"/>
      <c r="F3" s="516"/>
      <c r="G3" s="517"/>
    </row>
    <row r="4" spans="1:7">
      <c r="A4" s="518"/>
      <c r="B4" s="40"/>
      <c r="C4" s="40"/>
      <c r="D4" s="40"/>
      <c r="E4" s="40"/>
      <c r="F4" s="40"/>
      <c r="G4" s="79"/>
    </row>
    <row r="5" spans="1:7">
      <c r="A5" s="110" t="s">
        <v>284</v>
      </c>
      <c r="B5" s="177" t="s">
        <v>1012</v>
      </c>
      <c r="C5" s="177"/>
      <c r="D5" s="177"/>
      <c r="E5" s="177"/>
      <c r="F5" s="177"/>
      <c r="G5" s="271"/>
    </row>
    <row r="6" spans="1:7">
      <c r="A6" s="110" t="s">
        <v>1687</v>
      </c>
      <c r="B6" s="177" t="s">
        <v>3448</v>
      </c>
      <c r="C6" s="177"/>
      <c r="D6" s="177"/>
      <c r="E6" s="177"/>
      <c r="F6" s="177"/>
      <c r="G6" s="271"/>
    </row>
    <row r="7" spans="1:7">
      <c r="A7" s="110"/>
      <c r="B7" s="177" t="s">
        <v>3449</v>
      </c>
      <c r="C7" s="177"/>
      <c r="D7" s="177"/>
      <c r="E7" s="177"/>
      <c r="F7" s="177"/>
      <c r="G7" s="271"/>
    </row>
    <row r="8" spans="1:7">
      <c r="A8" s="110" t="s">
        <v>3053</v>
      </c>
      <c r="B8" s="177" t="s">
        <v>3450</v>
      </c>
      <c r="C8" s="177"/>
      <c r="D8" s="177"/>
      <c r="E8" s="177"/>
      <c r="F8" s="177"/>
      <c r="G8" s="271"/>
    </row>
    <row r="9" spans="1:7">
      <c r="A9" s="110"/>
      <c r="B9" s="177" t="s">
        <v>2363</v>
      </c>
      <c r="C9" s="177"/>
      <c r="D9" s="177"/>
      <c r="E9" s="177"/>
      <c r="F9" s="177"/>
      <c r="G9" s="271"/>
    </row>
    <row r="10" spans="1:7">
      <c r="A10" s="110" t="s">
        <v>2364</v>
      </c>
      <c r="B10" s="177" t="s">
        <v>2365</v>
      </c>
      <c r="C10" s="177"/>
      <c r="D10" s="177"/>
      <c r="E10" s="177"/>
      <c r="F10" s="177"/>
      <c r="G10" s="271"/>
    </row>
    <row r="11" spans="1:7">
      <c r="A11" s="110" t="s">
        <v>2366</v>
      </c>
      <c r="B11" s="177" t="s">
        <v>196</v>
      </c>
      <c r="C11" s="177"/>
      <c r="D11" s="177"/>
      <c r="E11" s="177"/>
      <c r="F11" s="177"/>
      <c r="G11" s="271"/>
    </row>
    <row r="12" spans="1:7">
      <c r="A12" s="110"/>
      <c r="B12" s="177" t="s">
        <v>197</v>
      </c>
      <c r="C12" s="177"/>
      <c r="D12" s="177"/>
      <c r="E12" s="177"/>
      <c r="F12" s="177"/>
      <c r="G12" s="271"/>
    </row>
    <row r="13" spans="1:7">
      <c r="A13" s="110" t="s">
        <v>198</v>
      </c>
      <c r="B13" s="177" t="s">
        <v>2069</v>
      </c>
      <c r="C13" s="177"/>
      <c r="D13" s="177"/>
      <c r="E13" s="177"/>
      <c r="F13" s="177"/>
      <c r="G13" s="271"/>
    </row>
    <row r="14" spans="1:7">
      <c r="A14" s="364"/>
      <c r="B14" s="98"/>
      <c r="C14" s="98"/>
      <c r="D14" s="98"/>
      <c r="E14" s="98"/>
      <c r="F14" s="98"/>
      <c r="G14" s="101"/>
    </row>
    <row r="15" spans="1:7">
      <c r="A15" s="110"/>
      <c r="B15" s="142"/>
      <c r="C15" s="620" t="s">
        <v>1840</v>
      </c>
      <c r="D15" s="149"/>
      <c r="E15" s="98"/>
      <c r="F15" s="620" t="s">
        <v>1840</v>
      </c>
      <c r="G15" s="135"/>
    </row>
    <row r="16" spans="1:7">
      <c r="A16" s="110"/>
      <c r="B16" s="142"/>
      <c r="C16" s="620" t="s">
        <v>3962</v>
      </c>
      <c r="D16" s="142"/>
      <c r="E16" s="142"/>
      <c r="F16" s="620" t="s">
        <v>2070</v>
      </c>
      <c r="G16" s="363" t="s">
        <v>2071</v>
      </c>
    </row>
    <row r="17" spans="1:10">
      <c r="A17" s="110" t="s">
        <v>1727</v>
      </c>
      <c r="B17" s="620" t="s">
        <v>2032</v>
      </c>
      <c r="C17" s="620" t="s">
        <v>1689</v>
      </c>
      <c r="D17" s="620" t="s">
        <v>2033</v>
      </c>
      <c r="E17" s="620" t="s">
        <v>2034</v>
      </c>
      <c r="F17" s="620" t="s">
        <v>712</v>
      </c>
      <c r="G17" s="363" t="s">
        <v>2035</v>
      </c>
    </row>
    <row r="18" spans="1:10">
      <c r="A18" s="364" t="s">
        <v>2036</v>
      </c>
      <c r="B18" s="621" t="s">
        <v>3279</v>
      </c>
      <c r="C18" s="621" t="s">
        <v>3280</v>
      </c>
      <c r="D18" s="621" t="s">
        <v>3281</v>
      </c>
      <c r="E18" s="621" t="s">
        <v>3282</v>
      </c>
      <c r="F18" s="621" t="s">
        <v>721</v>
      </c>
      <c r="G18" s="367" t="s">
        <v>722</v>
      </c>
    </row>
    <row r="19" spans="1:10">
      <c r="A19" s="110">
        <v>1</v>
      </c>
      <c r="B19" s="142"/>
      <c r="C19" s="492"/>
      <c r="D19" s="492"/>
      <c r="E19" s="492"/>
      <c r="F19" s="492">
        <f t="shared" ref="F19:F31" si="0">C19+D19-E19</f>
        <v>0</v>
      </c>
      <c r="G19" s="441"/>
    </row>
    <row r="20" spans="1:10">
      <c r="A20" s="110">
        <v>2</v>
      </c>
      <c r="B20" s="142"/>
      <c r="C20" s="484"/>
      <c r="D20" s="484"/>
      <c r="E20" s="484"/>
      <c r="F20" s="484">
        <f t="shared" si="0"/>
        <v>0</v>
      </c>
      <c r="G20" s="442"/>
    </row>
    <row r="21" spans="1:10">
      <c r="A21" s="110">
        <v>3</v>
      </c>
      <c r="B21" s="142"/>
      <c r="C21" s="484"/>
      <c r="D21" s="484"/>
      <c r="E21" s="484"/>
      <c r="F21" s="484">
        <f t="shared" si="0"/>
        <v>0</v>
      </c>
      <c r="G21" s="442"/>
    </row>
    <row r="22" spans="1:10">
      <c r="A22" s="110">
        <v>4</v>
      </c>
      <c r="B22" s="142"/>
      <c r="C22" s="484"/>
      <c r="D22" s="484"/>
      <c r="E22" s="484"/>
      <c r="F22" s="484">
        <f t="shared" si="0"/>
        <v>0</v>
      </c>
      <c r="G22" s="442"/>
    </row>
    <row r="23" spans="1:10">
      <c r="A23" s="110">
        <v>5</v>
      </c>
      <c r="B23" s="142"/>
      <c r="C23" s="484"/>
      <c r="D23" s="484"/>
      <c r="E23" s="484"/>
      <c r="F23" s="484">
        <f t="shared" si="0"/>
        <v>0</v>
      </c>
      <c r="G23" s="442"/>
    </row>
    <row r="24" spans="1:10">
      <c r="A24" s="110">
        <v>6</v>
      </c>
      <c r="B24" s="142"/>
      <c r="C24" s="484"/>
      <c r="D24" s="484"/>
      <c r="E24" s="484"/>
      <c r="F24" s="484">
        <f t="shared" si="0"/>
        <v>0</v>
      </c>
      <c r="G24" s="442"/>
    </row>
    <row r="25" spans="1:10">
      <c r="A25" s="110">
        <v>7</v>
      </c>
      <c r="B25" s="142"/>
      <c r="C25" s="484"/>
      <c r="D25" s="484"/>
      <c r="E25" s="484"/>
      <c r="F25" s="484">
        <f t="shared" si="0"/>
        <v>0</v>
      </c>
      <c r="G25" s="442"/>
    </row>
    <row r="26" spans="1:10">
      <c r="A26" s="110">
        <v>8</v>
      </c>
      <c r="B26" s="142"/>
      <c r="C26" s="484"/>
      <c r="D26" s="484"/>
      <c r="E26" s="484"/>
      <c r="F26" s="484">
        <f t="shared" si="0"/>
        <v>0</v>
      </c>
      <c r="G26" s="442"/>
    </row>
    <row r="27" spans="1:10">
      <c r="A27" s="110">
        <v>9</v>
      </c>
      <c r="B27" s="142"/>
      <c r="C27" s="484"/>
      <c r="D27" s="484"/>
      <c r="E27" s="484"/>
      <c r="F27" s="484">
        <f t="shared" si="0"/>
        <v>0</v>
      </c>
      <c r="G27" s="442"/>
    </row>
    <row r="28" spans="1:10">
      <c r="A28" s="110">
        <v>10</v>
      </c>
      <c r="B28" s="142"/>
      <c r="C28" s="484"/>
      <c r="D28" s="484"/>
      <c r="E28" s="484"/>
      <c r="F28" s="484">
        <f t="shared" si="0"/>
        <v>0</v>
      </c>
      <c r="G28" s="442"/>
    </row>
    <row r="29" spans="1:10">
      <c r="A29" s="110">
        <v>11</v>
      </c>
      <c r="B29" s="142"/>
      <c r="C29" s="484"/>
      <c r="D29" s="484"/>
      <c r="E29" s="484"/>
      <c r="F29" s="484">
        <f t="shared" si="0"/>
        <v>0</v>
      </c>
      <c r="G29" s="442"/>
    </row>
    <row r="30" spans="1:10">
      <c r="A30" s="110">
        <v>12</v>
      </c>
      <c r="B30" s="142"/>
      <c r="C30" s="484"/>
      <c r="D30" s="484"/>
      <c r="E30" s="484"/>
      <c r="F30" s="484">
        <f t="shared" si="0"/>
        <v>0</v>
      </c>
      <c r="G30" s="442"/>
    </row>
    <row r="31" spans="1:10">
      <c r="A31" s="110">
        <v>13</v>
      </c>
      <c r="B31" s="142"/>
      <c r="C31" s="484"/>
      <c r="D31" s="484"/>
      <c r="E31" s="484"/>
      <c r="F31" s="484">
        <f t="shared" si="0"/>
        <v>0</v>
      </c>
      <c r="G31" s="442"/>
      <c r="J31" s="140"/>
    </row>
    <row r="32" spans="1:10">
      <c r="A32" s="110">
        <v>14</v>
      </c>
      <c r="B32" s="1014" t="s">
        <v>2037</v>
      </c>
      <c r="C32" s="412">
        <f>SUM(C19:C31)</f>
        <v>0</v>
      </c>
      <c r="D32" s="412">
        <f>SUM(D19:D31)</f>
        <v>0</v>
      </c>
      <c r="E32" s="412">
        <f>SUM(E19:E31)</f>
        <v>0</v>
      </c>
      <c r="F32" s="412">
        <f>SUM(F19:F31)</f>
        <v>0</v>
      </c>
      <c r="G32" s="490">
        <f>SUM(G19:G31)</f>
        <v>0</v>
      </c>
      <c r="J32" s="140"/>
    </row>
    <row r="33" spans="1:10">
      <c r="A33" s="110">
        <v>15</v>
      </c>
      <c r="B33" s="92" t="s">
        <v>5356</v>
      </c>
      <c r="C33" s="492"/>
      <c r="D33" s="492"/>
      <c r="E33" s="492"/>
      <c r="F33" s="492"/>
      <c r="G33" s="441"/>
      <c r="J33" s="140"/>
    </row>
    <row r="34" spans="1:10">
      <c r="A34" s="110">
        <v>16</v>
      </c>
      <c r="B34" s="96"/>
      <c r="C34" s="484"/>
      <c r="D34" s="484"/>
      <c r="E34" s="484"/>
      <c r="F34" s="484"/>
      <c r="G34" s="442"/>
    </row>
    <row r="35" spans="1:10">
      <c r="A35" s="110">
        <v>17</v>
      </c>
      <c r="B35" s="96"/>
      <c r="C35" s="484"/>
      <c r="D35" s="484"/>
      <c r="E35" s="484"/>
      <c r="F35" s="484"/>
      <c r="G35" s="442"/>
    </row>
    <row r="36" spans="1:10">
      <c r="A36" s="110">
        <v>18</v>
      </c>
      <c r="B36" s="641" t="s">
        <v>5357</v>
      </c>
      <c r="C36" s="484">
        <v>71695552.163000003</v>
      </c>
      <c r="D36" s="484">
        <v>2288308.6579999998</v>
      </c>
      <c r="E36" s="484">
        <v>3381479.8790000002</v>
      </c>
      <c r="F36" s="484">
        <f>ROUND((C36+D36-E36),0)</f>
        <v>70602381</v>
      </c>
      <c r="G36" s="442" t="s">
        <v>218</v>
      </c>
      <c r="H36" s="140"/>
    </row>
    <row r="37" spans="1:10">
      <c r="A37" s="110">
        <v>19</v>
      </c>
      <c r="B37" s="641"/>
      <c r="C37" s="484"/>
      <c r="D37" s="484"/>
      <c r="E37" s="484"/>
      <c r="F37" s="484"/>
      <c r="G37" s="442"/>
      <c r="H37" s="140"/>
    </row>
    <row r="38" spans="1:10">
      <c r="A38" s="110">
        <v>20</v>
      </c>
      <c r="B38" s="641" t="s">
        <v>2404</v>
      </c>
      <c r="C38" s="484">
        <v>7416239</v>
      </c>
      <c r="D38" s="484">
        <v>1904400</v>
      </c>
      <c r="E38" s="484"/>
      <c r="F38" s="484">
        <f>ROUND((C38+D38-E38),0)</f>
        <v>9320639</v>
      </c>
      <c r="G38" s="442"/>
      <c r="H38" s="140"/>
    </row>
    <row r="39" spans="1:10">
      <c r="A39" s="110">
        <v>21</v>
      </c>
      <c r="B39" s="641" t="s">
        <v>2403</v>
      </c>
      <c r="C39" s="484">
        <v>1400696</v>
      </c>
      <c r="D39" s="484">
        <v>327148.76999999996</v>
      </c>
      <c r="E39" s="484"/>
      <c r="F39" s="484">
        <f>ROUND((C39+D39-E39),0)</f>
        <v>1727845</v>
      </c>
      <c r="G39" s="442"/>
    </row>
    <row r="40" spans="1:10">
      <c r="A40" s="110">
        <v>22</v>
      </c>
      <c r="B40" s="641"/>
      <c r="C40" s="2249"/>
      <c r="D40" s="484"/>
      <c r="E40" s="484"/>
      <c r="F40" s="484"/>
      <c r="G40" s="442"/>
    </row>
    <row r="41" spans="1:10">
      <c r="A41" s="110">
        <v>23</v>
      </c>
      <c r="B41" s="96" t="s">
        <v>5195</v>
      </c>
      <c r="C41" s="2249">
        <v>115557.636</v>
      </c>
      <c r="D41" s="484">
        <v>14092.448</v>
      </c>
      <c r="E41" s="484">
        <v>7046.22</v>
      </c>
      <c r="F41" s="484">
        <f>ROUND((C41+D41-E41),0)</f>
        <v>122604</v>
      </c>
      <c r="G41" s="442"/>
      <c r="I41" s="2717"/>
    </row>
    <row r="42" spans="1:10">
      <c r="A42" s="110">
        <v>24</v>
      </c>
      <c r="B42" s="641" t="s">
        <v>5196</v>
      </c>
      <c r="C42" s="2249">
        <v>68163.654999999999</v>
      </c>
      <c r="D42" s="484">
        <v>8578.0360000000001</v>
      </c>
      <c r="E42" s="484">
        <v>4289.0300000000007</v>
      </c>
      <c r="F42" s="484">
        <f>ROUND((C42+D42-E42),0)</f>
        <v>72453</v>
      </c>
      <c r="G42" s="442"/>
    </row>
    <row r="43" spans="1:10">
      <c r="A43" s="110">
        <v>25</v>
      </c>
      <c r="B43" s="96" t="s">
        <v>5197</v>
      </c>
      <c r="C43" s="2249">
        <v>77437.788</v>
      </c>
      <c r="D43" s="484">
        <v>28056.825000000001</v>
      </c>
      <c r="E43" s="484">
        <v>40489.400999999998</v>
      </c>
      <c r="F43" s="484">
        <f>ROUND((C43+D43-E43),0)</f>
        <v>65005</v>
      </c>
      <c r="G43" s="442" t="s">
        <v>218</v>
      </c>
    </row>
    <row r="44" spans="1:10">
      <c r="A44" s="110">
        <v>26</v>
      </c>
      <c r="B44" s="641" t="s">
        <v>5358</v>
      </c>
      <c r="C44" s="2249">
        <v>1313583.26</v>
      </c>
      <c r="D44" s="484">
        <v>1248885.2790000008</v>
      </c>
      <c r="E44" s="484">
        <v>732781.10999999987</v>
      </c>
      <c r="F44" s="484">
        <f t="shared" ref="F44:F56" si="1">ROUND((C44+D44-E44),0)</f>
        <v>1829687</v>
      </c>
      <c r="G44" s="442"/>
    </row>
    <row r="45" spans="1:10">
      <c r="A45" s="110">
        <v>27</v>
      </c>
      <c r="B45" s="96" t="s">
        <v>5359</v>
      </c>
      <c r="C45" s="2249">
        <v>1578935.7009999999</v>
      </c>
      <c r="D45" s="484">
        <v>2661561.0659999941</v>
      </c>
      <c r="E45" s="484">
        <v>1941000.4640000011</v>
      </c>
      <c r="F45" s="484">
        <f t="shared" si="1"/>
        <v>2299496</v>
      </c>
      <c r="G45" s="442"/>
    </row>
    <row r="46" spans="1:10">
      <c r="A46" s="110">
        <v>28</v>
      </c>
      <c r="B46" s="641" t="s">
        <v>5198</v>
      </c>
      <c r="C46" s="2249">
        <v>-869.625</v>
      </c>
      <c r="D46" s="484">
        <v>137836.92000000004</v>
      </c>
      <c r="E46" s="484">
        <v>68918.519999999946</v>
      </c>
      <c r="F46" s="484">
        <f t="shared" si="1"/>
        <v>68049</v>
      </c>
      <c r="G46" s="442"/>
    </row>
    <row r="47" spans="1:10">
      <c r="A47" s="110">
        <v>29</v>
      </c>
      <c r="B47" s="96" t="s">
        <v>5199</v>
      </c>
      <c r="C47" s="2249">
        <v>59240.998</v>
      </c>
      <c r="D47" s="484">
        <v>200974.91899999999</v>
      </c>
      <c r="E47" s="484">
        <v>116815.40000000002</v>
      </c>
      <c r="F47" s="484">
        <f t="shared" si="1"/>
        <v>143401</v>
      </c>
      <c r="G47" s="442"/>
    </row>
    <row r="48" spans="1:10">
      <c r="A48" s="110">
        <v>30</v>
      </c>
      <c r="B48" s="96" t="s">
        <v>5360</v>
      </c>
      <c r="C48" s="2249">
        <v>3359235.088</v>
      </c>
      <c r="D48" s="484">
        <v>318748.22400000016</v>
      </c>
      <c r="E48" s="484">
        <v>200862.02000000008</v>
      </c>
      <c r="F48" s="484">
        <f t="shared" si="1"/>
        <v>3477121</v>
      </c>
      <c r="G48" s="442"/>
    </row>
    <row r="49" spans="1:7">
      <c r="A49" s="110">
        <v>31</v>
      </c>
      <c r="B49" s="96" t="s">
        <v>5361</v>
      </c>
      <c r="C49" s="2249"/>
      <c r="D49" s="484">
        <v>6765.9599999999973</v>
      </c>
      <c r="E49" s="484">
        <v>3382.9799999999991</v>
      </c>
      <c r="F49" s="484">
        <f t="shared" si="1"/>
        <v>3383</v>
      </c>
      <c r="G49" s="442"/>
    </row>
    <row r="50" spans="1:7">
      <c r="A50" s="110">
        <v>32</v>
      </c>
      <c r="B50" s="96" t="s">
        <v>5200</v>
      </c>
      <c r="C50" s="2249">
        <v>-2901125.5700000003</v>
      </c>
      <c r="D50" s="484">
        <v>34562492.110000111</v>
      </c>
      <c r="E50" s="484">
        <v>32747677.029999651</v>
      </c>
      <c r="F50" s="484">
        <f t="shared" si="1"/>
        <v>-1086310</v>
      </c>
      <c r="G50" s="442"/>
    </row>
    <row r="51" spans="1:7">
      <c r="A51" s="110">
        <v>33</v>
      </c>
      <c r="B51" s="96" t="s">
        <v>5362</v>
      </c>
      <c r="C51" s="2249">
        <v>-259.34500000000003</v>
      </c>
      <c r="D51" s="484">
        <v>399.35</v>
      </c>
      <c r="E51" s="484">
        <v>140</v>
      </c>
      <c r="F51" s="484">
        <f t="shared" si="1"/>
        <v>0</v>
      </c>
      <c r="G51" s="442"/>
    </row>
    <row r="52" spans="1:7">
      <c r="A52" s="110">
        <v>34</v>
      </c>
      <c r="B52" s="96" t="s">
        <v>5124</v>
      </c>
      <c r="C52" s="2249">
        <v>-87083772</v>
      </c>
      <c r="D52" s="484">
        <v>472342401.78999871</v>
      </c>
      <c r="E52" s="484">
        <v>474999886.95001554</v>
      </c>
      <c r="F52" s="484">
        <f t="shared" si="1"/>
        <v>-89741257</v>
      </c>
      <c r="G52" s="442"/>
    </row>
    <row r="53" spans="1:7">
      <c r="A53" s="110">
        <v>35</v>
      </c>
      <c r="B53" s="96" t="s">
        <v>5197</v>
      </c>
      <c r="C53" s="2249"/>
      <c r="D53" s="2249">
        <v>2909.1999999999985</v>
      </c>
      <c r="E53" s="2249">
        <v>1454.5999999999997</v>
      </c>
      <c r="F53" s="484">
        <f t="shared" si="1"/>
        <v>1455</v>
      </c>
      <c r="G53" s="442"/>
    </row>
    <row r="54" spans="1:7">
      <c r="A54" s="110">
        <v>36</v>
      </c>
      <c r="B54" s="96" t="s">
        <v>5197</v>
      </c>
      <c r="C54" s="484"/>
      <c r="D54" s="484">
        <v>15474.999999999996</v>
      </c>
      <c r="E54" s="484">
        <v>7737.4999999999982</v>
      </c>
      <c r="F54" s="484">
        <f t="shared" si="1"/>
        <v>7738</v>
      </c>
      <c r="G54" s="442"/>
    </row>
    <row r="55" spans="1:7">
      <c r="A55" s="110">
        <v>37</v>
      </c>
      <c r="B55" s="96" t="s">
        <v>5363</v>
      </c>
      <c r="C55" s="484"/>
      <c r="D55" s="484">
        <v>10615640.539999999</v>
      </c>
      <c r="E55" s="484">
        <v>10615640.539999999</v>
      </c>
      <c r="F55" s="484">
        <f t="shared" si="1"/>
        <v>0</v>
      </c>
      <c r="G55" s="442"/>
    </row>
    <row r="56" spans="1:7">
      <c r="A56" s="110">
        <v>38</v>
      </c>
      <c r="B56" s="96" t="s">
        <v>5194</v>
      </c>
      <c r="C56" s="484">
        <v>-17494.510000000002</v>
      </c>
      <c r="D56" s="484"/>
      <c r="E56" s="484">
        <v>2621.739999999998</v>
      </c>
      <c r="F56" s="484">
        <f t="shared" si="1"/>
        <v>-20116</v>
      </c>
      <c r="G56" s="442"/>
    </row>
    <row r="57" spans="1:7">
      <c r="A57" s="110">
        <v>39</v>
      </c>
      <c r="B57" s="96"/>
      <c r="C57" s="484"/>
      <c r="D57" s="484"/>
      <c r="E57" s="484"/>
      <c r="F57" s="484"/>
      <c r="G57" s="442"/>
    </row>
    <row r="58" spans="1:7">
      <c r="A58" s="110">
        <v>40</v>
      </c>
      <c r="B58" s="142"/>
      <c r="C58" s="484"/>
      <c r="D58" s="484"/>
      <c r="E58" s="484"/>
      <c r="F58" s="484"/>
      <c r="G58" s="442"/>
    </row>
    <row r="59" spans="1:7">
      <c r="A59" s="110">
        <v>41</v>
      </c>
      <c r="B59" s="142"/>
      <c r="C59" s="484"/>
      <c r="D59" s="484"/>
      <c r="E59" s="484"/>
      <c r="F59" s="484"/>
      <c r="G59" s="442"/>
    </row>
    <row r="60" spans="1:7">
      <c r="A60" s="110">
        <v>42</v>
      </c>
      <c r="B60" s="142"/>
      <c r="C60" s="484"/>
      <c r="D60" s="484"/>
      <c r="E60" s="484"/>
      <c r="F60" s="484"/>
      <c r="G60" s="442"/>
    </row>
    <row r="61" spans="1:7">
      <c r="A61" s="110">
        <v>43</v>
      </c>
      <c r="B61" s="142"/>
      <c r="C61" s="484"/>
      <c r="D61" s="484"/>
      <c r="E61" s="484"/>
      <c r="F61" s="484"/>
      <c r="G61" s="442"/>
    </row>
    <row r="62" spans="1:7">
      <c r="A62" s="110">
        <v>44</v>
      </c>
      <c r="B62" s="142"/>
      <c r="C62" s="484"/>
      <c r="D62" s="484"/>
      <c r="E62" s="484"/>
      <c r="F62" s="484"/>
      <c r="G62" s="442"/>
    </row>
    <row r="63" spans="1:7">
      <c r="A63" s="110">
        <v>45</v>
      </c>
      <c r="B63" s="142"/>
      <c r="C63" s="484"/>
      <c r="D63" s="484"/>
      <c r="E63" s="484"/>
      <c r="F63" s="484"/>
      <c r="G63" s="442"/>
    </row>
    <row r="64" spans="1:7">
      <c r="A64" s="110">
        <v>46</v>
      </c>
      <c r="B64" s="142"/>
      <c r="C64" s="484"/>
      <c r="D64" s="484"/>
      <c r="E64" s="484"/>
      <c r="F64" s="484"/>
      <c r="G64" s="442"/>
    </row>
    <row r="65" spans="1:9">
      <c r="A65" s="110">
        <v>47</v>
      </c>
      <c r="B65" s="142"/>
      <c r="C65" s="484"/>
      <c r="D65" s="484"/>
      <c r="E65" s="484"/>
      <c r="F65" s="484"/>
      <c r="G65" s="442"/>
    </row>
    <row r="66" spans="1:9">
      <c r="A66" s="110">
        <v>48</v>
      </c>
      <c r="B66" s="142"/>
      <c r="C66" s="484"/>
      <c r="D66" s="484"/>
      <c r="E66" s="484"/>
      <c r="F66" s="484"/>
      <c r="G66" s="442"/>
    </row>
    <row r="67" spans="1:9">
      <c r="A67" s="110">
        <v>49</v>
      </c>
      <c r="B67" s="142"/>
      <c r="C67" s="484"/>
      <c r="D67" s="484"/>
      <c r="E67" s="484"/>
      <c r="F67" s="484"/>
      <c r="G67" s="442"/>
    </row>
    <row r="68" spans="1:9">
      <c r="A68" s="110">
        <v>50</v>
      </c>
      <c r="B68" s="142"/>
      <c r="C68" s="484"/>
      <c r="D68" s="484"/>
      <c r="E68" s="484"/>
      <c r="F68" s="484"/>
      <c r="G68" s="442"/>
    </row>
    <row r="69" spans="1:9" ht="15.75" thickBot="1">
      <c r="A69" s="437">
        <v>51</v>
      </c>
      <c r="B69" s="1015" t="s">
        <v>2038</v>
      </c>
      <c r="C69" s="486">
        <f>SUM(C33:C68)</f>
        <v>-2918879.7609999869</v>
      </c>
      <c r="D69" s="486">
        <f>SUM(D33:D68)</f>
        <v>526684675.09499884</v>
      </c>
      <c r="E69" s="486">
        <f>SUM(E33:E68)</f>
        <v>524872223.38401526</v>
      </c>
      <c r="F69" s="2598">
        <f>SUM(F33:F68)</f>
        <v>-1106426</v>
      </c>
      <c r="G69" s="401">
        <f>SUM(G33:G68)</f>
        <v>0</v>
      </c>
      <c r="H69" s="492" t="str">
        <f>IF(ROUND(F69-'255'!F70, 0)=ROUND('114115'!F34,0),"ok","error")</f>
        <v>ok</v>
      </c>
      <c r="I69" s="140"/>
    </row>
    <row r="70" spans="1:9">
      <c r="A70" s="86" t="s">
        <v>2024</v>
      </c>
      <c r="B70" s="86"/>
      <c r="C70" s="86"/>
      <c r="D70" s="86"/>
      <c r="E70" s="86"/>
      <c r="F70" s="86"/>
      <c r="G70" s="86"/>
    </row>
    <row r="71" spans="1:9">
      <c r="A71" s="5" t="s">
        <v>2039</v>
      </c>
      <c r="B71" s="5"/>
      <c r="C71" s="5"/>
      <c r="D71" s="5"/>
      <c r="E71" s="5"/>
      <c r="F71" s="419"/>
      <c r="G71" s="5"/>
    </row>
    <row r="72" spans="1:9" ht="18">
      <c r="A72" s="519"/>
      <c r="B72" s="5"/>
      <c r="C72" s="519"/>
      <c r="D72" s="519"/>
      <c r="E72" s="519"/>
      <c r="F72" s="519"/>
      <c r="G72" s="519"/>
    </row>
    <row r="73" spans="1:9" ht="18">
      <c r="A73" s="519"/>
      <c r="B73" s="519"/>
      <c r="C73" s="519"/>
      <c r="D73" s="2020"/>
      <c r="E73" s="519"/>
      <c r="F73" s="519"/>
      <c r="G73" s="519"/>
    </row>
    <row r="74" spans="1:9" ht="18">
      <c r="A74" s="519"/>
      <c r="B74" s="519"/>
      <c r="C74" s="519"/>
      <c r="D74" s="519"/>
      <c r="E74" s="519"/>
      <c r="F74" s="519"/>
      <c r="G74" s="519"/>
    </row>
    <row r="75" spans="1:9" ht="18">
      <c r="A75" s="519"/>
      <c r="B75" s="519"/>
      <c r="C75" s="519"/>
      <c r="D75" s="519"/>
      <c r="E75" s="519"/>
      <c r="F75" s="519"/>
      <c r="G75" s="519"/>
    </row>
    <row r="76" spans="1:9" ht="18">
      <c r="A76" s="519"/>
      <c r="C76" s="519"/>
      <c r="D76" s="519"/>
      <c r="E76" s="519"/>
      <c r="F76" s="519"/>
      <c r="G76" s="519"/>
    </row>
    <row r="77" spans="1:9" ht="18">
      <c r="A77" s="519"/>
      <c r="C77" s="519"/>
      <c r="D77" s="519"/>
      <c r="E77" s="519"/>
      <c r="F77" s="519"/>
      <c r="G77" s="519"/>
    </row>
    <row r="78" spans="1:9" ht="18">
      <c r="A78" s="519"/>
      <c r="B78" s="108"/>
      <c r="C78" s="519"/>
      <c r="E78" s="519"/>
      <c r="F78" s="519"/>
      <c r="G78" s="519"/>
    </row>
    <row r="79" spans="1:9" ht="18">
      <c r="A79" s="519"/>
      <c r="C79" s="519"/>
      <c r="E79" s="519"/>
      <c r="F79" s="519"/>
      <c r="G79" s="519"/>
    </row>
    <row r="80" spans="1:9" ht="18">
      <c r="A80" s="519"/>
      <c r="B80" s="108"/>
      <c r="C80" s="519"/>
      <c r="E80" s="519"/>
      <c r="F80" s="519"/>
      <c r="G80" s="519"/>
    </row>
    <row r="81" spans="1:7" ht="18">
      <c r="A81" s="519"/>
      <c r="B81" s="108"/>
      <c r="C81" s="519"/>
      <c r="E81" s="519"/>
      <c r="F81" s="519"/>
      <c r="G81" s="519"/>
    </row>
    <row r="82" spans="1:7" ht="18">
      <c r="A82" s="519"/>
      <c r="B82" s="108"/>
      <c r="C82" s="519"/>
      <c r="E82" s="519"/>
      <c r="F82" s="519"/>
      <c r="G82" s="519"/>
    </row>
    <row r="83" spans="1:7" ht="18">
      <c r="A83" s="519"/>
      <c r="B83" s="108"/>
      <c r="C83" s="519"/>
      <c r="E83" s="519"/>
      <c r="F83" s="519"/>
      <c r="G83" s="519"/>
    </row>
    <row r="84" spans="1:7" ht="18">
      <c r="A84" s="519"/>
      <c r="B84" s="108"/>
      <c r="C84" s="519"/>
      <c r="E84" s="519"/>
      <c r="F84" s="519"/>
      <c r="G84" s="519"/>
    </row>
    <row r="85" spans="1:7" ht="18">
      <c r="A85" s="519"/>
      <c r="B85" s="86"/>
      <c r="C85" s="519"/>
      <c r="E85" s="519"/>
      <c r="F85" s="519"/>
      <c r="G85" s="519"/>
    </row>
    <row r="86" spans="1:7" ht="18">
      <c r="A86" s="519"/>
      <c r="B86" s="108"/>
      <c r="C86" s="519"/>
      <c r="E86" s="519"/>
      <c r="F86" s="519"/>
      <c r="G86" s="519"/>
    </row>
  </sheetData>
  <phoneticPr fontId="0" type="noConversion"/>
  <printOptions horizontalCentered="1" verticalCentered="1"/>
  <pageMargins left="0.4" right="0.4" top="0.3" bottom="0.3" header="0" footer="0"/>
  <pageSetup scale="71"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ransitionEvaluation="1" codeName="Sheet38"/>
  <dimension ref="A1:I69"/>
  <sheetViews>
    <sheetView defaultGridColor="0" colorId="22" zoomScaleNormal="100" workbookViewId="0">
      <selection activeCell="C27" sqref="C27"/>
    </sheetView>
  </sheetViews>
  <sheetFormatPr defaultColWidth="9.77734375" defaultRowHeight="15"/>
  <cols>
    <col min="1" max="1" width="4.77734375" customWidth="1"/>
    <col min="2" max="2" width="50.6640625" customWidth="1"/>
    <col min="3" max="3" width="18.77734375" customWidth="1"/>
    <col min="4" max="4" width="0" hidden="1" customWidth="1"/>
    <col min="5" max="5" width="18.77734375" customWidth="1"/>
    <col min="6" max="6" width="17.77734375" customWidth="1"/>
    <col min="8" max="9" width="12.44140625" bestFit="1" customWidth="1"/>
  </cols>
  <sheetData>
    <row r="1" spans="1:6" ht="15.75" thickBot="1">
      <c r="A1" t="str">
        <f>'Data sheet'!A63</f>
        <v>Annual Report of Veolia Water New York, Inc.                                                                             Year Ended  December 31, 2023</v>
      </c>
    </row>
    <row r="2" spans="1:6">
      <c r="A2" s="80"/>
      <c r="B2" s="81"/>
      <c r="C2" s="81"/>
      <c r="D2" s="81"/>
      <c r="E2" s="81"/>
      <c r="F2" s="82"/>
    </row>
    <row r="3" spans="1:6" ht="15.75">
      <c r="A3" s="118" t="s">
        <v>3914</v>
      </c>
      <c r="B3" s="4"/>
      <c r="C3" s="4"/>
      <c r="D3" s="4"/>
      <c r="E3" s="4"/>
      <c r="F3" s="119"/>
    </row>
    <row r="4" spans="1:6">
      <c r="A4" s="123"/>
      <c r="B4" s="224"/>
      <c r="C4" s="224"/>
      <c r="D4" s="224"/>
      <c r="E4" s="128"/>
      <c r="F4" s="225"/>
    </row>
    <row r="5" spans="1:6">
      <c r="A5" s="83" t="s">
        <v>3915</v>
      </c>
      <c r="F5" s="214"/>
    </row>
    <row r="6" spans="1:6">
      <c r="A6" s="83" t="s">
        <v>1688</v>
      </c>
      <c r="F6" s="214"/>
    </row>
    <row r="7" spans="1:6">
      <c r="A7" s="83" t="s">
        <v>3623</v>
      </c>
      <c r="F7" s="214"/>
    </row>
    <row r="8" spans="1:6">
      <c r="A8" s="83" t="s">
        <v>3624</v>
      </c>
      <c r="F8" s="214"/>
    </row>
    <row r="9" spans="1:6">
      <c r="A9" s="83" t="s">
        <v>160</v>
      </c>
      <c r="F9" s="214"/>
    </row>
    <row r="10" spans="1:6">
      <c r="A10" s="83" t="s">
        <v>161</v>
      </c>
      <c r="F10" s="214"/>
    </row>
    <row r="11" spans="1:6">
      <c r="A11" s="83" t="s">
        <v>162</v>
      </c>
      <c r="F11" s="214"/>
    </row>
    <row r="12" spans="1:6">
      <c r="A12" s="83"/>
      <c r="F12" s="214"/>
    </row>
    <row r="13" spans="1:6">
      <c r="A13" s="520"/>
      <c r="B13" s="521"/>
      <c r="C13" s="712" t="s">
        <v>1840</v>
      </c>
      <c r="D13" s="242"/>
      <c r="E13" s="242"/>
      <c r="F13" s="791" t="s">
        <v>163</v>
      </c>
    </row>
    <row r="14" spans="1:6">
      <c r="A14" s="479" t="s">
        <v>1727</v>
      </c>
      <c r="B14" s="713" t="s">
        <v>4315</v>
      </c>
      <c r="C14" s="714" t="s">
        <v>164</v>
      </c>
      <c r="E14" s="600" t="s">
        <v>1840</v>
      </c>
      <c r="F14" s="796" t="s">
        <v>165</v>
      </c>
    </row>
    <row r="15" spans="1:6">
      <c r="A15" s="479" t="s">
        <v>1739</v>
      </c>
      <c r="B15" s="522"/>
      <c r="C15" s="714" t="s">
        <v>712</v>
      </c>
      <c r="E15" s="600" t="s">
        <v>1627</v>
      </c>
      <c r="F15" s="796" t="s">
        <v>166</v>
      </c>
    </row>
    <row r="16" spans="1:6">
      <c r="A16" s="524"/>
      <c r="B16" s="713" t="s">
        <v>3279</v>
      </c>
      <c r="C16" s="715" t="s">
        <v>3280</v>
      </c>
      <c r="E16" s="600" t="s">
        <v>3281</v>
      </c>
      <c r="F16" s="792" t="s">
        <v>3282</v>
      </c>
    </row>
    <row r="17" spans="1:7">
      <c r="A17" s="525">
        <v>1</v>
      </c>
      <c r="B17" s="457" t="s">
        <v>167</v>
      </c>
      <c r="C17" s="458"/>
      <c r="D17" s="526"/>
      <c r="E17" s="458"/>
      <c r="F17" s="527"/>
    </row>
    <row r="18" spans="1:7">
      <c r="A18" s="525">
        <v>2</v>
      </c>
      <c r="B18" s="457" t="s">
        <v>1133</v>
      </c>
      <c r="C18" s="464"/>
      <c r="D18" s="526"/>
      <c r="E18" s="464"/>
      <c r="F18" s="527"/>
    </row>
    <row r="19" spans="1:7">
      <c r="A19" s="525">
        <v>3</v>
      </c>
      <c r="B19" s="457" t="s">
        <v>1134</v>
      </c>
      <c r="C19" s="528"/>
      <c r="D19" s="529"/>
      <c r="E19" s="528"/>
      <c r="F19" s="530"/>
    </row>
    <row r="20" spans="1:7">
      <c r="A20" s="525">
        <v>4</v>
      </c>
      <c r="B20" s="457" t="s">
        <v>603</v>
      </c>
      <c r="C20" s="465"/>
      <c r="D20" s="457"/>
      <c r="E20" s="465"/>
      <c r="F20" s="527"/>
    </row>
    <row r="21" spans="1:7">
      <c r="A21" s="525">
        <v>5</v>
      </c>
      <c r="B21" s="457" t="s">
        <v>3668</v>
      </c>
      <c r="C21" s="531">
        <v>3196500</v>
      </c>
      <c r="D21" s="457"/>
      <c r="E21" s="531">
        <v>2628339</v>
      </c>
      <c r="F21" s="527"/>
    </row>
    <row r="22" spans="1:7">
      <c r="A22" s="525">
        <v>6</v>
      </c>
      <c r="B22" s="457" t="s">
        <v>3669</v>
      </c>
      <c r="C22" s="382">
        <v>113825</v>
      </c>
      <c r="D22" s="526"/>
      <c r="E22" s="382">
        <v>27027</v>
      </c>
      <c r="F22" s="527"/>
    </row>
    <row r="23" spans="1:7">
      <c r="A23" s="525">
        <v>7</v>
      </c>
      <c r="B23" s="457" t="s">
        <v>3670</v>
      </c>
      <c r="C23" s="464"/>
      <c r="D23" s="526"/>
      <c r="E23" s="464"/>
      <c r="F23" s="527"/>
    </row>
    <row r="24" spans="1:7">
      <c r="A24" s="525">
        <v>8</v>
      </c>
      <c r="B24" s="457" t="s">
        <v>3671</v>
      </c>
      <c r="C24" s="464"/>
      <c r="D24" s="526"/>
      <c r="E24" s="464"/>
      <c r="F24" s="527"/>
    </row>
    <row r="25" spans="1:7">
      <c r="A25" s="525">
        <v>9</v>
      </c>
      <c r="B25" s="457" t="s">
        <v>2072</v>
      </c>
      <c r="C25" s="464"/>
      <c r="D25" s="526"/>
      <c r="E25" s="464"/>
      <c r="F25" s="527"/>
      <c r="G25" s="1527"/>
    </row>
    <row r="26" spans="1:7">
      <c r="A26" s="525">
        <v>10</v>
      </c>
      <c r="B26" s="457" t="s">
        <v>2073</v>
      </c>
      <c r="C26" s="484">
        <v>205445</v>
      </c>
      <c r="D26" s="526"/>
      <c r="E26" s="484">
        <v>333655</v>
      </c>
      <c r="F26" s="527"/>
      <c r="G26" s="1527"/>
    </row>
    <row r="27" spans="1:7">
      <c r="A27" s="525">
        <v>11</v>
      </c>
      <c r="B27" s="457" t="s">
        <v>2074</v>
      </c>
      <c r="C27" s="531">
        <f>SUM(C21:C26)</f>
        <v>3515770</v>
      </c>
      <c r="D27" s="457"/>
      <c r="E27" s="531">
        <f>SUM(E21:E26)</f>
        <v>2989021</v>
      </c>
      <c r="F27" s="527"/>
      <c r="G27" s="1527"/>
    </row>
    <row r="28" spans="1:7">
      <c r="A28" s="525">
        <v>12</v>
      </c>
      <c r="B28" s="457" t="s">
        <v>397</v>
      </c>
      <c r="C28" s="464"/>
      <c r="D28" s="526"/>
      <c r="E28" s="464"/>
      <c r="F28" s="527"/>
      <c r="G28" s="1527"/>
    </row>
    <row r="29" spans="1:7">
      <c r="A29" s="525">
        <v>13</v>
      </c>
      <c r="B29" s="457" t="s">
        <v>398</v>
      </c>
      <c r="C29" s="464"/>
      <c r="D29" s="526"/>
      <c r="E29" s="464"/>
      <c r="F29" s="527"/>
      <c r="G29" s="1527"/>
    </row>
    <row r="30" spans="1:7">
      <c r="A30" s="520">
        <v>14</v>
      </c>
      <c r="B30" s="467"/>
      <c r="C30" s="532"/>
      <c r="D30" s="533"/>
      <c r="E30" s="532"/>
      <c r="F30" s="534"/>
    </row>
    <row r="31" spans="1:7">
      <c r="A31" s="525">
        <v>14</v>
      </c>
      <c r="B31" s="457" t="s">
        <v>399</v>
      </c>
      <c r="C31" s="464"/>
      <c r="D31" s="526"/>
      <c r="E31" s="464"/>
      <c r="F31" s="527"/>
    </row>
    <row r="32" spans="1:7">
      <c r="A32" s="525">
        <v>15</v>
      </c>
      <c r="B32" s="457"/>
      <c r="C32" s="464"/>
      <c r="D32" s="526"/>
      <c r="E32" s="464"/>
      <c r="F32" s="527"/>
    </row>
    <row r="33" spans="1:9">
      <c r="A33" s="525">
        <v>16</v>
      </c>
      <c r="B33" s="457"/>
      <c r="C33" s="464"/>
      <c r="D33" s="526"/>
      <c r="E33" s="464"/>
      <c r="F33" s="527"/>
    </row>
    <row r="34" spans="1:9">
      <c r="A34" s="525">
        <v>17</v>
      </c>
      <c r="B34" s="457"/>
      <c r="C34" s="464"/>
      <c r="D34" s="526"/>
      <c r="E34" s="464"/>
      <c r="F34" s="527"/>
    </row>
    <row r="35" spans="1:9">
      <c r="A35" s="525">
        <v>18</v>
      </c>
      <c r="B35" s="457"/>
      <c r="C35" s="464"/>
      <c r="D35" s="526"/>
      <c r="E35" s="464"/>
      <c r="F35" s="527"/>
    </row>
    <row r="36" spans="1:9" ht="15.75" thickBot="1">
      <c r="A36" s="535">
        <v>19</v>
      </c>
      <c r="B36" s="536" t="s">
        <v>400</v>
      </c>
      <c r="C36" s="537">
        <f>SUM(C17:C19)+SUM(C27:C30)+SUM(C31:C35)</f>
        <v>3515770</v>
      </c>
      <c r="D36" s="536"/>
      <c r="E36" s="537">
        <f>SUM(E17:E19)+SUM(E27:E30)+SUM(E31:E35)</f>
        <v>2989021</v>
      </c>
      <c r="F36" s="538"/>
      <c r="G36" t="str">
        <f>IF(ROUND(E36, 0)=ROUND('114115'!F35, 0),"ok","error")</f>
        <v>ok</v>
      </c>
      <c r="I36" s="1574"/>
    </row>
    <row r="37" spans="1:9">
      <c r="A37" s="83"/>
      <c r="F37" s="214"/>
      <c r="I37" s="1574"/>
    </row>
    <row r="38" spans="1:9" ht="15.75">
      <c r="A38" s="118" t="s">
        <v>2799</v>
      </c>
      <c r="B38" s="4"/>
      <c r="C38" s="539"/>
      <c r="D38" s="4"/>
      <c r="E38" s="4"/>
      <c r="F38" s="119"/>
    </row>
    <row r="39" spans="1:9" ht="15.75">
      <c r="A39" s="540"/>
      <c r="B39" s="121"/>
      <c r="C39" s="541"/>
      <c r="D39" s="224"/>
      <c r="E39" s="224"/>
      <c r="F39" s="225"/>
    </row>
    <row r="40" spans="1:9">
      <c r="A40" s="351"/>
      <c r="B40" s="432" t="s">
        <v>2800</v>
      </c>
      <c r="C40" s="432"/>
      <c r="F40" s="214"/>
    </row>
    <row r="41" spans="1:9">
      <c r="A41" s="351"/>
      <c r="B41" s="432"/>
      <c r="C41" s="432"/>
      <c r="F41" s="214"/>
    </row>
    <row r="42" spans="1:9">
      <c r="A42" s="351"/>
      <c r="B42" t="s">
        <v>2801</v>
      </c>
      <c r="C42" s="432"/>
      <c r="F42" s="214"/>
    </row>
    <row r="43" spans="1:9">
      <c r="A43" s="83"/>
      <c r="C43" s="432"/>
      <c r="F43" s="214"/>
    </row>
    <row r="44" spans="1:9">
      <c r="A44" s="542"/>
      <c r="B44" s="242"/>
      <c r="C44" s="543"/>
      <c r="E44" s="242"/>
      <c r="F44" s="813" t="s">
        <v>2802</v>
      </c>
    </row>
    <row r="45" spans="1:9">
      <c r="A45" s="330" t="s">
        <v>3143</v>
      </c>
      <c r="B45" s="4" t="s">
        <v>2803</v>
      </c>
      <c r="C45" s="539"/>
      <c r="D45" s="4"/>
      <c r="E45" s="4"/>
      <c r="F45" s="818" t="s">
        <v>1840</v>
      </c>
    </row>
    <row r="46" spans="1:9">
      <c r="A46" s="544" t="s">
        <v>2036</v>
      </c>
      <c r="B46" s="541" t="s">
        <v>3279</v>
      </c>
      <c r="C46" s="541"/>
      <c r="D46" s="4"/>
      <c r="E46" s="121"/>
      <c r="F46" s="1010" t="s">
        <v>3280</v>
      </c>
    </row>
    <row r="47" spans="1:9">
      <c r="A47" s="545">
        <v>1</v>
      </c>
      <c r="B47" s="546" t="s">
        <v>2804</v>
      </c>
      <c r="C47" s="547"/>
      <c r="D47" s="224"/>
      <c r="E47" s="224"/>
      <c r="F47" s="548">
        <v>9137620</v>
      </c>
    </row>
    <row r="48" spans="1:9">
      <c r="A48" s="545">
        <v>2</v>
      </c>
      <c r="B48" s="434" t="s">
        <v>4784</v>
      </c>
      <c r="C48" s="549"/>
      <c r="D48" s="224"/>
      <c r="E48" s="224"/>
      <c r="F48" s="550">
        <v>89262</v>
      </c>
    </row>
    <row r="49" spans="1:7">
      <c r="A49" s="545">
        <v>3</v>
      </c>
      <c r="B49" s="434"/>
      <c r="C49" s="549"/>
      <c r="D49" s="224"/>
      <c r="E49" s="224"/>
      <c r="F49" s="590"/>
    </row>
    <row r="50" spans="1:7">
      <c r="A50" s="545">
        <v>4</v>
      </c>
      <c r="B50" s="434"/>
      <c r="C50" s="549"/>
      <c r="D50" s="224"/>
      <c r="E50" s="224"/>
      <c r="F50" s="550"/>
    </row>
    <row r="51" spans="1:7">
      <c r="A51" s="545">
        <v>5</v>
      </c>
      <c r="B51" s="434"/>
      <c r="C51" s="549"/>
      <c r="D51" s="224"/>
      <c r="E51" s="224"/>
      <c r="F51" s="550"/>
    </row>
    <row r="52" spans="1:7">
      <c r="A52" s="545">
        <v>6</v>
      </c>
      <c r="B52" s="434"/>
      <c r="C52" s="549"/>
      <c r="D52" s="224"/>
      <c r="E52" s="224"/>
      <c r="F52" s="550"/>
    </row>
    <row r="53" spans="1:7">
      <c r="A53" s="545">
        <v>7</v>
      </c>
      <c r="B53" s="434"/>
      <c r="C53" s="549"/>
      <c r="D53" s="224"/>
      <c r="E53" s="224"/>
      <c r="F53" s="550"/>
    </row>
    <row r="54" spans="1:7">
      <c r="A54" s="545">
        <v>8</v>
      </c>
      <c r="B54" s="434"/>
      <c r="C54" s="549"/>
      <c r="D54" s="224"/>
      <c r="E54" s="224"/>
      <c r="F54" s="550"/>
    </row>
    <row r="55" spans="1:7">
      <c r="A55" s="545">
        <v>9</v>
      </c>
      <c r="B55" s="434"/>
      <c r="C55" s="549"/>
      <c r="D55" s="224"/>
      <c r="E55" s="224"/>
      <c r="F55" s="550"/>
    </row>
    <row r="56" spans="1:7">
      <c r="A56" s="545">
        <v>10</v>
      </c>
      <c r="B56" s="434"/>
      <c r="C56" s="549"/>
      <c r="D56" s="224"/>
      <c r="E56" s="224"/>
      <c r="F56" s="550"/>
    </row>
    <row r="57" spans="1:7">
      <c r="A57" s="545">
        <v>11</v>
      </c>
      <c r="B57" s="434"/>
      <c r="C57" s="549"/>
      <c r="D57" s="224"/>
      <c r="E57" s="224"/>
      <c r="F57" s="550"/>
    </row>
    <row r="58" spans="1:7">
      <c r="A58" s="545">
        <v>12</v>
      </c>
      <c r="B58" s="434"/>
      <c r="C58" s="549"/>
      <c r="D58" s="224"/>
      <c r="E58" s="224"/>
      <c r="F58" s="1590"/>
    </row>
    <row r="59" spans="1:7">
      <c r="A59" s="545">
        <v>13</v>
      </c>
      <c r="B59" s="434" t="s">
        <v>218</v>
      </c>
      <c r="C59" s="549"/>
      <c r="D59" s="224"/>
      <c r="E59" s="224"/>
      <c r="F59" s="550" t="s">
        <v>218</v>
      </c>
    </row>
    <row r="60" spans="1:7" ht="15.75" thickBot="1">
      <c r="A60" s="551">
        <v>14</v>
      </c>
      <c r="B60" s="444" t="s">
        <v>1498</v>
      </c>
      <c r="C60" s="552"/>
      <c r="D60" s="125"/>
      <c r="E60" s="125"/>
      <c r="F60" s="553">
        <f>SUM(F47:F59)</f>
        <v>9226882</v>
      </c>
      <c r="G60" t="str">
        <f>IF(ROUND(F60, 0)=ROUND('114115'!F36,0), "ok","error")</f>
        <v>ok</v>
      </c>
    </row>
    <row r="61" spans="1:7">
      <c r="F61" s="213" t="s">
        <v>2024</v>
      </c>
    </row>
    <row r="62" spans="1:7">
      <c r="A62" s="4" t="s">
        <v>1499</v>
      </c>
      <c r="B62" s="4"/>
      <c r="C62" s="4"/>
      <c r="D62" s="4"/>
      <c r="E62" s="4"/>
      <c r="F62" s="4"/>
    </row>
    <row r="63" spans="1:7">
      <c r="A63" s="4"/>
      <c r="B63" s="4"/>
      <c r="C63" s="4"/>
      <c r="D63" s="4"/>
      <c r="E63" s="4"/>
      <c r="F63" s="4"/>
    </row>
    <row r="64" spans="1:7">
      <c r="A64" s="4"/>
      <c r="B64" s="4"/>
      <c r="C64" s="4"/>
      <c r="D64" s="4"/>
      <c r="E64" s="4"/>
      <c r="F64" s="1754"/>
    </row>
    <row r="65" spans="1:6">
      <c r="A65" s="4"/>
      <c r="B65" s="4"/>
      <c r="C65" s="4"/>
      <c r="D65" s="4"/>
      <c r="E65" s="4"/>
      <c r="F65" s="4"/>
    </row>
    <row r="66" spans="1:6">
      <c r="A66" s="4"/>
      <c r="B66" s="4"/>
      <c r="C66" s="4"/>
      <c r="D66" s="4"/>
      <c r="E66" s="4"/>
      <c r="F66" s="4"/>
    </row>
    <row r="67" spans="1:6">
      <c r="A67" s="4"/>
      <c r="B67" s="4"/>
      <c r="C67" s="4"/>
      <c r="D67" s="4"/>
      <c r="E67" s="4"/>
      <c r="F67" s="4"/>
    </row>
    <row r="68" spans="1:6">
      <c r="A68" s="4"/>
      <c r="B68" s="4"/>
      <c r="C68" s="4"/>
      <c r="D68" s="4"/>
      <c r="E68" s="4"/>
      <c r="F68" s="4"/>
    </row>
    <row r="69" spans="1:6">
      <c r="A69" s="4"/>
      <c r="B69" s="4"/>
      <c r="C69" s="4"/>
      <c r="D69" s="4"/>
      <c r="E69" s="4"/>
      <c r="F69" s="4"/>
    </row>
  </sheetData>
  <phoneticPr fontId="0" type="noConversion"/>
  <printOptions horizontalCentered="1" verticalCentered="1"/>
  <pageMargins left="0.4" right="0.4" top="0.3" bottom="0.3" header="0" footer="0"/>
  <pageSetup scale="74"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ransitionEvaluation="1" codeName="Sheet39">
    <pageSetUpPr fitToPage="1"/>
  </sheetPr>
  <dimension ref="A1:K154"/>
  <sheetViews>
    <sheetView defaultGridColor="0" colorId="22" zoomScaleNormal="100" workbookViewId="0">
      <selection activeCell="G55" sqref="G55"/>
    </sheetView>
  </sheetViews>
  <sheetFormatPr defaultColWidth="9.77734375" defaultRowHeight="15"/>
  <cols>
    <col min="1" max="1" width="4.77734375" customWidth="1"/>
    <col min="2" max="2" width="52.88671875" customWidth="1"/>
    <col min="3" max="4" width="12.77734375" customWidth="1"/>
    <col min="5" max="5" width="11.6640625" customWidth="1"/>
    <col min="6" max="6" width="10.88671875" customWidth="1"/>
    <col min="7" max="7" width="12.77734375" customWidth="1"/>
    <col min="8" max="8" width="11.33203125" bestFit="1" customWidth="1"/>
    <col min="9" max="9" width="10.44140625" bestFit="1" customWidth="1"/>
    <col min="10" max="10" width="12.88671875" bestFit="1" customWidth="1"/>
  </cols>
  <sheetData>
    <row r="1" spans="1:7" ht="15.75" thickBot="1">
      <c r="A1" t="str">
        <f>'Data sheet'!A61</f>
        <v>Annual Report of Veolia Water New York, Inc.                                                                       Year Ended  December 31, 2023</v>
      </c>
    </row>
    <row r="2" spans="1:7">
      <c r="A2" s="129"/>
      <c r="B2" s="130"/>
      <c r="C2" s="130"/>
      <c r="D2" s="130"/>
      <c r="E2" s="130"/>
      <c r="F2" s="81"/>
      <c r="G2" s="131"/>
    </row>
    <row r="3" spans="1:7" ht="15.75">
      <c r="A3" s="118" t="s">
        <v>2092</v>
      </c>
      <c r="B3" s="5"/>
      <c r="C3" s="5"/>
      <c r="D3" s="5"/>
      <c r="E3" s="5"/>
      <c r="F3" s="5"/>
      <c r="G3" s="132"/>
    </row>
    <row r="4" spans="1:7">
      <c r="A4" s="97"/>
      <c r="B4" s="98"/>
      <c r="C4" s="98"/>
      <c r="D4" s="98"/>
      <c r="E4" s="128"/>
      <c r="F4" s="98"/>
      <c r="G4" s="225"/>
    </row>
    <row r="5" spans="1:7">
      <c r="A5" s="85"/>
      <c r="B5" s="1016" t="s">
        <v>2093</v>
      </c>
      <c r="C5" s="620" t="s">
        <v>1738</v>
      </c>
      <c r="D5" s="620" t="s">
        <v>2094</v>
      </c>
      <c r="E5" s="134" t="s">
        <v>2095</v>
      </c>
      <c r="F5" s="117"/>
      <c r="G5" s="87"/>
    </row>
    <row r="6" spans="1:7">
      <c r="A6" s="85"/>
      <c r="B6" s="1016" t="s">
        <v>2096</v>
      </c>
      <c r="C6" s="620" t="s">
        <v>1291</v>
      </c>
      <c r="D6" s="620" t="s">
        <v>2097</v>
      </c>
      <c r="E6" s="365" t="s">
        <v>2098</v>
      </c>
      <c r="F6" s="366"/>
      <c r="G6" s="87"/>
    </row>
    <row r="7" spans="1:7">
      <c r="A7" s="85"/>
      <c r="B7" s="1016" t="s">
        <v>4227</v>
      </c>
      <c r="C7" s="620" t="s">
        <v>4228</v>
      </c>
      <c r="D7" s="620" t="s">
        <v>4229</v>
      </c>
      <c r="E7" s="620" t="s">
        <v>4315</v>
      </c>
      <c r="F7" s="96"/>
      <c r="G7" s="428" t="s">
        <v>1625</v>
      </c>
    </row>
    <row r="8" spans="1:7">
      <c r="A8" s="110" t="s">
        <v>1727</v>
      </c>
      <c r="B8" s="1016" t="s">
        <v>4230</v>
      </c>
      <c r="C8" s="522"/>
      <c r="D8" s="522"/>
      <c r="E8" s="620" t="s">
        <v>4231</v>
      </c>
      <c r="F8" s="109" t="s">
        <v>1291</v>
      </c>
      <c r="G8" s="428" t="s">
        <v>1627</v>
      </c>
    </row>
    <row r="9" spans="1:7">
      <c r="A9" s="364" t="s">
        <v>1739</v>
      </c>
      <c r="B9" s="1017" t="s">
        <v>3279</v>
      </c>
      <c r="C9" s="621" t="s">
        <v>3280</v>
      </c>
      <c r="D9" s="621" t="s">
        <v>3281</v>
      </c>
      <c r="E9" s="621" t="s">
        <v>3282</v>
      </c>
      <c r="F9" s="997" t="s">
        <v>721</v>
      </c>
      <c r="G9" s="424" t="s">
        <v>722</v>
      </c>
    </row>
    <row r="10" spans="1:7">
      <c r="A10" s="85">
        <v>1</v>
      </c>
      <c r="B10" s="620" t="s">
        <v>2289</v>
      </c>
      <c r="C10" s="492"/>
      <c r="D10" s="492"/>
      <c r="E10" s="142"/>
      <c r="F10" s="554"/>
      <c r="G10" s="435"/>
    </row>
    <row r="11" spans="1:7">
      <c r="A11" s="85">
        <v>2</v>
      </c>
      <c r="B11" s="142"/>
      <c r="C11" s="484"/>
      <c r="D11" s="484"/>
      <c r="E11" s="142"/>
      <c r="F11" s="508"/>
      <c r="G11" s="427"/>
    </row>
    <row r="12" spans="1:7">
      <c r="A12" s="85">
        <v>3</v>
      </c>
      <c r="B12" s="142"/>
      <c r="C12" s="484"/>
      <c r="D12" s="484"/>
      <c r="E12" s="142"/>
      <c r="F12" s="508"/>
      <c r="G12" s="427"/>
    </row>
    <row r="13" spans="1:7">
      <c r="A13" s="85">
        <v>4</v>
      </c>
      <c r="B13" s="142"/>
      <c r="C13" s="484"/>
      <c r="D13" s="484"/>
      <c r="E13" s="142"/>
      <c r="F13" s="508"/>
      <c r="G13" s="427"/>
    </row>
    <row r="14" spans="1:7">
      <c r="A14" s="85">
        <v>5</v>
      </c>
      <c r="B14" s="142"/>
      <c r="C14" s="484"/>
      <c r="D14" s="484"/>
      <c r="E14" s="142"/>
      <c r="F14" s="508"/>
      <c r="G14" s="427"/>
    </row>
    <row r="15" spans="1:7">
      <c r="A15" s="85">
        <v>6</v>
      </c>
      <c r="B15" s="142"/>
      <c r="C15" s="484"/>
      <c r="D15" s="484"/>
      <c r="E15" s="142"/>
      <c r="F15" s="508"/>
      <c r="G15" s="427"/>
    </row>
    <row r="16" spans="1:7">
      <c r="A16" s="85">
        <v>7</v>
      </c>
      <c r="B16" s="142"/>
      <c r="C16" s="484"/>
      <c r="D16" s="484"/>
      <c r="E16" s="142"/>
      <c r="F16" s="508"/>
      <c r="G16" s="427"/>
    </row>
    <row r="17" spans="1:7">
      <c r="A17" s="85">
        <v>8</v>
      </c>
      <c r="B17" s="142"/>
      <c r="C17" s="484"/>
      <c r="D17" s="484"/>
      <c r="E17" s="142"/>
      <c r="F17" s="508"/>
      <c r="G17" s="427"/>
    </row>
    <row r="18" spans="1:7">
      <c r="A18" s="85">
        <v>9</v>
      </c>
      <c r="B18" s="142"/>
      <c r="C18" s="484"/>
      <c r="D18" s="484"/>
      <c r="E18" s="142"/>
      <c r="F18" s="508"/>
      <c r="G18" s="427"/>
    </row>
    <row r="19" spans="1:7">
      <c r="A19" s="85">
        <v>10</v>
      </c>
      <c r="B19" s="142"/>
      <c r="C19" s="484"/>
      <c r="D19" s="484"/>
      <c r="E19" s="142"/>
      <c r="F19" s="508"/>
      <c r="G19" s="427"/>
    </row>
    <row r="20" spans="1:7">
      <c r="A20" s="85">
        <v>11</v>
      </c>
      <c r="B20" s="142"/>
      <c r="C20" s="484"/>
      <c r="D20" s="484"/>
      <c r="E20" s="142"/>
      <c r="F20" s="508"/>
      <c r="G20" s="427"/>
    </row>
    <row r="21" spans="1:7">
      <c r="A21" s="85">
        <v>12</v>
      </c>
      <c r="B21" s="142"/>
      <c r="C21" s="484"/>
      <c r="D21" s="484"/>
      <c r="E21" s="142"/>
      <c r="F21" s="508"/>
      <c r="G21" s="427"/>
    </row>
    <row r="22" spans="1:7">
      <c r="A22" s="85">
        <v>13</v>
      </c>
      <c r="B22" s="142"/>
      <c r="C22" s="484"/>
      <c r="D22" s="484"/>
      <c r="E22" s="142"/>
      <c r="F22" s="508"/>
      <c r="G22" s="427"/>
    </row>
    <row r="23" spans="1:7">
      <c r="A23" s="85">
        <v>14</v>
      </c>
      <c r="B23" s="142"/>
      <c r="C23" s="484"/>
      <c r="D23" s="484"/>
      <c r="E23" s="142"/>
      <c r="F23" s="508"/>
      <c r="G23" s="427"/>
    </row>
    <row r="24" spans="1:7">
      <c r="A24" s="85">
        <v>15</v>
      </c>
      <c r="B24" s="142"/>
      <c r="C24" s="484"/>
      <c r="D24" s="484"/>
      <c r="E24" s="142"/>
      <c r="F24" s="508"/>
      <c r="G24" s="427"/>
    </row>
    <row r="25" spans="1:7">
      <c r="A25" s="85">
        <v>16</v>
      </c>
      <c r="B25" s="149"/>
      <c r="C25" s="482"/>
      <c r="D25" s="482"/>
      <c r="E25" s="149"/>
      <c r="F25" s="555"/>
      <c r="G25" s="423"/>
    </row>
    <row r="26" spans="1:7" ht="15.75" thickBot="1">
      <c r="A26" s="154">
        <v>17</v>
      </c>
      <c r="B26" s="556" t="s">
        <v>4232</v>
      </c>
      <c r="C26" s="487">
        <f>SUM(C10:C25)</f>
        <v>0</v>
      </c>
      <c r="D26" s="487">
        <f>SUM(D10:D25)</f>
        <v>0</v>
      </c>
      <c r="E26" s="557"/>
      <c r="F26" s="558">
        <f>SUM(F10:F25)</f>
        <v>0</v>
      </c>
      <c r="G26" s="438">
        <f>SUM(G10:G25)</f>
        <v>0</v>
      </c>
    </row>
    <row r="27" spans="1:7">
      <c r="A27" s="85"/>
      <c r="B27" s="86"/>
      <c r="C27" s="404"/>
      <c r="D27" s="404"/>
      <c r="E27" s="86"/>
      <c r="F27" s="404"/>
      <c r="G27" s="435"/>
    </row>
    <row r="28" spans="1:7" ht="15.75">
      <c r="A28" s="118" t="s">
        <v>4233</v>
      </c>
      <c r="B28" s="5"/>
      <c r="C28" s="5"/>
      <c r="D28" s="5"/>
      <c r="E28" s="5"/>
      <c r="F28" s="1936"/>
      <c r="G28" s="132"/>
    </row>
    <row r="29" spans="1:7" ht="15.75">
      <c r="A29" s="540"/>
      <c r="B29" s="133"/>
      <c r="C29" s="133"/>
      <c r="D29" s="133"/>
      <c r="E29" s="133"/>
      <c r="F29" s="133"/>
      <c r="G29" s="500"/>
    </row>
    <row r="30" spans="1:7">
      <c r="A30" s="85"/>
      <c r="B30" s="1016" t="s">
        <v>2082</v>
      </c>
      <c r="C30" s="620" t="s">
        <v>2083</v>
      </c>
      <c r="D30" s="620" t="s">
        <v>2084</v>
      </c>
      <c r="E30" s="134" t="s">
        <v>2095</v>
      </c>
      <c r="F30" s="117"/>
      <c r="G30" s="87"/>
    </row>
    <row r="31" spans="1:7">
      <c r="A31" s="85"/>
      <c r="B31" s="1016" t="s">
        <v>2085</v>
      </c>
      <c r="C31" s="620" t="s">
        <v>2086</v>
      </c>
      <c r="D31" s="620" t="s">
        <v>2097</v>
      </c>
      <c r="E31" s="365" t="s">
        <v>2098</v>
      </c>
      <c r="F31" s="366"/>
      <c r="G31" s="87"/>
    </row>
    <row r="32" spans="1:7">
      <c r="A32" s="110" t="s">
        <v>1727</v>
      </c>
      <c r="B32" s="1016" t="s">
        <v>2087</v>
      </c>
      <c r="C32" s="620" t="s">
        <v>2088</v>
      </c>
      <c r="D32" s="620" t="s">
        <v>4229</v>
      </c>
      <c r="E32" s="620" t="s">
        <v>4315</v>
      </c>
      <c r="F32" s="96"/>
      <c r="G32" s="428" t="s">
        <v>1625</v>
      </c>
    </row>
    <row r="33" spans="1:7">
      <c r="A33" s="110" t="s">
        <v>1739</v>
      </c>
      <c r="B33" s="1016" t="s">
        <v>2089</v>
      </c>
      <c r="C33" s="522"/>
      <c r="D33" s="522"/>
      <c r="E33" s="620" t="s">
        <v>4231</v>
      </c>
      <c r="F33" s="109" t="s">
        <v>1291</v>
      </c>
      <c r="G33" s="428" t="s">
        <v>1627</v>
      </c>
    </row>
    <row r="34" spans="1:7">
      <c r="A34" s="97"/>
      <c r="B34" s="1017" t="s">
        <v>3279</v>
      </c>
      <c r="C34" s="621" t="s">
        <v>3280</v>
      </c>
      <c r="D34" s="621" t="s">
        <v>3281</v>
      </c>
      <c r="E34" s="621" t="s">
        <v>3282</v>
      </c>
      <c r="F34" s="997" t="s">
        <v>721</v>
      </c>
      <c r="G34" s="424" t="s">
        <v>722</v>
      </c>
    </row>
    <row r="35" spans="1:7">
      <c r="A35" s="85">
        <v>18</v>
      </c>
      <c r="B35" s="142" t="s">
        <v>5050</v>
      </c>
      <c r="C35" s="492">
        <v>10701</v>
      </c>
      <c r="D35" s="492">
        <v>1329094</v>
      </c>
      <c r="E35" s="620"/>
      <c r="F35" s="554"/>
      <c r="G35" s="435">
        <f>+C35+D35-F35</f>
        <v>1339795</v>
      </c>
    </row>
    <row r="36" spans="1:7">
      <c r="A36" s="85">
        <v>19</v>
      </c>
      <c r="B36" s="142" t="s">
        <v>4611</v>
      </c>
      <c r="C36" s="484">
        <v>1355965</v>
      </c>
      <c r="D36" s="484">
        <v>-669460</v>
      </c>
      <c r="E36" s="620"/>
      <c r="F36" s="508"/>
      <c r="G36" s="2195">
        <f>+C36+D36-F36</f>
        <v>686505</v>
      </c>
    </row>
    <row r="37" spans="1:7">
      <c r="A37" s="85">
        <v>20</v>
      </c>
      <c r="B37" s="142" t="s">
        <v>4650</v>
      </c>
      <c r="C37" s="484">
        <v>3000251</v>
      </c>
      <c r="D37" s="484">
        <v>-2995373</v>
      </c>
      <c r="E37" s="620"/>
      <c r="F37" s="508"/>
      <c r="G37" s="2195">
        <f>+C37+D37-F37</f>
        <v>4878</v>
      </c>
    </row>
    <row r="38" spans="1:7">
      <c r="A38" s="85">
        <v>21</v>
      </c>
      <c r="B38" s="142" t="s">
        <v>4419</v>
      </c>
      <c r="C38" s="484">
        <v>2010263</v>
      </c>
      <c r="D38" s="484">
        <v>-2008719</v>
      </c>
      <c r="E38" s="620"/>
      <c r="F38" s="508"/>
      <c r="G38" s="2195">
        <f t="shared" ref="G38:G50" si="0">+C38+D38-F38</f>
        <v>1544</v>
      </c>
    </row>
    <row r="39" spans="1:7">
      <c r="A39" s="85">
        <v>22</v>
      </c>
      <c r="B39" s="142" t="s">
        <v>4786</v>
      </c>
      <c r="C39" s="484"/>
      <c r="D39" s="484">
        <v>10213</v>
      </c>
      <c r="E39" s="620"/>
      <c r="F39" s="508"/>
      <c r="G39" s="2195">
        <f t="shared" si="0"/>
        <v>10213</v>
      </c>
    </row>
    <row r="40" spans="1:7">
      <c r="A40" s="85">
        <v>23</v>
      </c>
      <c r="B40" t="s">
        <v>5051</v>
      </c>
      <c r="C40" s="484">
        <v>719649</v>
      </c>
      <c r="D40" s="484">
        <v>-61165</v>
      </c>
      <c r="E40" s="620"/>
      <c r="F40" s="508"/>
      <c r="G40" s="2195">
        <f t="shared" si="0"/>
        <v>658484</v>
      </c>
    </row>
    <row r="41" spans="1:7">
      <c r="A41" s="85">
        <v>24</v>
      </c>
      <c r="B41" s="142" t="s">
        <v>5162</v>
      </c>
      <c r="C41" s="484">
        <v>111768</v>
      </c>
      <c r="D41" s="484">
        <v>6073</v>
      </c>
      <c r="E41" s="620"/>
      <c r="F41" s="508">
        <v>9215</v>
      </c>
      <c r="G41" s="2195">
        <f t="shared" si="0"/>
        <v>108626</v>
      </c>
    </row>
    <row r="42" spans="1:7">
      <c r="A42" s="85">
        <v>25</v>
      </c>
      <c r="B42" s="142" t="s">
        <v>4648</v>
      </c>
      <c r="C42" s="484">
        <v>-2983750</v>
      </c>
      <c r="D42" s="484">
        <v>-1340513</v>
      </c>
      <c r="E42" s="620" t="s">
        <v>5364</v>
      </c>
      <c r="F42" s="508">
        <v>431148</v>
      </c>
      <c r="G42" s="2195">
        <f t="shared" si="0"/>
        <v>-4755411</v>
      </c>
    </row>
    <row r="43" spans="1:7">
      <c r="A43" s="85">
        <v>26</v>
      </c>
      <c r="B43" s="142" t="s">
        <v>5365</v>
      </c>
      <c r="C43" s="484">
        <v>2177141</v>
      </c>
      <c r="D43" s="484"/>
      <c r="E43" s="620" t="s">
        <v>4785</v>
      </c>
      <c r="F43" s="508">
        <v>246470</v>
      </c>
      <c r="G43" s="2195">
        <f t="shared" si="0"/>
        <v>1930671</v>
      </c>
    </row>
    <row r="44" spans="1:7">
      <c r="A44" s="85">
        <v>27</v>
      </c>
      <c r="B44" s="142" t="s">
        <v>4649</v>
      </c>
      <c r="C44" s="484">
        <v>-1107</v>
      </c>
      <c r="D44" s="484">
        <v>15</v>
      </c>
      <c r="E44" s="620">
        <v>928</v>
      </c>
      <c r="F44" s="508"/>
      <c r="G44" s="2195">
        <f t="shared" si="0"/>
        <v>-1092</v>
      </c>
    </row>
    <row r="45" spans="1:7">
      <c r="A45" s="85">
        <v>28</v>
      </c>
      <c r="B45" s="142" t="s">
        <v>4609</v>
      </c>
      <c r="C45" s="484">
        <v>7617926</v>
      </c>
      <c r="D45" s="484">
        <v>-12000</v>
      </c>
      <c r="E45" s="620">
        <v>474</v>
      </c>
      <c r="F45" s="508">
        <v>98380</v>
      </c>
      <c r="G45" s="2195">
        <f t="shared" si="0"/>
        <v>7507546</v>
      </c>
    </row>
    <row r="46" spans="1:7">
      <c r="A46" s="85">
        <v>29</v>
      </c>
      <c r="B46" s="142" t="s">
        <v>4610</v>
      </c>
      <c r="C46" s="484">
        <v>222668</v>
      </c>
      <c r="D46" s="484">
        <v>62154</v>
      </c>
      <c r="E46" s="620">
        <v>930</v>
      </c>
      <c r="F46" s="508">
        <v>79536</v>
      </c>
      <c r="G46" s="2195">
        <f t="shared" si="0"/>
        <v>205286</v>
      </c>
    </row>
    <row r="47" spans="1:7">
      <c r="A47" s="85">
        <v>30</v>
      </c>
      <c r="B47" s="142" t="s">
        <v>4788</v>
      </c>
      <c r="C47" s="484">
        <v>9652</v>
      </c>
      <c r="D47" s="484">
        <v>-9521</v>
      </c>
      <c r="E47" s="620"/>
      <c r="F47" s="508"/>
      <c r="G47" s="2195">
        <f t="shared" si="0"/>
        <v>131</v>
      </c>
    </row>
    <row r="48" spans="1:7">
      <c r="A48" s="85">
        <v>31</v>
      </c>
      <c r="B48" s="142" t="s">
        <v>4789</v>
      </c>
      <c r="C48" s="2249">
        <v>785926</v>
      </c>
      <c r="D48" s="484">
        <v>162472</v>
      </c>
      <c r="E48" s="620"/>
      <c r="F48" s="508"/>
      <c r="G48" s="2195">
        <f t="shared" si="0"/>
        <v>948398</v>
      </c>
    </row>
    <row r="49" spans="1:9">
      <c r="A49" s="85">
        <v>32</v>
      </c>
      <c r="B49" s="142" t="s">
        <v>4790</v>
      </c>
      <c r="C49" s="484">
        <v>744684</v>
      </c>
      <c r="D49" s="484">
        <v>-1453065</v>
      </c>
      <c r="E49" s="620">
        <v>928</v>
      </c>
      <c r="F49" s="508"/>
      <c r="G49" s="2195">
        <f t="shared" si="0"/>
        <v>-708381</v>
      </c>
      <c r="I49" s="140"/>
    </row>
    <row r="50" spans="1:9">
      <c r="A50" s="85">
        <v>33</v>
      </c>
      <c r="B50" s="142" t="s">
        <v>4791</v>
      </c>
      <c r="C50" s="484">
        <v>-3846421</v>
      </c>
      <c r="D50" s="484">
        <v>-280635</v>
      </c>
      <c r="E50" s="620"/>
      <c r="F50" s="508"/>
      <c r="G50" s="2195">
        <f t="shared" si="0"/>
        <v>-4127056</v>
      </c>
    </row>
    <row r="51" spans="1:9">
      <c r="A51" s="85">
        <v>34</v>
      </c>
      <c r="B51" s="142" t="s">
        <v>4792</v>
      </c>
      <c r="C51" s="484">
        <v>-3215477</v>
      </c>
      <c r="D51" s="484">
        <v>8000</v>
      </c>
      <c r="E51" s="620">
        <v>672</v>
      </c>
      <c r="F51" s="508">
        <v>374161</v>
      </c>
      <c r="G51" s="2195">
        <f t="shared" ref="G51:G61" si="1">+C51+D51-F51</f>
        <v>-3581638</v>
      </c>
    </row>
    <row r="52" spans="1:9">
      <c r="A52" s="85">
        <v>35</v>
      </c>
      <c r="B52" s="142" t="s">
        <v>4793</v>
      </c>
      <c r="C52" s="2249">
        <v>52120</v>
      </c>
      <c r="D52" s="484">
        <v>519072</v>
      </c>
      <c r="E52" s="620">
        <v>928</v>
      </c>
      <c r="F52" s="508">
        <v>43750</v>
      </c>
      <c r="G52" s="2195">
        <f t="shared" si="1"/>
        <v>527442</v>
      </c>
      <c r="I52" s="140"/>
    </row>
    <row r="53" spans="1:9">
      <c r="A53" s="85">
        <v>36</v>
      </c>
      <c r="B53" s="142" t="s">
        <v>5052</v>
      </c>
      <c r="C53" s="2249">
        <v>9381298</v>
      </c>
      <c r="D53" s="484">
        <v>129299</v>
      </c>
      <c r="E53" s="620" t="s">
        <v>5220</v>
      </c>
      <c r="F53" s="508">
        <v>1255536</v>
      </c>
      <c r="G53" s="2195">
        <f t="shared" si="1"/>
        <v>8255061</v>
      </c>
      <c r="I53" s="140"/>
    </row>
    <row r="54" spans="1:9">
      <c r="A54" s="85">
        <v>37</v>
      </c>
      <c r="B54" s="142" t="s">
        <v>4794</v>
      </c>
      <c r="C54" s="484">
        <v>348065</v>
      </c>
      <c r="D54" s="484">
        <v>77559</v>
      </c>
      <c r="E54" s="620"/>
      <c r="F54" s="508">
        <v>46206</v>
      </c>
      <c r="G54" s="2195">
        <f t="shared" si="1"/>
        <v>379418</v>
      </c>
    </row>
    <row r="55" spans="1:9">
      <c r="A55" s="85">
        <v>38</v>
      </c>
      <c r="B55" s="142" t="s">
        <v>4732</v>
      </c>
      <c r="C55" s="484">
        <v>4720</v>
      </c>
      <c r="D55" s="484"/>
      <c r="E55" s="620"/>
      <c r="F55" s="508"/>
      <c r="G55" s="2195">
        <f t="shared" si="1"/>
        <v>4720</v>
      </c>
    </row>
    <row r="56" spans="1:9">
      <c r="A56" s="85">
        <v>39</v>
      </c>
      <c r="B56" s="142" t="s">
        <v>5053</v>
      </c>
      <c r="C56" s="2249">
        <v>3334458</v>
      </c>
      <c r="D56" s="484">
        <v>-11157</v>
      </c>
      <c r="E56" s="620"/>
      <c r="F56" s="508"/>
      <c r="G56" s="2195">
        <f t="shared" si="1"/>
        <v>3323301</v>
      </c>
    </row>
    <row r="57" spans="1:9">
      <c r="A57" s="85">
        <v>40</v>
      </c>
      <c r="B57" s="142" t="s">
        <v>5054</v>
      </c>
      <c r="C57" s="484">
        <v>8355</v>
      </c>
      <c r="D57" s="484"/>
      <c r="E57" s="620">
        <v>930</v>
      </c>
      <c r="F57" s="508">
        <v>8355</v>
      </c>
      <c r="G57" s="2195">
        <f t="shared" si="1"/>
        <v>0</v>
      </c>
    </row>
    <row r="58" spans="1:9">
      <c r="A58" s="85">
        <v>43</v>
      </c>
      <c r="B58" s="142" t="s">
        <v>5055</v>
      </c>
      <c r="C58" s="484">
        <v>32563317</v>
      </c>
      <c r="D58" s="484"/>
      <c r="E58" s="620">
        <v>405</v>
      </c>
      <c r="F58" s="508">
        <v>3584952</v>
      </c>
      <c r="G58" s="2195">
        <f t="shared" si="1"/>
        <v>28978365</v>
      </c>
    </row>
    <row r="59" spans="1:9">
      <c r="A59" s="85">
        <v>44</v>
      </c>
      <c r="B59" s="142" t="s">
        <v>5056</v>
      </c>
      <c r="C59" s="484">
        <v>164555</v>
      </c>
      <c r="D59" s="484"/>
      <c r="E59" s="620"/>
      <c r="F59" s="508"/>
      <c r="G59" s="2195">
        <f t="shared" si="1"/>
        <v>164555</v>
      </c>
    </row>
    <row r="60" spans="1:9">
      <c r="A60" s="85">
        <v>45</v>
      </c>
      <c r="B60" s="142" t="s">
        <v>4647</v>
      </c>
      <c r="C60" s="484">
        <v>1311252</v>
      </c>
      <c r="D60" s="484"/>
      <c r="E60" s="620">
        <v>410</v>
      </c>
      <c r="F60" s="508">
        <v>218542</v>
      </c>
      <c r="G60" s="2195">
        <f t="shared" si="1"/>
        <v>1092710</v>
      </c>
    </row>
    <row r="61" spans="1:9">
      <c r="A61" s="85">
        <v>46</v>
      </c>
      <c r="B61" s="142" t="s">
        <v>5131</v>
      </c>
      <c r="C61" s="484">
        <v>2789</v>
      </c>
      <c r="D61" s="484">
        <v>-1289</v>
      </c>
      <c r="E61" s="620"/>
      <c r="F61" s="508"/>
      <c r="G61" s="2195">
        <f t="shared" si="1"/>
        <v>1500</v>
      </c>
    </row>
    <row r="62" spans="1:9">
      <c r="A62" s="85">
        <v>47</v>
      </c>
      <c r="B62" s="142"/>
      <c r="C62" s="484"/>
      <c r="D62" s="484"/>
      <c r="E62" s="620"/>
      <c r="F62" s="508"/>
      <c r="G62" s="427"/>
    </row>
    <row r="63" spans="1:9">
      <c r="A63" s="85">
        <v>48</v>
      </c>
      <c r="B63" s="142"/>
      <c r="C63" s="484"/>
      <c r="D63" s="484"/>
      <c r="E63" s="620"/>
      <c r="F63" s="508"/>
      <c r="G63" s="427"/>
    </row>
    <row r="64" spans="1:9">
      <c r="A64" s="85">
        <v>49</v>
      </c>
      <c r="B64" s="142"/>
      <c r="C64" s="484"/>
      <c r="D64" s="484"/>
      <c r="E64" s="620"/>
      <c r="F64" s="508"/>
      <c r="G64" s="427"/>
    </row>
    <row r="65" spans="1:11">
      <c r="A65" s="85">
        <v>50</v>
      </c>
      <c r="B65" s="142"/>
      <c r="C65" s="484"/>
      <c r="D65" s="484"/>
      <c r="E65" s="620"/>
      <c r="F65" s="508"/>
      <c r="G65" s="427"/>
    </row>
    <row r="66" spans="1:11">
      <c r="A66" s="85">
        <v>51</v>
      </c>
      <c r="B66" s="142"/>
      <c r="C66" s="484"/>
      <c r="D66" s="484"/>
      <c r="E66" s="620"/>
      <c r="F66" s="508"/>
      <c r="G66" s="427"/>
    </row>
    <row r="67" spans="1:11">
      <c r="A67" s="85">
        <v>52</v>
      </c>
      <c r="B67" s="142"/>
      <c r="C67" s="484"/>
      <c r="D67" s="484"/>
      <c r="E67" s="620"/>
      <c r="F67" s="508"/>
      <c r="G67" s="427"/>
    </row>
    <row r="68" spans="1:11">
      <c r="A68" s="85">
        <v>53</v>
      </c>
      <c r="B68" s="149"/>
      <c r="C68" s="482"/>
      <c r="D68" s="555"/>
      <c r="E68" s="621"/>
      <c r="F68" s="555"/>
      <c r="G68" s="427"/>
    </row>
    <row r="69" spans="1:11" ht="15.75" thickBot="1">
      <c r="A69" s="154">
        <f>+A68+1</f>
        <v>54</v>
      </c>
      <c r="B69" s="559" t="s">
        <v>4232</v>
      </c>
      <c r="C69" s="487">
        <f>SUM(C35:C68)</f>
        <v>55890768</v>
      </c>
      <c r="D69" s="487">
        <f>SUM(D35:D68)</f>
        <v>-6538946</v>
      </c>
      <c r="E69" s="560"/>
      <c r="F69" s="561">
        <f>SUM(F35:F68)</f>
        <v>6396251</v>
      </c>
      <c r="G69" s="401">
        <f>SUM(G35:G68)</f>
        <v>42955571</v>
      </c>
      <c r="H69" s="492" t="str">
        <f>IF(ROUND(G69,0)=ROUND('114115'!F48,0),"ok","error")</f>
        <v>ok</v>
      </c>
      <c r="I69" s="140"/>
      <c r="J69" s="140"/>
      <c r="K69" s="86"/>
    </row>
    <row r="70" spans="1:11">
      <c r="A70" s="86" t="s">
        <v>2024</v>
      </c>
      <c r="B70" s="86"/>
      <c r="C70" s="86"/>
      <c r="D70" s="86"/>
      <c r="E70" s="86"/>
      <c r="F70" s="86"/>
      <c r="G70" s="426"/>
      <c r="H70" s="86"/>
    </row>
    <row r="71" spans="1:11">
      <c r="A71" s="5" t="s">
        <v>2090</v>
      </c>
      <c r="B71" s="5"/>
      <c r="C71" s="5"/>
      <c r="D71" s="5"/>
      <c r="E71" s="5"/>
      <c r="F71" s="5"/>
      <c r="G71" s="419"/>
      <c r="H71" s="5"/>
    </row>
    <row r="72" spans="1:11">
      <c r="A72" s="5"/>
      <c r="B72" s="5"/>
      <c r="C72" s="5"/>
      <c r="D72" s="5"/>
      <c r="E72" s="5"/>
      <c r="F72" s="5"/>
      <c r="G72" s="406"/>
    </row>
    <row r="73" spans="1:11">
      <c r="A73" s="5"/>
      <c r="B73" s="5"/>
      <c r="C73" s="5"/>
      <c r="D73" s="5"/>
      <c r="E73" s="5"/>
      <c r="F73" s="5"/>
      <c r="G73" s="406"/>
    </row>
    <row r="74" spans="1:11">
      <c r="A74" s="5"/>
      <c r="B74" s="5"/>
      <c r="C74" s="5"/>
      <c r="D74" s="5"/>
      <c r="E74" s="5"/>
      <c r="F74" s="5"/>
      <c r="G74" s="5"/>
    </row>
    <row r="75" spans="1:11">
      <c r="A75" s="5"/>
      <c r="B75" s="5"/>
      <c r="C75" s="5"/>
      <c r="D75" s="5"/>
      <c r="E75" s="5"/>
      <c r="F75" s="5"/>
      <c r="G75" s="5"/>
    </row>
    <row r="76" spans="1:11">
      <c r="A76" s="5"/>
      <c r="B76" s="5"/>
      <c r="C76" s="406"/>
      <c r="D76" s="5"/>
      <c r="E76" s="5"/>
      <c r="F76" s="5"/>
      <c r="G76" s="5"/>
    </row>
    <row r="77" spans="1:11">
      <c r="A77" s="5"/>
      <c r="B77" s="5"/>
      <c r="C77" s="5"/>
      <c r="D77" s="5"/>
      <c r="E77" s="5"/>
      <c r="F77" s="5"/>
      <c r="G77" s="5"/>
    </row>
    <row r="78" spans="1:11">
      <c r="A78" s="86"/>
      <c r="B78" s="86"/>
      <c r="C78" s="86"/>
      <c r="D78" s="86"/>
      <c r="E78" s="86"/>
      <c r="F78" s="86"/>
      <c r="G78" s="86"/>
    </row>
    <row r="79" spans="1:11">
      <c r="A79" s="86"/>
      <c r="B79" s="86"/>
      <c r="C79" s="86"/>
      <c r="D79" s="86"/>
      <c r="E79" s="86"/>
      <c r="F79" s="86"/>
      <c r="G79" s="86"/>
    </row>
    <row r="80" spans="1:11">
      <c r="A80" s="86"/>
      <c r="B80" s="86"/>
      <c r="C80" s="86"/>
      <c r="D80" s="86"/>
      <c r="E80" s="86"/>
      <c r="F80" s="86"/>
      <c r="G80" s="86"/>
    </row>
    <row r="81" spans="1:7">
      <c r="A81" s="86"/>
      <c r="B81" s="86"/>
      <c r="C81" s="86"/>
      <c r="D81" s="86"/>
      <c r="E81" s="86"/>
      <c r="F81" s="86"/>
      <c r="G81" s="86"/>
    </row>
    <row r="82" spans="1:7">
      <c r="A82" s="86"/>
      <c r="B82" s="86"/>
      <c r="C82" s="86"/>
      <c r="D82" s="86"/>
      <c r="E82" s="86"/>
      <c r="F82" s="86"/>
      <c r="G82" s="86"/>
    </row>
    <row r="83" spans="1:7">
      <c r="A83" s="86"/>
      <c r="B83" s="86"/>
      <c r="C83" s="86"/>
      <c r="D83" s="86"/>
      <c r="E83" s="86"/>
      <c r="F83" s="86"/>
      <c r="G83" s="86"/>
    </row>
    <row r="84" spans="1:7">
      <c r="A84" s="86"/>
      <c r="B84" s="86"/>
      <c r="C84" s="86"/>
      <c r="D84" s="86"/>
      <c r="E84" s="86"/>
      <c r="F84" s="86"/>
      <c r="G84" s="86"/>
    </row>
    <row r="85" spans="1:7">
      <c r="A85" s="86"/>
      <c r="B85" s="86"/>
      <c r="C85" s="86"/>
      <c r="D85" s="86"/>
      <c r="E85" s="86"/>
      <c r="F85" s="86"/>
      <c r="G85" s="86"/>
    </row>
    <row r="86" spans="1:7">
      <c r="A86" s="86"/>
      <c r="B86" s="86"/>
      <c r="C86" s="86"/>
      <c r="D86" s="86"/>
      <c r="E86" s="86"/>
      <c r="F86" s="86"/>
      <c r="G86" s="86"/>
    </row>
    <row r="87" spans="1:7">
      <c r="A87" s="86"/>
      <c r="B87" s="86"/>
      <c r="C87" s="86"/>
      <c r="D87" s="86"/>
      <c r="E87" s="86"/>
      <c r="F87" s="86"/>
      <c r="G87" s="86"/>
    </row>
    <row r="88" spans="1:7">
      <c r="A88" s="86"/>
      <c r="B88" s="86"/>
      <c r="C88" s="86"/>
      <c r="D88" s="86"/>
      <c r="E88" s="86"/>
      <c r="F88" s="86"/>
      <c r="G88" s="86"/>
    </row>
    <row r="89" spans="1:7">
      <c r="A89" s="86"/>
      <c r="B89" s="86"/>
      <c r="C89" s="86"/>
      <c r="D89" s="86"/>
      <c r="E89" s="86"/>
      <c r="F89" s="86"/>
      <c r="G89" s="86"/>
    </row>
    <row r="90" spans="1:7">
      <c r="A90" s="86"/>
      <c r="B90" s="86"/>
      <c r="C90" s="86"/>
      <c r="D90" s="86"/>
      <c r="E90" s="86"/>
      <c r="F90" s="86"/>
      <c r="G90" s="86"/>
    </row>
    <row r="91" spans="1:7">
      <c r="A91" s="86"/>
      <c r="B91" s="86"/>
      <c r="C91" s="86"/>
      <c r="D91" s="86"/>
      <c r="E91" s="86"/>
      <c r="F91" s="86"/>
      <c r="G91" s="86"/>
    </row>
    <row r="92" spans="1:7">
      <c r="A92" s="86"/>
      <c r="B92" s="86"/>
      <c r="C92" s="86"/>
      <c r="D92" s="86"/>
      <c r="E92" s="86"/>
      <c r="F92" s="86"/>
      <c r="G92" s="86"/>
    </row>
    <row r="93" spans="1:7">
      <c r="A93" s="86"/>
      <c r="B93" s="86"/>
      <c r="C93" s="86"/>
      <c r="D93" s="86"/>
      <c r="E93" s="86"/>
      <c r="F93" s="86"/>
      <c r="G93" s="86"/>
    </row>
    <row r="94" spans="1:7">
      <c r="A94" s="86"/>
      <c r="B94" s="86"/>
      <c r="C94" s="86"/>
      <c r="D94" s="86"/>
      <c r="E94" s="86"/>
      <c r="F94" s="86"/>
      <c r="G94" s="86"/>
    </row>
    <row r="95" spans="1:7">
      <c r="A95" s="86"/>
      <c r="B95" s="86"/>
      <c r="C95" s="86"/>
      <c r="D95" s="86"/>
      <c r="E95" s="86"/>
      <c r="F95" s="86"/>
      <c r="G95" s="86"/>
    </row>
    <row r="96" spans="1:7">
      <c r="A96" s="86"/>
      <c r="B96" s="86"/>
      <c r="C96" s="86"/>
      <c r="D96" s="86"/>
      <c r="E96" s="86"/>
      <c r="F96" s="86"/>
      <c r="G96" s="86"/>
    </row>
    <row r="97" spans="1:7">
      <c r="A97" s="86"/>
      <c r="B97" s="86"/>
      <c r="C97" s="86"/>
      <c r="D97" s="86"/>
      <c r="E97" s="86"/>
      <c r="F97" s="86"/>
      <c r="G97" s="86"/>
    </row>
    <row r="98" spans="1:7">
      <c r="A98" s="86"/>
      <c r="B98" s="86"/>
      <c r="C98" s="86"/>
      <c r="D98" s="86"/>
      <c r="E98" s="86"/>
      <c r="F98" s="86"/>
      <c r="G98" s="86"/>
    </row>
    <row r="99" spans="1:7">
      <c r="A99" s="86"/>
      <c r="B99" s="86"/>
      <c r="C99" s="86"/>
      <c r="D99" s="86"/>
      <c r="E99" s="86"/>
      <c r="F99" s="86"/>
      <c r="G99" s="86"/>
    </row>
    <row r="100" spans="1:7">
      <c r="A100" s="86"/>
      <c r="B100" s="86"/>
      <c r="C100" s="86"/>
      <c r="D100" s="86"/>
      <c r="E100" s="86"/>
      <c r="F100" s="86"/>
      <c r="G100" s="86"/>
    </row>
    <row r="101" spans="1:7">
      <c r="A101" s="86"/>
      <c r="B101" s="86"/>
      <c r="C101" s="86"/>
      <c r="D101" s="86"/>
      <c r="E101" s="86"/>
      <c r="F101" s="86"/>
      <c r="G101" s="86"/>
    </row>
    <row r="102" spans="1:7">
      <c r="A102" s="86"/>
      <c r="B102" s="86"/>
      <c r="C102" s="86"/>
      <c r="D102" s="86"/>
      <c r="E102" s="86"/>
      <c r="F102" s="86"/>
      <c r="G102" s="86"/>
    </row>
    <row r="103" spans="1:7">
      <c r="A103" s="86"/>
      <c r="B103" s="86"/>
      <c r="C103" s="86"/>
      <c r="D103" s="86"/>
      <c r="E103" s="86"/>
      <c r="F103" s="86"/>
      <c r="G103" s="86"/>
    </row>
    <row r="104" spans="1:7">
      <c r="A104" s="86"/>
      <c r="B104" s="86"/>
      <c r="C104" s="86"/>
      <c r="D104" s="86"/>
      <c r="E104" s="86"/>
      <c r="F104" s="86"/>
      <c r="G104" s="86"/>
    </row>
    <row r="105" spans="1:7">
      <c r="A105" s="86"/>
      <c r="B105" s="86"/>
      <c r="C105" s="86"/>
      <c r="D105" s="86"/>
      <c r="E105" s="86"/>
      <c r="F105" s="86"/>
      <c r="G105" s="86"/>
    </row>
    <row r="106" spans="1:7">
      <c r="A106" s="86"/>
      <c r="B106" s="86"/>
      <c r="C106" s="86"/>
      <c r="D106" s="86"/>
      <c r="E106" s="86"/>
      <c r="F106" s="86"/>
      <c r="G106" s="86"/>
    </row>
    <row r="107" spans="1:7">
      <c r="A107" s="86"/>
      <c r="B107" s="86"/>
      <c r="C107" s="86"/>
      <c r="D107" s="86"/>
      <c r="E107" s="86"/>
      <c r="F107" s="86"/>
      <c r="G107" s="86"/>
    </row>
    <row r="108" spans="1:7">
      <c r="A108" s="86"/>
      <c r="B108" s="86"/>
      <c r="C108" s="86"/>
      <c r="D108" s="86"/>
      <c r="E108" s="86"/>
      <c r="F108" s="86"/>
      <c r="G108" s="86"/>
    </row>
    <row r="109" spans="1:7">
      <c r="A109" s="86"/>
      <c r="B109" s="86"/>
      <c r="C109" s="86"/>
      <c r="D109" s="86"/>
      <c r="E109" s="86"/>
      <c r="F109" s="86"/>
      <c r="G109" s="86"/>
    </row>
    <row r="110" spans="1:7">
      <c r="A110" s="86"/>
      <c r="B110" s="86"/>
      <c r="C110" s="86"/>
      <c r="D110" s="86"/>
      <c r="E110" s="86"/>
      <c r="F110" s="86"/>
      <c r="G110" s="86"/>
    </row>
    <row r="111" spans="1:7">
      <c r="A111" s="86"/>
      <c r="B111" s="86"/>
      <c r="C111" s="86"/>
      <c r="D111" s="86"/>
      <c r="E111" s="86"/>
      <c r="F111" s="86"/>
      <c r="G111" s="86"/>
    </row>
    <row r="112" spans="1:7">
      <c r="A112" s="86"/>
      <c r="B112" s="86"/>
      <c r="C112" s="86"/>
      <c r="D112" s="86"/>
      <c r="E112" s="86"/>
      <c r="F112" s="86"/>
      <c r="G112" s="86"/>
    </row>
    <row r="113" spans="1:7">
      <c r="A113" s="86"/>
      <c r="B113" s="86"/>
      <c r="C113" s="86"/>
      <c r="D113" s="86"/>
      <c r="E113" s="86"/>
      <c r="F113" s="86"/>
      <c r="G113" s="86"/>
    </row>
    <row r="114" spans="1:7">
      <c r="A114" s="86"/>
      <c r="B114" s="86"/>
      <c r="C114" s="86"/>
      <c r="D114" s="86"/>
      <c r="E114" s="86"/>
      <c r="F114" s="86"/>
      <c r="G114" s="86"/>
    </row>
    <row r="115" spans="1:7">
      <c r="A115" s="86"/>
      <c r="B115" s="86"/>
      <c r="C115" s="86"/>
      <c r="D115" s="86"/>
      <c r="E115" s="86"/>
      <c r="F115" s="86"/>
      <c r="G115" s="86"/>
    </row>
    <row r="116" spans="1:7">
      <c r="A116" s="86"/>
      <c r="B116" s="86"/>
      <c r="C116" s="86"/>
      <c r="D116" s="86"/>
      <c r="E116" s="86"/>
      <c r="F116" s="86"/>
      <c r="G116" s="86"/>
    </row>
    <row r="117" spans="1:7">
      <c r="A117" s="86"/>
      <c r="B117" s="86"/>
      <c r="C117" s="86"/>
      <c r="D117" s="86"/>
      <c r="E117" s="86"/>
      <c r="F117" s="86"/>
      <c r="G117" s="86"/>
    </row>
    <row r="118" spans="1:7">
      <c r="A118" s="86"/>
      <c r="B118" s="86"/>
      <c r="C118" s="86"/>
      <c r="D118" s="86"/>
      <c r="E118" s="86"/>
      <c r="F118" s="86"/>
      <c r="G118" s="86"/>
    </row>
    <row r="119" spans="1:7">
      <c r="A119" s="86"/>
      <c r="B119" s="86"/>
      <c r="C119" s="86"/>
      <c r="D119" s="86"/>
      <c r="E119" s="86"/>
      <c r="F119" s="86"/>
      <c r="G119" s="86"/>
    </row>
    <row r="120" spans="1:7">
      <c r="A120" s="86"/>
      <c r="B120" s="86"/>
      <c r="C120" s="86"/>
      <c r="D120" s="86"/>
      <c r="E120" s="86"/>
      <c r="F120" s="86"/>
      <c r="G120" s="86"/>
    </row>
    <row r="121" spans="1:7">
      <c r="A121" s="86"/>
      <c r="B121" s="86"/>
      <c r="C121" s="86"/>
      <c r="D121" s="86"/>
      <c r="E121" s="86"/>
      <c r="F121" s="86"/>
      <c r="G121" s="86"/>
    </row>
    <row r="122" spans="1:7">
      <c r="A122" s="86"/>
      <c r="B122" s="86"/>
      <c r="C122" s="86"/>
      <c r="D122" s="86"/>
      <c r="E122" s="86"/>
      <c r="F122" s="86"/>
      <c r="G122" s="86"/>
    </row>
    <row r="123" spans="1:7">
      <c r="A123" s="86"/>
      <c r="B123" s="86"/>
      <c r="C123" s="86"/>
      <c r="D123" s="86"/>
      <c r="E123" s="86"/>
      <c r="F123" s="86"/>
      <c r="G123" s="86"/>
    </row>
    <row r="124" spans="1:7">
      <c r="A124" s="86"/>
      <c r="B124" s="86"/>
      <c r="C124" s="86"/>
      <c r="D124" s="86"/>
      <c r="E124" s="86"/>
      <c r="F124" s="86"/>
      <c r="G124" s="86"/>
    </row>
    <row r="125" spans="1:7">
      <c r="A125" s="86"/>
      <c r="B125" s="86"/>
      <c r="C125" s="86"/>
      <c r="D125" s="86"/>
      <c r="E125" s="86"/>
      <c r="F125" s="86"/>
      <c r="G125" s="86"/>
    </row>
    <row r="126" spans="1:7">
      <c r="A126" s="86"/>
      <c r="B126" s="86"/>
      <c r="C126" s="86"/>
      <c r="D126" s="86"/>
      <c r="E126" s="86"/>
      <c r="F126" s="86"/>
      <c r="G126" s="86"/>
    </row>
    <row r="127" spans="1:7">
      <c r="A127" s="86"/>
      <c r="B127" s="86"/>
      <c r="C127" s="86"/>
      <c r="D127" s="86"/>
      <c r="E127" s="86"/>
      <c r="F127" s="86"/>
      <c r="G127" s="86"/>
    </row>
    <row r="128" spans="1:7">
      <c r="A128" s="86"/>
      <c r="B128" s="86"/>
      <c r="C128" s="86"/>
      <c r="D128" s="86"/>
      <c r="E128" s="86"/>
      <c r="F128" s="86"/>
      <c r="G128" s="86"/>
    </row>
    <row r="129" spans="1:7">
      <c r="A129" s="86"/>
      <c r="B129" s="86"/>
      <c r="C129" s="86"/>
      <c r="D129" s="86"/>
      <c r="E129" s="86"/>
      <c r="F129" s="86"/>
      <c r="G129" s="86"/>
    </row>
    <row r="130" spans="1:7">
      <c r="A130" s="86"/>
      <c r="B130" s="86"/>
      <c r="C130" s="86"/>
      <c r="D130" s="86"/>
      <c r="E130" s="86"/>
      <c r="F130" s="86"/>
      <c r="G130" s="86"/>
    </row>
    <row r="131" spans="1:7">
      <c r="A131" s="86"/>
      <c r="B131" s="86"/>
      <c r="C131" s="86"/>
      <c r="D131" s="86"/>
      <c r="E131" s="86"/>
      <c r="F131" s="86"/>
      <c r="G131" s="86"/>
    </row>
    <row r="132" spans="1:7">
      <c r="A132" s="86"/>
      <c r="B132" s="86"/>
      <c r="C132" s="86"/>
      <c r="D132" s="86"/>
      <c r="E132" s="86"/>
      <c r="F132" s="86"/>
      <c r="G132" s="86"/>
    </row>
    <row r="133" spans="1:7">
      <c r="A133" s="86"/>
      <c r="B133" s="86"/>
      <c r="C133" s="86"/>
      <c r="D133" s="86"/>
      <c r="E133" s="86"/>
      <c r="F133" s="86"/>
      <c r="G133" s="86"/>
    </row>
    <row r="134" spans="1:7">
      <c r="A134" s="86"/>
      <c r="B134" s="86"/>
      <c r="C134" s="86"/>
      <c r="D134" s="86"/>
      <c r="E134" s="86"/>
      <c r="F134" s="86"/>
      <c r="G134" s="86"/>
    </row>
    <row r="135" spans="1:7">
      <c r="A135" s="86"/>
      <c r="B135" s="86"/>
      <c r="C135" s="86"/>
      <c r="D135" s="86"/>
      <c r="E135" s="86"/>
      <c r="F135" s="86"/>
      <c r="G135" s="86"/>
    </row>
    <row r="136" spans="1:7">
      <c r="A136" s="86"/>
      <c r="B136" s="86"/>
      <c r="C136" s="86"/>
      <c r="D136" s="86"/>
      <c r="E136" s="86"/>
      <c r="F136" s="86"/>
      <c r="G136" s="86"/>
    </row>
    <row r="137" spans="1:7">
      <c r="A137" s="86"/>
      <c r="B137" s="86"/>
      <c r="C137" s="86"/>
      <c r="D137" s="86"/>
      <c r="E137" s="86"/>
      <c r="F137" s="86"/>
      <c r="G137" s="86"/>
    </row>
    <row r="138" spans="1:7">
      <c r="A138" s="86"/>
      <c r="B138" s="86"/>
      <c r="C138" s="86"/>
      <c r="D138" s="86"/>
      <c r="E138" s="86"/>
      <c r="F138" s="86"/>
      <c r="G138" s="86"/>
    </row>
    <row r="139" spans="1:7">
      <c r="A139" s="86"/>
      <c r="B139" s="86"/>
      <c r="C139" s="86"/>
      <c r="D139" s="86"/>
      <c r="E139" s="86"/>
      <c r="F139" s="86"/>
      <c r="G139" s="86"/>
    </row>
    <row r="140" spans="1:7">
      <c r="A140" s="86"/>
      <c r="B140" s="86"/>
      <c r="C140" s="86"/>
      <c r="D140" s="86"/>
      <c r="E140" s="86"/>
      <c r="F140" s="86"/>
      <c r="G140" s="86"/>
    </row>
    <row r="141" spans="1:7">
      <c r="A141" s="86"/>
      <c r="B141" s="86"/>
      <c r="C141" s="86"/>
      <c r="D141" s="86"/>
      <c r="E141" s="86"/>
      <c r="F141" s="86"/>
      <c r="G141" s="86"/>
    </row>
    <row r="142" spans="1:7">
      <c r="A142" s="86"/>
      <c r="B142" s="86"/>
      <c r="C142" s="86"/>
      <c r="D142" s="86"/>
      <c r="E142" s="86"/>
      <c r="F142" s="86"/>
      <c r="G142" s="86"/>
    </row>
    <row r="143" spans="1:7">
      <c r="A143" s="86"/>
      <c r="B143" s="86"/>
      <c r="C143" s="86"/>
      <c r="D143" s="86"/>
      <c r="E143" s="86"/>
      <c r="F143" s="86"/>
      <c r="G143" s="86"/>
    </row>
    <row r="144" spans="1:7">
      <c r="A144" s="86"/>
      <c r="B144" s="86"/>
      <c r="C144" s="86"/>
      <c r="D144" s="86"/>
      <c r="E144" s="86"/>
      <c r="F144" s="86"/>
      <c r="G144" s="86"/>
    </row>
    <row r="145" spans="1:7">
      <c r="A145" s="86"/>
      <c r="B145" s="86"/>
      <c r="C145" s="86"/>
      <c r="D145" s="86"/>
      <c r="E145" s="86"/>
      <c r="F145" s="86"/>
      <c r="G145" s="86"/>
    </row>
    <row r="146" spans="1:7">
      <c r="A146" s="86"/>
      <c r="B146" s="86"/>
      <c r="C146" s="86"/>
      <c r="D146" s="86"/>
      <c r="E146" s="86"/>
      <c r="F146" s="86"/>
      <c r="G146" s="86"/>
    </row>
    <row r="147" spans="1:7">
      <c r="A147" s="86"/>
      <c r="B147" s="86"/>
      <c r="C147" s="86"/>
      <c r="D147" s="86"/>
      <c r="E147" s="86"/>
      <c r="F147" s="86"/>
      <c r="G147" s="86"/>
    </row>
    <row r="148" spans="1:7">
      <c r="A148" s="86"/>
      <c r="B148" s="86"/>
      <c r="C148" s="86"/>
      <c r="D148" s="86"/>
      <c r="E148" s="86"/>
      <c r="F148" s="86"/>
      <c r="G148" s="86"/>
    </row>
    <row r="149" spans="1:7">
      <c r="A149" s="86"/>
      <c r="B149" s="86"/>
      <c r="C149" s="86"/>
      <c r="D149" s="86"/>
      <c r="E149" s="86"/>
      <c r="F149" s="86"/>
      <c r="G149" s="86"/>
    </row>
    <row r="150" spans="1:7">
      <c r="A150" s="86"/>
      <c r="B150" s="86"/>
      <c r="C150" s="86"/>
      <c r="D150" s="86"/>
      <c r="E150" s="86"/>
      <c r="F150" s="86"/>
      <c r="G150" s="86"/>
    </row>
    <row r="151" spans="1:7">
      <c r="A151" s="86"/>
      <c r="B151" s="86"/>
      <c r="C151" s="86"/>
      <c r="D151" s="86"/>
      <c r="E151" s="86"/>
      <c r="F151" s="86"/>
      <c r="G151" s="86"/>
    </row>
    <row r="152" spans="1:7">
      <c r="A152" s="86"/>
      <c r="B152" s="86"/>
      <c r="C152" s="86"/>
      <c r="D152" s="86"/>
      <c r="E152" s="86"/>
      <c r="F152" s="86"/>
      <c r="G152" s="86"/>
    </row>
    <row r="153" spans="1:7">
      <c r="A153" s="86"/>
      <c r="B153" s="86"/>
      <c r="C153" s="86"/>
      <c r="D153" s="86"/>
      <c r="E153" s="86"/>
      <c r="F153" s="86"/>
      <c r="G153" s="86"/>
    </row>
    <row r="154" spans="1:7">
      <c r="A154" s="86"/>
      <c r="B154" s="86"/>
      <c r="C154" s="86"/>
      <c r="D154" s="86"/>
      <c r="E154" s="86"/>
      <c r="F154" s="86"/>
      <c r="G154" s="86"/>
    </row>
  </sheetData>
  <phoneticPr fontId="0" type="noConversion"/>
  <printOptions horizontalCentered="1" verticalCentered="1"/>
  <pageMargins left="0.4" right="0.4" top="0.3" bottom="0.3" header="0" footer="0"/>
  <pageSetup scale="6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ransitionEvaluation="1" codeName="Sheet40">
    <pageSetUpPr fitToPage="1"/>
  </sheetPr>
  <dimension ref="A1:I138"/>
  <sheetViews>
    <sheetView defaultGridColor="0" colorId="22" zoomScale="85" zoomScaleNormal="85" workbookViewId="0">
      <pane xSplit="4" ySplit="11" topLeftCell="E12" activePane="bottomRight" state="frozen"/>
      <selection activeCell="R36" sqref="R36"/>
      <selection pane="topRight" activeCell="R36" sqref="R36"/>
      <selection pane="bottomLeft" activeCell="R36" sqref="R36"/>
      <selection pane="bottomRight" activeCell="K34" sqref="K34"/>
    </sheetView>
  </sheetViews>
  <sheetFormatPr defaultColWidth="9.77734375" defaultRowHeight="15"/>
  <cols>
    <col min="1" max="1" width="4.77734375" customWidth="1"/>
    <col min="2" max="2" width="1.77734375" customWidth="1"/>
    <col min="3" max="4" width="30.77734375" customWidth="1"/>
    <col min="5" max="6" width="18.88671875" customWidth="1"/>
    <col min="7" max="7" width="10.44140625" style="40" customWidth="1"/>
    <col min="8" max="8" width="12.33203125" customWidth="1"/>
  </cols>
  <sheetData>
    <row r="1" spans="1:8" ht="15.75" thickBot="1">
      <c r="A1" t="str">
        <f>'Data sheet'!A57</f>
        <v>Annual Report of Veolia Water New York, Inc.                                              Year Ended  December 31, 2023</v>
      </c>
    </row>
    <row r="2" spans="1:8">
      <c r="A2" s="129"/>
      <c r="B2" s="130"/>
      <c r="C2" s="130"/>
      <c r="D2" s="130"/>
      <c r="E2" s="130"/>
      <c r="F2" s="131"/>
    </row>
    <row r="3" spans="1:8" ht="15.75">
      <c r="A3" s="562"/>
      <c r="B3" s="3" t="s">
        <v>2134</v>
      </c>
      <c r="C3" s="5"/>
      <c r="D3" s="5"/>
      <c r="E3" s="5"/>
      <c r="F3" s="132"/>
    </row>
    <row r="4" spans="1:8">
      <c r="A4" s="97"/>
      <c r="B4" s="98"/>
      <c r="C4" s="98"/>
      <c r="D4" s="98"/>
      <c r="E4" s="128"/>
      <c r="F4" s="225"/>
    </row>
    <row r="5" spans="1:8">
      <c r="A5" s="85" t="s">
        <v>1422</v>
      </c>
      <c r="C5" s="86"/>
      <c r="D5" s="86"/>
      <c r="E5" s="86"/>
      <c r="F5" s="87"/>
    </row>
    <row r="6" spans="1:8">
      <c r="A6" s="85"/>
      <c r="B6" s="86"/>
      <c r="C6" s="86" t="s">
        <v>1423</v>
      </c>
      <c r="D6" s="86"/>
      <c r="E6" s="86"/>
      <c r="F6" s="132"/>
    </row>
    <row r="7" spans="1:8">
      <c r="A7" s="85" t="s">
        <v>1424</v>
      </c>
      <c r="B7" s="86"/>
      <c r="C7" s="86"/>
      <c r="D7" s="86"/>
      <c r="E7" s="86"/>
      <c r="F7" s="87"/>
    </row>
    <row r="8" spans="1:8">
      <c r="A8" s="480"/>
      <c r="B8" s="90"/>
      <c r="C8" s="90"/>
      <c r="D8" s="90"/>
      <c r="E8" s="1018" t="s">
        <v>1425</v>
      </c>
      <c r="F8" s="593" t="s">
        <v>1840</v>
      </c>
    </row>
    <row r="9" spans="1:8">
      <c r="A9" s="237" t="s">
        <v>3143</v>
      </c>
      <c r="B9" s="86"/>
      <c r="C9" s="94" t="s">
        <v>1426</v>
      </c>
      <c r="D9" s="86"/>
      <c r="E9" s="620" t="s">
        <v>1427</v>
      </c>
      <c r="F9" s="363" t="s">
        <v>2591</v>
      </c>
    </row>
    <row r="10" spans="1:8">
      <c r="A10" s="237" t="s">
        <v>1739</v>
      </c>
      <c r="E10" s="620" t="s">
        <v>1428</v>
      </c>
      <c r="F10" s="363" t="s">
        <v>1689</v>
      </c>
    </row>
    <row r="11" spans="1:8">
      <c r="A11" s="479"/>
      <c r="B11" s="98"/>
      <c r="C11" s="996" t="s">
        <v>3279</v>
      </c>
      <c r="D11" s="98"/>
      <c r="E11" s="621" t="s">
        <v>1429</v>
      </c>
      <c r="F11" s="367" t="s">
        <v>3281</v>
      </c>
    </row>
    <row r="12" spans="1:8">
      <c r="A12" s="368">
        <v>1</v>
      </c>
      <c r="B12" s="408" t="s">
        <v>1008</v>
      </c>
      <c r="C12" s="408"/>
      <c r="D12" s="408"/>
      <c r="E12" s="1083"/>
      <c r="F12" s="1093"/>
    </row>
    <row r="13" spans="1:8">
      <c r="A13" s="368">
        <f t="shared" ref="A13:A48" si="0">A12+1</f>
        <v>2</v>
      </c>
      <c r="B13" s="408"/>
      <c r="C13" s="408" t="s">
        <v>4963</v>
      </c>
      <c r="D13" s="408"/>
      <c r="E13" s="378">
        <v>1399690.08</v>
      </c>
      <c r="F13" s="379">
        <v>1356688.08</v>
      </c>
      <c r="H13" s="1575"/>
    </row>
    <row r="14" spans="1:8">
      <c r="A14" s="368">
        <f t="shared" si="0"/>
        <v>3</v>
      </c>
      <c r="B14" s="408"/>
      <c r="C14" s="408" t="s">
        <v>4964</v>
      </c>
      <c r="D14" s="408"/>
      <c r="E14" s="382">
        <v>614533.80999999994</v>
      </c>
      <c r="F14" s="383">
        <v>595949.80999999994</v>
      </c>
      <c r="H14" s="1575"/>
    </row>
    <row r="15" spans="1:8">
      <c r="A15" s="368">
        <f t="shared" si="0"/>
        <v>4</v>
      </c>
      <c r="B15" s="408"/>
      <c r="C15" s="408" t="s">
        <v>4965</v>
      </c>
      <c r="D15" s="408"/>
      <c r="E15" s="382">
        <v>67125.600000000006</v>
      </c>
      <c r="F15" s="383">
        <v>61928.6</v>
      </c>
      <c r="H15" s="1575"/>
    </row>
    <row r="16" spans="1:8">
      <c r="A16" s="368">
        <f t="shared" si="0"/>
        <v>5</v>
      </c>
      <c r="B16" s="408"/>
      <c r="C16" s="408" t="s">
        <v>4966</v>
      </c>
      <c r="D16" s="408"/>
      <c r="E16" s="382">
        <v>25633.86</v>
      </c>
      <c r="F16" s="383">
        <v>23651.86</v>
      </c>
      <c r="H16" s="1575"/>
    </row>
    <row r="17" spans="1:8">
      <c r="A17" s="368">
        <f t="shared" si="0"/>
        <v>6</v>
      </c>
      <c r="B17" s="408"/>
      <c r="C17" s="408" t="s">
        <v>4967</v>
      </c>
      <c r="D17" s="408"/>
      <c r="E17" s="382">
        <v>29303.640000000003</v>
      </c>
      <c r="F17" s="383">
        <v>27041.640000000003</v>
      </c>
      <c r="H17" s="1575"/>
    </row>
    <row r="18" spans="1:8">
      <c r="A18" s="368">
        <f t="shared" si="0"/>
        <v>7</v>
      </c>
      <c r="B18" s="408"/>
      <c r="C18" s="408" t="s">
        <v>4968</v>
      </c>
      <c r="D18" s="408"/>
      <c r="E18" s="382">
        <v>11196.32</v>
      </c>
      <c r="F18" s="383">
        <v>10333.32</v>
      </c>
      <c r="H18" s="1575"/>
    </row>
    <row r="19" spans="1:8">
      <c r="A19" s="368">
        <f t="shared" si="0"/>
        <v>8</v>
      </c>
      <c r="B19" s="408"/>
      <c r="C19" s="408" t="s">
        <v>4969</v>
      </c>
      <c r="D19" s="408"/>
      <c r="E19" s="382">
        <v>-2595725.9900000002</v>
      </c>
      <c r="F19" s="383">
        <v>-2595749.9900000002</v>
      </c>
      <c r="H19" s="1575"/>
    </row>
    <row r="20" spans="1:8">
      <c r="A20" s="368">
        <f t="shared" si="0"/>
        <v>9</v>
      </c>
      <c r="B20" s="408"/>
      <c r="C20" s="408" t="s">
        <v>4970</v>
      </c>
      <c r="D20" s="408"/>
      <c r="E20" s="382">
        <v>-1096040.28</v>
      </c>
      <c r="F20" s="383">
        <v>-1096347.28</v>
      </c>
      <c r="H20" s="1575"/>
    </row>
    <row r="21" spans="1:8">
      <c r="A21" s="368">
        <f t="shared" si="0"/>
        <v>10</v>
      </c>
      <c r="B21" s="408"/>
      <c r="C21" s="408" t="s">
        <v>4971</v>
      </c>
      <c r="D21" s="408"/>
      <c r="E21" s="382">
        <v>14730.5</v>
      </c>
      <c r="F21" s="383">
        <v>0</v>
      </c>
      <c r="H21" s="1575"/>
    </row>
    <row r="22" spans="1:8">
      <c r="A22" s="368">
        <f t="shared" si="0"/>
        <v>11</v>
      </c>
      <c r="B22" s="408"/>
      <c r="C22" s="563" t="s">
        <v>4972</v>
      </c>
      <c r="D22" s="563"/>
      <c r="E22" s="382">
        <v>572931.31999999995</v>
      </c>
      <c r="F22" s="383">
        <v>913482.32</v>
      </c>
      <c r="H22" s="1575"/>
    </row>
    <row r="23" spans="1:8">
      <c r="A23" s="368">
        <f t="shared" si="0"/>
        <v>12</v>
      </c>
      <c r="B23" s="408"/>
      <c r="C23" s="563" t="s">
        <v>4973</v>
      </c>
      <c r="D23" s="563"/>
      <c r="E23" s="382">
        <v>255506.31000000003</v>
      </c>
      <c r="F23" s="383">
        <v>405495.31000000006</v>
      </c>
      <c r="H23" s="1575"/>
    </row>
    <row r="24" spans="1:8">
      <c r="A24" s="368">
        <f t="shared" si="0"/>
        <v>13</v>
      </c>
      <c r="B24" s="408"/>
      <c r="C24" s="563"/>
      <c r="D24" s="563"/>
      <c r="E24" s="382"/>
      <c r="F24" s="383"/>
      <c r="H24" s="1575"/>
    </row>
    <row r="25" spans="1:8">
      <c r="A25" s="368">
        <f t="shared" si="0"/>
        <v>14</v>
      </c>
      <c r="B25" s="408"/>
      <c r="C25" s="563"/>
      <c r="D25" s="563"/>
      <c r="E25" s="382"/>
      <c r="F25" s="383"/>
      <c r="H25" s="1575"/>
    </row>
    <row r="26" spans="1:8">
      <c r="A26" s="368">
        <f t="shared" si="0"/>
        <v>15</v>
      </c>
      <c r="B26" s="408"/>
      <c r="C26" s="563"/>
      <c r="D26" s="563"/>
      <c r="E26" s="382"/>
      <c r="F26" s="383"/>
      <c r="H26" s="1575"/>
    </row>
    <row r="27" spans="1:8">
      <c r="A27" s="368">
        <f t="shared" si="0"/>
        <v>16</v>
      </c>
      <c r="B27" s="408"/>
      <c r="C27" s="563"/>
      <c r="D27" s="563"/>
      <c r="E27" s="382"/>
      <c r="F27" s="383"/>
      <c r="H27" s="1575"/>
    </row>
    <row r="28" spans="1:8">
      <c r="A28" s="368">
        <f t="shared" si="0"/>
        <v>17</v>
      </c>
      <c r="B28" s="408"/>
      <c r="C28" s="563"/>
      <c r="D28" s="563"/>
      <c r="E28" s="382"/>
      <c r="F28" s="383"/>
      <c r="H28" s="1575"/>
    </row>
    <row r="29" spans="1:8">
      <c r="A29" s="368">
        <f t="shared" si="0"/>
        <v>18</v>
      </c>
      <c r="B29" s="408"/>
      <c r="C29" s="563"/>
      <c r="D29" s="563"/>
      <c r="E29" s="382"/>
      <c r="F29" s="383"/>
      <c r="H29" s="1575"/>
    </row>
    <row r="30" spans="1:8">
      <c r="A30" s="368">
        <f t="shared" si="0"/>
        <v>19</v>
      </c>
      <c r="B30" s="408"/>
      <c r="C30" s="563"/>
      <c r="D30" s="563"/>
      <c r="E30" s="382"/>
      <c r="F30" s="383"/>
      <c r="H30" s="1575"/>
    </row>
    <row r="31" spans="1:8">
      <c r="A31" s="368">
        <f t="shared" si="0"/>
        <v>20</v>
      </c>
      <c r="B31" s="408"/>
      <c r="C31" s="563"/>
      <c r="D31" s="563"/>
      <c r="E31" s="382"/>
      <c r="F31" s="383"/>
      <c r="H31" s="1575"/>
    </row>
    <row r="32" spans="1:8">
      <c r="A32" s="368">
        <f t="shared" si="0"/>
        <v>21</v>
      </c>
      <c r="B32" s="408"/>
      <c r="C32" s="563"/>
      <c r="D32" s="563"/>
      <c r="E32" s="382"/>
      <c r="F32" s="383"/>
      <c r="H32" s="1575"/>
    </row>
    <row r="33" spans="1:9">
      <c r="A33" s="368">
        <f t="shared" si="0"/>
        <v>22</v>
      </c>
      <c r="B33" s="408"/>
      <c r="C33" s="563"/>
      <c r="D33" s="563"/>
      <c r="E33" s="382"/>
      <c r="F33" s="383"/>
      <c r="H33" s="1575"/>
    </row>
    <row r="34" spans="1:9">
      <c r="A34" s="368">
        <f t="shared" si="0"/>
        <v>23</v>
      </c>
      <c r="B34" s="408"/>
      <c r="C34" s="563"/>
      <c r="D34" s="563"/>
      <c r="E34" s="382"/>
      <c r="F34" s="383"/>
      <c r="H34" s="1575"/>
    </row>
    <row r="35" spans="1:9">
      <c r="A35" s="368">
        <f t="shared" si="0"/>
        <v>24</v>
      </c>
      <c r="B35" s="408"/>
      <c r="C35" s="563"/>
      <c r="D35" s="563"/>
      <c r="E35" s="382"/>
      <c r="F35" s="383"/>
      <c r="H35" s="1575"/>
    </row>
    <row r="36" spans="1:9">
      <c r="A36" s="368">
        <f t="shared" si="0"/>
        <v>25</v>
      </c>
      <c r="B36" s="408"/>
      <c r="C36" s="563"/>
      <c r="D36" s="563"/>
      <c r="E36" s="382"/>
      <c r="F36" s="383"/>
      <c r="H36" s="1575"/>
    </row>
    <row r="37" spans="1:9">
      <c r="A37" s="368">
        <f t="shared" si="0"/>
        <v>26</v>
      </c>
      <c r="B37" s="408"/>
      <c r="C37" s="563"/>
      <c r="D37" s="563"/>
      <c r="E37" s="382"/>
      <c r="F37" s="383"/>
      <c r="H37" s="1575"/>
    </row>
    <row r="38" spans="1:9">
      <c r="A38" s="368">
        <f t="shared" si="0"/>
        <v>27</v>
      </c>
      <c r="B38" s="408"/>
      <c r="C38" s="408" t="s">
        <v>3646</v>
      </c>
      <c r="D38" s="563"/>
      <c r="E38" s="382">
        <f>SUM(E13:E37)</f>
        <v>-701114.83000000019</v>
      </c>
      <c r="F38" s="383">
        <f>SUM(F13:F37)</f>
        <v>-297526.32999999996</v>
      </c>
    </row>
    <row r="39" spans="1:9">
      <c r="A39" s="368">
        <f t="shared" si="0"/>
        <v>28</v>
      </c>
      <c r="B39" s="408" t="s">
        <v>1737</v>
      </c>
      <c r="C39" s="408"/>
      <c r="D39" s="563"/>
      <c r="E39" s="1068"/>
      <c r="F39" s="1068"/>
    </row>
    <row r="40" spans="1:9">
      <c r="A40" s="368">
        <f t="shared" si="0"/>
        <v>29</v>
      </c>
      <c r="B40" s="408"/>
      <c r="C40" s="408" t="s">
        <v>1217</v>
      </c>
      <c r="D40" s="563"/>
      <c r="E40" s="391">
        <v>0</v>
      </c>
      <c r="F40" s="391">
        <v>0</v>
      </c>
    </row>
    <row r="41" spans="1:9">
      <c r="A41" s="368">
        <f t="shared" si="0"/>
        <v>30</v>
      </c>
      <c r="B41" s="408"/>
      <c r="C41" s="408"/>
      <c r="D41" s="563"/>
      <c r="E41" s="410"/>
      <c r="F41" s="391"/>
    </row>
    <row r="42" spans="1:9">
      <c r="A42" s="368">
        <f t="shared" si="0"/>
        <v>31</v>
      </c>
      <c r="B42" s="408"/>
      <c r="C42" s="408"/>
      <c r="D42" s="563"/>
      <c r="E42" s="410"/>
      <c r="F42" s="391"/>
    </row>
    <row r="43" spans="1:9">
      <c r="A43" s="368">
        <f t="shared" si="0"/>
        <v>32</v>
      </c>
      <c r="B43" s="408"/>
      <c r="C43" s="408"/>
      <c r="D43" s="563"/>
      <c r="E43" s="410"/>
      <c r="F43" s="391"/>
      <c r="G43" s="1613"/>
    </row>
    <row r="44" spans="1:9">
      <c r="A44" s="368">
        <f t="shared" si="0"/>
        <v>33</v>
      </c>
      <c r="B44" s="408"/>
      <c r="C44" s="408"/>
      <c r="D44" s="563"/>
      <c r="E44" s="410"/>
      <c r="F44" s="391"/>
      <c r="G44" s="1613"/>
    </row>
    <row r="45" spans="1:9">
      <c r="A45" s="368">
        <f t="shared" si="0"/>
        <v>34</v>
      </c>
      <c r="B45" s="408"/>
      <c r="C45" s="408"/>
      <c r="D45" s="563"/>
      <c r="E45" s="410"/>
      <c r="F45" s="391"/>
      <c r="G45" s="1613"/>
    </row>
    <row r="46" spans="1:9">
      <c r="A46" s="564">
        <f t="shared" si="0"/>
        <v>35</v>
      </c>
      <c r="B46" s="408"/>
      <c r="C46" s="408"/>
      <c r="D46" s="563"/>
      <c r="E46" s="410"/>
      <c r="F46" s="391"/>
      <c r="G46" s="1613"/>
    </row>
    <row r="47" spans="1:9">
      <c r="A47" s="564">
        <f t="shared" si="0"/>
        <v>36</v>
      </c>
      <c r="B47" s="408"/>
      <c r="C47" s="408" t="s">
        <v>2449</v>
      </c>
      <c r="D47" s="563"/>
      <c r="E47" s="410">
        <f>SUM(E40:E46)</f>
        <v>0</v>
      </c>
      <c r="F47" s="391">
        <f>SUM(F40:F46)</f>
        <v>0</v>
      </c>
      <c r="H47" s="86"/>
      <c r="I47" s="86"/>
    </row>
    <row r="48" spans="1:9">
      <c r="A48" s="565">
        <f t="shared" si="0"/>
        <v>37</v>
      </c>
      <c r="B48" s="408"/>
      <c r="C48" s="408" t="s">
        <v>2450</v>
      </c>
      <c r="D48" s="563"/>
      <c r="E48" s="412">
        <f>E38+E47</f>
        <v>-701114.83000000019</v>
      </c>
      <c r="F48" s="490">
        <f>F38+F47</f>
        <v>-297526.32999999996</v>
      </c>
      <c r="G48" s="86" t="str">
        <f>IF(ROUND(E48,0)=ROUND('114115'!E51,0),"ok","error")</f>
        <v>ok</v>
      </c>
      <c r="H48" s="404" t="str">
        <f>IF(ROUND(F48,0)=ROUND('114115'!F51,0),"ok","error")</f>
        <v>ok</v>
      </c>
      <c r="I48" s="136"/>
    </row>
    <row r="49" spans="1:7">
      <c r="A49" s="488" t="s">
        <v>2451</v>
      </c>
      <c r="B49" s="5"/>
      <c r="C49" s="5"/>
      <c r="D49" s="4"/>
      <c r="E49" s="406"/>
      <c r="F49" s="566"/>
    </row>
    <row r="50" spans="1:7">
      <c r="A50" s="488"/>
      <c r="B50" s="86"/>
      <c r="C50" s="86"/>
      <c r="E50" s="404"/>
      <c r="F50" s="435"/>
      <c r="G50" s="1612"/>
    </row>
    <row r="51" spans="1:7">
      <c r="A51" s="488"/>
      <c r="B51" s="86"/>
      <c r="C51" s="86"/>
      <c r="E51" s="404"/>
      <c r="F51" s="435"/>
      <c r="G51" s="1612"/>
    </row>
    <row r="52" spans="1:7">
      <c r="A52" s="488"/>
      <c r="B52" s="86"/>
      <c r="C52" s="86"/>
      <c r="E52" s="404"/>
      <c r="F52" s="435"/>
    </row>
    <row r="53" spans="1:7">
      <c r="A53" s="488"/>
      <c r="B53" s="86"/>
      <c r="C53" s="86"/>
      <c r="E53" s="404"/>
      <c r="F53" s="435"/>
    </row>
    <row r="54" spans="1:7">
      <c r="A54" s="488"/>
      <c r="B54" s="86"/>
      <c r="C54" s="86"/>
      <c r="E54" s="404"/>
      <c r="F54" s="435"/>
    </row>
    <row r="55" spans="1:7">
      <c r="A55" s="85"/>
      <c r="B55" s="86"/>
      <c r="C55" s="86"/>
      <c r="D55" s="86"/>
      <c r="E55" s="86"/>
      <c r="F55" s="87"/>
    </row>
    <row r="56" spans="1:7">
      <c r="A56" s="85"/>
      <c r="B56" s="86"/>
      <c r="C56" s="86"/>
      <c r="D56" s="86"/>
      <c r="E56" s="86"/>
      <c r="F56" s="87"/>
    </row>
    <row r="57" spans="1:7">
      <c r="A57" s="85"/>
      <c r="B57" s="86"/>
      <c r="C57" s="86"/>
      <c r="D57" s="86"/>
      <c r="E57" s="86"/>
      <c r="F57" s="87"/>
    </row>
    <row r="58" spans="1:7">
      <c r="A58" s="85"/>
      <c r="B58" s="86"/>
      <c r="D58" s="86"/>
      <c r="E58" s="86"/>
      <c r="F58" s="87"/>
    </row>
    <row r="59" spans="1:7">
      <c r="A59" s="85"/>
      <c r="B59" s="86"/>
      <c r="C59" s="86"/>
      <c r="D59" s="86"/>
      <c r="E59" s="86"/>
      <c r="F59" s="87"/>
    </row>
    <row r="60" spans="1:7">
      <c r="A60" s="85"/>
      <c r="B60" s="86"/>
      <c r="C60" s="86"/>
      <c r="D60" s="86"/>
      <c r="E60" s="86"/>
      <c r="F60" s="87"/>
    </row>
    <row r="61" spans="1:7">
      <c r="A61" s="85"/>
      <c r="B61" s="86"/>
      <c r="C61" s="86"/>
      <c r="D61" s="86"/>
      <c r="E61" s="86"/>
      <c r="F61" s="87"/>
    </row>
    <row r="62" spans="1:7">
      <c r="A62" s="85"/>
      <c r="B62" s="86"/>
      <c r="C62" s="86"/>
      <c r="D62" s="86"/>
      <c r="E62" s="86"/>
      <c r="F62" s="87"/>
    </row>
    <row r="63" spans="1:7">
      <c r="A63" s="85"/>
      <c r="B63" s="86"/>
      <c r="C63" s="86"/>
      <c r="D63" s="86"/>
      <c r="E63" s="86"/>
      <c r="F63" s="87"/>
    </row>
    <row r="64" spans="1:7">
      <c r="A64" s="85"/>
      <c r="B64" s="86"/>
      <c r="C64" s="86"/>
      <c r="D64" s="86"/>
      <c r="E64" s="86"/>
      <c r="F64" s="87"/>
    </row>
    <row r="65" spans="1:6">
      <c r="A65" s="85"/>
      <c r="B65" s="86"/>
      <c r="C65" s="86"/>
      <c r="D65" s="86"/>
      <c r="E65" s="86"/>
      <c r="F65" s="87"/>
    </row>
    <row r="66" spans="1:6">
      <c r="A66" s="85"/>
      <c r="B66" s="86"/>
      <c r="C66" s="86"/>
      <c r="D66" s="86"/>
      <c r="E66" s="86"/>
      <c r="F66" s="87"/>
    </row>
    <row r="67" spans="1:6">
      <c r="A67" s="85"/>
      <c r="B67" s="86"/>
      <c r="C67" s="86"/>
      <c r="D67" s="86"/>
      <c r="E67" s="86"/>
      <c r="F67" s="87"/>
    </row>
    <row r="68" spans="1:6" ht="15.75" thickBot="1">
      <c r="A68" s="154"/>
      <c r="B68" s="113"/>
      <c r="C68" s="113"/>
      <c r="D68" s="113"/>
      <c r="E68" s="113"/>
      <c r="F68" s="116"/>
    </row>
    <row r="69" spans="1:6">
      <c r="F69" t="s">
        <v>2024</v>
      </c>
    </row>
    <row r="70" spans="1:6">
      <c r="A70" s="5" t="s">
        <v>2452</v>
      </c>
      <c r="B70" s="5"/>
      <c r="C70" s="5"/>
      <c r="D70" s="5"/>
      <c r="E70" s="5"/>
      <c r="F70" s="5"/>
    </row>
    <row r="71" spans="1:6">
      <c r="A71" s="86"/>
      <c r="B71" s="86"/>
      <c r="C71" s="86"/>
      <c r="D71" s="86"/>
      <c r="E71" s="86"/>
      <c r="F71" s="86"/>
    </row>
    <row r="72" spans="1:6">
      <c r="A72" s="86"/>
      <c r="B72" s="86"/>
      <c r="C72" s="86"/>
      <c r="D72" s="86"/>
      <c r="E72" s="86"/>
      <c r="F72" s="86"/>
    </row>
    <row r="73" spans="1:6">
      <c r="A73" s="86"/>
      <c r="B73" s="86"/>
      <c r="C73" s="86"/>
      <c r="D73" s="86"/>
      <c r="E73" s="86"/>
      <c r="F73" s="86"/>
    </row>
    <row r="74" spans="1:6">
      <c r="A74" s="86"/>
      <c r="B74" s="86"/>
      <c r="C74" s="86"/>
      <c r="D74" s="86"/>
      <c r="E74" s="86"/>
      <c r="F74" s="86"/>
    </row>
    <row r="75" spans="1:6">
      <c r="A75" s="86"/>
      <c r="B75" s="86"/>
      <c r="C75" s="86"/>
      <c r="D75" s="86"/>
      <c r="E75" s="86"/>
      <c r="F75" s="86"/>
    </row>
    <row r="76" spans="1:6">
      <c r="A76" s="86"/>
      <c r="B76" s="86"/>
      <c r="C76" s="86"/>
      <c r="D76" s="86"/>
      <c r="E76" s="86"/>
      <c r="F76" s="86"/>
    </row>
    <row r="77" spans="1:6" ht="15.75">
      <c r="A77" s="86"/>
      <c r="B77" s="86"/>
      <c r="C77" s="233" t="s">
        <v>3080</v>
      </c>
      <c r="D77" s="86"/>
      <c r="E77" s="86"/>
      <c r="F77" s="86"/>
    </row>
    <row r="78" spans="1:6">
      <c r="A78" s="86"/>
      <c r="B78" s="86"/>
      <c r="C78" s="86"/>
      <c r="D78" s="86"/>
      <c r="E78" s="86"/>
      <c r="F78" s="86"/>
    </row>
    <row r="79" spans="1:6" ht="16.5" thickBot="1">
      <c r="A79" s="472"/>
      <c r="B79" s="86"/>
      <c r="C79" s="86"/>
      <c r="D79" s="86"/>
      <c r="E79" s="128"/>
    </row>
    <row r="80" spans="1:6">
      <c r="A80" s="129"/>
      <c r="B80" s="130"/>
      <c r="C80" s="130"/>
      <c r="D80" s="130"/>
      <c r="E80" s="130"/>
      <c r="F80" s="131"/>
    </row>
    <row r="81" spans="1:6">
      <c r="A81" s="85"/>
      <c r="B81" s="5" t="s">
        <v>2134</v>
      </c>
      <c r="C81" s="5"/>
      <c r="D81" s="5"/>
      <c r="E81" s="5"/>
      <c r="F81" s="132"/>
    </row>
    <row r="82" spans="1:6">
      <c r="A82" s="97"/>
      <c r="B82" s="98"/>
      <c r="C82" s="98"/>
      <c r="D82" s="98"/>
      <c r="E82" s="98"/>
      <c r="F82" s="101"/>
    </row>
    <row r="83" spans="1:6">
      <c r="A83" s="480"/>
      <c r="B83" s="90"/>
      <c r="C83" s="90"/>
      <c r="D83" s="90"/>
      <c r="E83" s="1018" t="s">
        <v>1425</v>
      </c>
      <c r="F83" s="593" t="s">
        <v>1840</v>
      </c>
    </row>
    <row r="84" spans="1:6">
      <c r="A84" s="237" t="s">
        <v>3143</v>
      </c>
      <c r="B84" s="86"/>
      <c r="C84" s="5" t="s">
        <v>1426</v>
      </c>
      <c r="D84" s="5"/>
      <c r="E84" s="620" t="s">
        <v>1427</v>
      </c>
      <c r="F84" s="363" t="s">
        <v>2591</v>
      </c>
    </row>
    <row r="85" spans="1:6">
      <c r="A85" s="237" t="s">
        <v>1739</v>
      </c>
      <c r="E85" s="620" t="s">
        <v>1428</v>
      </c>
      <c r="F85" s="363" t="s">
        <v>1689</v>
      </c>
    </row>
    <row r="86" spans="1:6">
      <c r="A86" s="567"/>
      <c r="B86" s="98"/>
      <c r="C86" s="133" t="s">
        <v>3279</v>
      </c>
      <c r="D86" s="133"/>
      <c r="E86" s="621" t="s">
        <v>1429</v>
      </c>
      <c r="F86" s="367" t="s">
        <v>3281</v>
      </c>
    </row>
    <row r="87" spans="1:6">
      <c r="A87" s="85"/>
      <c r="B87" s="142"/>
      <c r="C87" s="239"/>
      <c r="D87" s="86"/>
      <c r="E87" s="508"/>
      <c r="F87" s="427"/>
    </row>
    <row r="88" spans="1:6">
      <c r="A88" s="85"/>
      <c r="B88" s="142"/>
      <c r="C88" s="86"/>
      <c r="D88" s="86"/>
      <c r="E88" s="508"/>
      <c r="F88" s="427"/>
    </row>
    <row r="89" spans="1:6">
      <c r="A89" s="85"/>
      <c r="B89" s="142"/>
      <c r="C89" s="86"/>
      <c r="D89" s="86"/>
      <c r="E89" s="508"/>
      <c r="F89" s="427"/>
    </row>
    <row r="90" spans="1:6">
      <c r="A90" s="85"/>
      <c r="B90" s="142"/>
      <c r="C90" s="86"/>
      <c r="D90" s="86"/>
      <c r="E90" s="508"/>
      <c r="F90" s="427"/>
    </row>
    <row r="91" spans="1:6">
      <c r="A91" s="85"/>
      <c r="B91" s="142"/>
      <c r="C91" s="86"/>
      <c r="D91" s="86"/>
      <c r="E91" s="508"/>
      <c r="F91" s="427"/>
    </row>
    <row r="92" spans="1:6">
      <c r="A92" s="85"/>
      <c r="B92" s="142"/>
      <c r="C92" s="86"/>
      <c r="D92" s="86"/>
      <c r="E92" s="508"/>
      <c r="F92" s="427"/>
    </row>
    <row r="93" spans="1:6">
      <c r="A93" s="85"/>
      <c r="B93" s="142"/>
      <c r="C93" s="86"/>
      <c r="D93" s="86"/>
      <c r="E93" s="508"/>
      <c r="F93" s="427"/>
    </row>
    <row r="94" spans="1:6">
      <c r="A94" s="85"/>
      <c r="B94" s="142"/>
      <c r="C94" s="86"/>
      <c r="D94" s="86"/>
      <c r="E94" s="508"/>
      <c r="F94" s="427"/>
    </row>
    <row r="95" spans="1:6">
      <c r="A95" s="85"/>
      <c r="B95" s="142"/>
      <c r="C95" s="86"/>
      <c r="D95" s="86"/>
      <c r="E95" s="508"/>
      <c r="F95" s="427"/>
    </row>
    <row r="96" spans="1:6">
      <c r="A96" s="85"/>
      <c r="B96" s="142"/>
      <c r="C96" s="86"/>
      <c r="D96" s="86"/>
      <c r="E96" s="508"/>
      <c r="F96" s="427"/>
    </row>
    <row r="97" spans="1:6">
      <c r="A97" s="85"/>
      <c r="B97" s="142"/>
      <c r="C97" s="86"/>
      <c r="D97" s="86"/>
      <c r="E97" s="508"/>
      <c r="F97" s="427"/>
    </row>
    <row r="98" spans="1:6">
      <c r="A98" s="85"/>
      <c r="B98" s="142"/>
      <c r="C98" s="86"/>
      <c r="D98" s="86"/>
      <c r="E98" s="508"/>
      <c r="F98" s="427"/>
    </row>
    <row r="99" spans="1:6">
      <c r="A99" s="85"/>
      <c r="B99" s="142"/>
      <c r="C99" s="86"/>
      <c r="D99" s="86"/>
      <c r="E99" s="508"/>
      <c r="F99" s="427"/>
    </row>
    <row r="100" spans="1:6">
      <c r="A100" s="85"/>
      <c r="B100" s="142"/>
      <c r="C100" s="86"/>
      <c r="D100" s="86"/>
      <c r="E100" s="508"/>
      <c r="F100" s="427"/>
    </row>
    <row r="101" spans="1:6">
      <c r="A101" s="85"/>
      <c r="B101" s="142"/>
      <c r="C101" s="86"/>
      <c r="D101" s="86"/>
      <c r="E101" s="508"/>
      <c r="F101" s="427"/>
    </row>
    <row r="102" spans="1:6">
      <c r="A102" s="85"/>
      <c r="B102" s="142"/>
      <c r="C102" s="86"/>
      <c r="D102" s="86"/>
      <c r="E102" s="508"/>
      <c r="F102" s="427"/>
    </row>
    <row r="103" spans="1:6">
      <c r="A103" s="85"/>
      <c r="B103" s="142"/>
      <c r="C103" s="86"/>
      <c r="D103" s="86"/>
      <c r="E103" s="508"/>
      <c r="F103" s="427"/>
    </row>
    <row r="104" spans="1:6">
      <c r="A104" s="85"/>
      <c r="B104" s="142"/>
      <c r="C104" s="86"/>
      <c r="D104" s="86"/>
      <c r="E104" s="508"/>
      <c r="F104" s="427"/>
    </row>
    <row r="105" spans="1:6">
      <c r="A105" s="85"/>
      <c r="B105" s="142"/>
      <c r="C105" s="86"/>
      <c r="D105" s="86"/>
      <c r="E105" s="508"/>
      <c r="F105" s="427"/>
    </row>
    <row r="106" spans="1:6">
      <c r="A106" s="85"/>
      <c r="B106" s="142"/>
      <c r="C106" s="86"/>
      <c r="D106" s="86"/>
      <c r="E106" s="508"/>
      <c r="F106" s="427"/>
    </row>
    <row r="107" spans="1:6">
      <c r="A107" s="85"/>
      <c r="B107" s="142"/>
      <c r="C107" s="86"/>
      <c r="D107" s="86"/>
      <c r="E107" s="508"/>
      <c r="F107" s="427"/>
    </row>
    <row r="108" spans="1:6">
      <c r="A108" s="85"/>
      <c r="B108" s="142"/>
      <c r="C108" s="86"/>
      <c r="D108" s="86"/>
      <c r="E108" s="508"/>
      <c r="F108" s="427"/>
    </row>
    <row r="109" spans="1:6">
      <c r="A109" s="85"/>
      <c r="B109" s="142"/>
      <c r="C109" s="86"/>
      <c r="D109" s="86"/>
      <c r="E109" s="508"/>
      <c r="F109" s="427"/>
    </row>
    <row r="110" spans="1:6">
      <c r="A110" s="85"/>
      <c r="B110" s="142"/>
      <c r="C110" s="86"/>
      <c r="D110" s="86"/>
      <c r="E110" s="508"/>
      <c r="F110" s="427"/>
    </row>
    <row r="111" spans="1:6">
      <c r="A111" s="85"/>
      <c r="B111" s="142"/>
      <c r="C111" s="86"/>
      <c r="D111" s="86"/>
      <c r="E111" s="508"/>
      <c r="F111" s="427"/>
    </row>
    <row r="112" spans="1:6">
      <c r="A112" s="85"/>
      <c r="B112" s="142"/>
      <c r="C112" s="86"/>
      <c r="D112" s="86"/>
      <c r="E112" s="508"/>
      <c r="F112" s="427"/>
    </row>
    <row r="113" spans="1:6">
      <c r="A113" s="85"/>
      <c r="B113" s="142"/>
      <c r="C113" s="86"/>
      <c r="D113" s="86"/>
      <c r="E113" s="508"/>
      <c r="F113" s="427"/>
    </row>
    <row r="114" spans="1:6">
      <c r="A114" s="85"/>
      <c r="B114" s="142"/>
      <c r="C114" s="86"/>
      <c r="D114" s="86"/>
      <c r="E114" s="508"/>
      <c r="F114" s="427"/>
    </row>
    <row r="115" spans="1:6">
      <c r="A115" s="85"/>
      <c r="B115" s="142"/>
      <c r="C115" s="86"/>
      <c r="D115" s="86"/>
      <c r="E115" s="508"/>
      <c r="F115" s="427"/>
    </row>
    <row r="116" spans="1:6">
      <c r="A116" s="85"/>
      <c r="B116" s="142"/>
      <c r="C116" s="86"/>
      <c r="D116" s="86"/>
      <c r="E116" s="508"/>
      <c r="F116" s="427"/>
    </row>
    <row r="117" spans="1:6">
      <c r="A117" s="85"/>
      <c r="B117" s="142"/>
      <c r="C117" s="86"/>
      <c r="D117" s="86"/>
      <c r="E117" s="508"/>
      <c r="F117" s="427"/>
    </row>
    <row r="118" spans="1:6">
      <c r="A118" s="85"/>
      <c r="B118" s="142"/>
      <c r="C118" s="86"/>
      <c r="D118" s="86"/>
      <c r="E118" s="508"/>
      <c r="F118" s="427"/>
    </row>
    <row r="119" spans="1:6">
      <c r="A119" s="85"/>
      <c r="B119" s="142"/>
      <c r="C119" s="86"/>
      <c r="D119" s="86"/>
      <c r="E119" s="508"/>
      <c r="F119" s="427"/>
    </row>
    <row r="120" spans="1:6">
      <c r="A120" s="85"/>
      <c r="B120" s="142"/>
      <c r="C120" s="86"/>
      <c r="D120" s="86"/>
      <c r="E120" s="508"/>
      <c r="F120" s="427"/>
    </row>
    <row r="121" spans="1:6">
      <c r="A121" s="85"/>
      <c r="B121" s="142"/>
      <c r="C121" s="86"/>
      <c r="D121" s="86"/>
      <c r="E121" s="508"/>
      <c r="F121" s="427"/>
    </row>
    <row r="122" spans="1:6">
      <c r="A122" s="85"/>
      <c r="B122" s="142"/>
      <c r="C122" s="86"/>
      <c r="D122" s="86"/>
      <c r="E122" s="508"/>
      <c r="F122" s="427"/>
    </row>
    <row r="123" spans="1:6">
      <c r="A123" s="85"/>
      <c r="B123" s="142"/>
      <c r="C123" s="86"/>
      <c r="D123" s="86"/>
      <c r="E123" s="508"/>
      <c r="F123" s="427"/>
    </row>
    <row r="124" spans="1:6">
      <c r="A124" s="85"/>
      <c r="B124" s="142"/>
      <c r="C124" s="86"/>
      <c r="D124" s="86"/>
      <c r="E124" s="508"/>
      <c r="F124" s="427"/>
    </row>
    <row r="125" spans="1:6" ht="15.75">
      <c r="A125" s="85"/>
      <c r="B125" s="142"/>
      <c r="C125" s="472"/>
      <c r="D125" s="86"/>
      <c r="E125" s="508"/>
      <c r="F125" s="427"/>
    </row>
    <row r="126" spans="1:6">
      <c r="A126" s="85"/>
      <c r="B126" s="142"/>
      <c r="C126" s="86"/>
      <c r="D126" s="86"/>
      <c r="E126" s="508"/>
      <c r="F126" s="427"/>
    </row>
    <row r="127" spans="1:6">
      <c r="A127" s="85"/>
      <c r="B127" s="142"/>
      <c r="C127" s="86"/>
      <c r="D127" s="86"/>
      <c r="E127" s="508"/>
      <c r="F127" s="427"/>
    </row>
    <row r="128" spans="1:6">
      <c r="A128" s="85"/>
      <c r="B128" s="142"/>
      <c r="C128" s="86"/>
      <c r="D128" s="86"/>
      <c r="E128" s="508"/>
      <c r="F128" s="427"/>
    </row>
    <row r="129" spans="1:6">
      <c r="A129" s="85"/>
      <c r="B129" s="142"/>
      <c r="C129" s="86"/>
      <c r="D129" s="86"/>
      <c r="E129" s="508"/>
      <c r="F129" s="427"/>
    </row>
    <row r="130" spans="1:6">
      <c r="A130" s="85"/>
      <c r="B130" s="142"/>
      <c r="C130" s="86"/>
      <c r="D130" s="86"/>
      <c r="E130" s="508"/>
      <c r="F130" s="427"/>
    </row>
    <row r="131" spans="1:6">
      <c r="A131" s="85"/>
      <c r="B131" s="142"/>
      <c r="C131" s="86"/>
      <c r="D131" s="86"/>
      <c r="E131" s="508"/>
      <c r="F131" s="427"/>
    </row>
    <row r="132" spans="1:6">
      <c r="A132" s="85"/>
      <c r="B132" s="142"/>
      <c r="C132" s="86"/>
      <c r="D132" s="86"/>
      <c r="E132" s="508"/>
      <c r="F132" s="427"/>
    </row>
    <row r="133" spans="1:6">
      <c r="A133" s="85"/>
      <c r="B133" s="142"/>
      <c r="C133" s="86"/>
      <c r="D133" s="86"/>
      <c r="E133" s="508"/>
      <c r="F133" s="427"/>
    </row>
    <row r="134" spans="1:6">
      <c r="A134" s="85"/>
      <c r="B134" s="142"/>
      <c r="C134" s="86"/>
      <c r="D134" s="86"/>
      <c r="E134" s="508"/>
      <c r="F134" s="427"/>
    </row>
    <row r="135" spans="1:6">
      <c r="A135" s="85"/>
      <c r="B135" s="142"/>
      <c r="C135" s="86"/>
      <c r="D135" s="86"/>
      <c r="E135" s="508"/>
      <c r="F135" s="427"/>
    </row>
    <row r="136" spans="1:6" ht="15.75" thickBot="1">
      <c r="A136" s="154"/>
      <c r="B136" s="556"/>
      <c r="C136" s="113"/>
      <c r="D136" s="113"/>
      <c r="E136" s="568"/>
      <c r="F136" s="569"/>
    </row>
    <row r="137" spans="1:6">
      <c r="A137" s="86"/>
      <c r="B137" s="86"/>
      <c r="C137" s="86"/>
      <c r="D137" s="86"/>
      <c r="E137" s="86"/>
      <c r="F137" s="86"/>
    </row>
    <row r="138" spans="1:6">
      <c r="A138" s="5" t="s">
        <v>3081</v>
      </c>
      <c r="B138" s="5"/>
      <c r="C138" s="5"/>
      <c r="D138" s="5"/>
      <c r="E138" s="5"/>
      <c r="F138" s="5"/>
    </row>
  </sheetData>
  <phoneticPr fontId="0" type="noConversion"/>
  <printOptions horizontalCentered="1" verticalCentered="1"/>
  <pageMargins left="0.4" right="0.4" top="0.3" bottom="0.3" header="0" footer="0"/>
  <pageSetup scale="71" orientation="portrait" r:id="rId1"/>
  <headerFooter alignWithMargins="0"/>
  <rowBreaks count="1" manualBreakCount="1">
    <brk id="7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ransitionEvaluation="1" codeName="Sheet41"/>
  <dimension ref="A1:N415"/>
  <sheetViews>
    <sheetView defaultGridColor="0" topLeftCell="A4" colorId="22" zoomScaleNormal="100" workbookViewId="0">
      <selection activeCell="H32" sqref="H32"/>
    </sheetView>
  </sheetViews>
  <sheetFormatPr defaultColWidth="9.77734375" defaultRowHeight="15"/>
  <cols>
    <col min="1" max="1" width="5.77734375" customWidth="1"/>
    <col min="2" max="2" width="48.77734375" customWidth="1"/>
    <col min="3" max="3" width="19.77734375" customWidth="1"/>
    <col min="4" max="4" width="21.44140625" customWidth="1"/>
    <col min="5" max="5" width="19.77734375" customWidth="1"/>
    <col min="6" max="6" width="2.77734375" customWidth="1"/>
    <col min="7" max="7" width="17.77734375" customWidth="1"/>
    <col min="8" max="8" width="19.77734375" customWidth="1"/>
    <col min="9" max="9" width="18.77734375" customWidth="1"/>
    <col min="10" max="10" width="19.77734375" customWidth="1"/>
    <col min="11" max="11" width="15.77734375" customWidth="1"/>
    <col min="12" max="12" width="19.88671875" customWidth="1"/>
    <col min="13" max="13" width="5.77734375" customWidth="1"/>
  </cols>
  <sheetData>
    <row r="1" spans="1:14" ht="15.75" thickBot="1">
      <c r="A1" s="86" t="str">
        <f>'Data sheet'!A63</f>
        <v>Annual Report of Veolia Water New York, Inc.                                                                             Year Ended  December 31, 2023</v>
      </c>
      <c r="B1" s="86"/>
      <c r="C1" s="86"/>
      <c r="D1" s="86"/>
      <c r="E1" s="86"/>
      <c r="F1" s="86" t="str">
        <f>'Data sheet'!A63</f>
        <v>Annual Report of Veolia Water New York, Inc.                                                                             Year Ended  December 31, 2023</v>
      </c>
      <c r="G1" s="86"/>
      <c r="H1" s="86"/>
      <c r="I1" s="86"/>
      <c r="J1" s="86"/>
      <c r="K1" s="86"/>
      <c r="L1" s="86"/>
      <c r="M1" s="86"/>
      <c r="N1" s="86"/>
    </row>
    <row r="2" spans="1:14">
      <c r="A2" s="129"/>
      <c r="B2" s="130"/>
      <c r="C2" s="130"/>
      <c r="D2" s="130"/>
      <c r="E2" s="131"/>
      <c r="F2" s="129"/>
      <c r="G2" s="130"/>
      <c r="H2" s="130"/>
      <c r="I2" s="130"/>
      <c r="J2" s="130"/>
      <c r="K2" s="130"/>
      <c r="L2" s="130"/>
      <c r="M2" s="131"/>
      <c r="N2" s="86"/>
    </row>
    <row r="3" spans="1:14" ht="15.75">
      <c r="A3" s="562"/>
      <c r="B3" s="3" t="s">
        <v>2423</v>
      </c>
      <c r="C3" s="5"/>
      <c r="D3" s="5"/>
      <c r="E3" s="132"/>
      <c r="F3" s="85"/>
      <c r="G3" s="3" t="s">
        <v>2424</v>
      </c>
      <c r="H3" s="5"/>
      <c r="I3" s="5"/>
      <c r="J3" s="5"/>
      <c r="K3" s="5"/>
      <c r="L3" s="5"/>
      <c r="M3" s="132"/>
      <c r="N3" s="86"/>
    </row>
    <row r="4" spans="1:14">
      <c r="A4" s="97"/>
      <c r="B4" s="98"/>
      <c r="C4" s="98"/>
      <c r="D4" s="98"/>
      <c r="E4" s="101"/>
      <c r="F4" s="97"/>
      <c r="G4" s="98"/>
      <c r="H4" s="98"/>
      <c r="I4" s="98"/>
      <c r="J4" s="98"/>
      <c r="K4" s="98"/>
      <c r="L4" s="98"/>
      <c r="M4" s="101"/>
      <c r="N4" s="86"/>
    </row>
    <row r="5" spans="1:14">
      <c r="A5" s="358" t="s">
        <v>2766</v>
      </c>
      <c r="B5" s="359"/>
      <c r="C5" s="359"/>
      <c r="D5" s="359"/>
      <c r="E5" s="360"/>
      <c r="F5" s="85"/>
      <c r="G5" s="1094" t="s">
        <v>2767</v>
      </c>
      <c r="H5" s="359"/>
      <c r="I5" s="359"/>
      <c r="J5" s="359"/>
      <c r="K5" s="359"/>
      <c r="L5" s="359"/>
      <c r="M5" s="360"/>
      <c r="N5" s="86"/>
    </row>
    <row r="6" spans="1:14">
      <c r="A6" s="358" t="s">
        <v>687</v>
      </c>
      <c r="B6" s="359"/>
      <c r="C6" s="359"/>
      <c r="D6" s="359"/>
      <c r="E6" s="360"/>
      <c r="F6" s="85"/>
      <c r="G6" s="1094" t="s">
        <v>688</v>
      </c>
      <c r="H6" s="359"/>
      <c r="I6" s="359"/>
      <c r="J6" s="359"/>
      <c r="K6" s="359"/>
      <c r="L6" s="359"/>
      <c r="M6" s="360"/>
      <c r="N6" s="86"/>
    </row>
    <row r="7" spans="1:14">
      <c r="A7" s="358" t="s">
        <v>667</v>
      </c>
      <c r="B7" s="359"/>
      <c r="C7" s="359"/>
      <c r="D7" s="359"/>
      <c r="E7" s="360"/>
      <c r="F7" s="85"/>
      <c r="G7" s="1094" t="s">
        <v>752</v>
      </c>
      <c r="H7" s="359"/>
      <c r="I7" s="359"/>
      <c r="J7" s="359"/>
      <c r="K7" s="359"/>
      <c r="L7" s="359"/>
      <c r="M7" s="360"/>
      <c r="N7" s="86"/>
    </row>
    <row r="8" spans="1:14">
      <c r="A8" s="358" t="s">
        <v>753</v>
      </c>
      <c r="B8" s="359"/>
      <c r="C8" s="359"/>
      <c r="D8" s="359"/>
      <c r="E8" s="360"/>
      <c r="F8" s="85"/>
      <c r="G8" s="1094" t="s">
        <v>754</v>
      </c>
      <c r="H8" s="359"/>
      <c r="I8" s="359"/>
      <c r="J8" s="359"/>
      <c r="K8" s="359"/>
      <c r="L8" s="359"/>
      <c r="M8" s="360"/>
      <c r="N8" s="86"/>
    </row>
    <row r="9" spans="1:14">
      <c r="A9" s="358" t="s">
        <v>755</v>
      </c>
      <c r="B9" s="359"/>
      <c r="C9" s="359"/>
      <c r="D9" s="359"/>
      <c r="E9" s="360"/>
      <c r="F9" s="85"/>
      <c r="G9" s="1094" t="s">
        <v>756</v>
      </c>
      <c r="H9" s="359"/>
      <c r="I9" s="359"/>
      <c r="J9" s="359"/>
      <c r="K9" s="359"/>
      <c r="L9" s="359"/>
      <c r="M9" s="360"/>
      <c r="N9" s="86"/>
    </row>
    <row r="10" spans="1:14">
      <c r="A10" s="358" t="s">
        <v>200</v>
      </c>
      <c r="B10" s="359"/>
      <c r="C10" s="359"/>
      <c r="D10" s="359"/>
      <c r="E10" s="360"/>
      <c r="F10" s="85"/>
      <c r="G10" s="108"/>
      <c r="H10" s="86"/>
      <c r="I10" s="86"/>
      <c r="J10" s="86"/>
      <c r="K10" s="86"/>
      <c r="L10" s="86"/>
      <c r="M10" s="87"/>
      <c r="N10" s="86"/>
    </row>
    <row r="11" spans="1:14">
      <c r="A11" s="358" t="s">
        <v>201</v>
      </c>
      <c r="B11" s="359"/>
      <c r="C11" s="359"/>
      <c r="D11" s="359"/>
      <c r="E11" s="360"/>
      <c r="F11" s="85"/>
      <c r="G11" s="86"/>
      <c r="H11" s="86"/>
      <c r="I11" s="86"/>
      <c r="J11" s="86"/>
      <c r="K11" s="86"/>
      <c r="L11" s="86"/>
      <c r="M11" s="87"/>
      <c r="N11" s="86"/>
    </row>
    <row r="12" spans="1:14">
      <c r="A12" s="97"/>
      <c r="B12" s="98"/>
      <c r="C12" s="98"/>
      <c r="D12" s="98"/>
      <c r="E12" s="101"/>
      <c r="F12" s="97"/>
      <c r="G12" s="98"/>
      <c r="H12" s="98"/>
      <c r="I12" s="98"/>
      <c r="J12" s="98"/>
      <c r="K12" s="98"/>
      <c r="L12" s="98"/>
      <c r="M12" s="101"/>
      <c r="N12" s="86"/>
    </row>
    <row r="13" spans="1:14">
      <c r="A13" s="110"/>
      <c r="B13" s="142"/>
      <c r="C13" s="995" t="s">
        <v>202</v>
      </c>
      <c r="D13" s="109" t="s">
        <v>203</v>
      </c>
      <c r="E13" s="428" t="s">
        <v>4356</v>
      </c>
      <c r="F13" s="2856" t="s">
        <v>4357</v>
      </c>
      <c r="G13" s="2857"/>
      <c r="H13" s="2858"/>
      <c r="I13" s="142"/>
      <c r="J13" s="86" t="s">
        <v>204</v>
      </c>
      <c r="K13" s="86"/>
      <c r="L13" s="86"/>
      <c r="M13" s="135"/>
      <c r="N13" s="86"/>
    </row>
    <row r="14" spans="1:14">
      <c r="A14" s="110"/>
      <c r="B14" s="620" t="s">
        <v>4132</v>
      </c>
      <c r="C14" s="109" t="s">
        <v>4358</v>
      </c>
      <c r="D14" s="109" t="s">
        <v>4133</v>
      </c>
      <c r="E14" s="428" t="s">
        <v>4359</v>
      </c>
      <c r="F14" s="2859" t="s">
        <v>4360</v>
      </c>
      <c r="G14" s="2860"/>
      <c r="H14" s="2861"/>
      <c r="I14" s="149"/>
      <c r="J14" s="98"/>
      <c r="K14" s="98"/>
      <c r="L14" s="98"/>
      <c r="M14" s="135"/>
      <c r="N14" s="86"/>
    </row>
    <row r="15" spans="1:14">
      <c r="A15" s="110"/>
      <c r="B15" s="620" t="s">
        <v>4181</v>
      </c>
      <c r="C15" s="109" t="s">
        <v>4361</v>
      </c>
      <c r="D15" s="109" t="s">
        <v>4182</v>
      </c>
      <c r="E15" s="428" t="s">
        <v>1627</v>
      </c>
      <c r="F15" s="2859" t="s">
        <v>4362</v>
      </c>
      <c r="G15" s="2860"/>
      <c r="H15" s="2861"/>
      <c r="I15" s="142" t="s">
        <v>4363</v>
      </c>
      <c r="J15" s="86"/>
      <c r="K15" s="142" t="s">
        <v>2130</v>
      </c>
      <c r="L15" s="86"/>
      <c r="M15" s="135"/>
      <c r="N15" s="86"/>
    </row>
    <row r="16" spans="1:14">
      <c r="A16" s="110"/>
      <c r="B16" s="142"/>
      <c r="C16" s="109" t="s">
        <v>4364</v>
      </c>
      <c r="D16" s="109" t="s">
        <v>2131</v>
      </c>
      <c r="E16" s="87"/>
      <c r="F16" s="2859" t="s">
        <v>2132</v>
      </c>
      <c r="G16" s="2860"/>
      <c r="H16" s="2861"/>
      <c r="I16" s="142" t="s">
        <v>4365</v>
      </c>
      <c r="J16" s="86"/>
      <c r="K16" s="142" t="s">
        <v>2133</v>
      </c>
      <c r="L16" s="86"/>
      <c r="M16" s="135"/>
      <c r="N16" s="86"/>
    </row>
    <row r="17" spans="1:14">
      <c r="A17" s="110"/>
      <c r="B17" s="142"/>
      <c r="C17" s="96"/>
      <c r="D17" s="96"/>
      <c r="E17" s="87"/>
      <c r="F17" s="97"/>
      <c r="G17" s="98"/>
      <c r="H17" s="86"/>
      <c r="I17" s="149"/>
      <c r="J17" s="98"/>
      <c r="K17" s="149"/>
      <c r="L17" s="98"/>
      <c r="M17" s="153"/>
      <c r="N17" s="86"/>
    </row>
    <row r="18" spans="1:14">
      <c r="A18" s="110" t="s">
        <v>1727</v>
      </c>
      <c r="B18" s="142"/>
      <c r="C18" s="96"/>
      <c r="D18" s="96"/>
      <c r="E18" s="87"/>
      <c r="F18" s="88"/>
      <c r="G18" s="994" t="s">
        <v>4141</v>
      </c>
      <c r="H18" s="1018" t="s">
        <v>1291</v>
      </c>
      <c r="I18" s="620" t="s">
        <v>4141</v>
      </c>
      <c r="J18" s="620" t="s">
        <v>4142</v>
      </c>
      <c r="K18" s="620" t="s">
        <v>4141</v>
      </c>
      <c r="L18" s="620" t="s">
        <v>1291</v>
      </c>
      <c r="M18" s="363" t="s">
        <v>1727</v>
      </c>
      <c r="N18" s="86"/>
    </row>
    <row r="19" spans="1:14">
      <c r="A19" s="240" t="s">
        <v>1739</v>
      </c>
      <c r="B19" s="1019" t="s">
        <v>3279</v>
      </c>
      <c r="C19" s="997" t="s">
        <v>3280</v>
      </c>
      <c r="D19" s="997" t="s">
        <v>3281</v>
      </c>
      <c r="E19" s="424" t="s">
        <v>3282</v>
      </c>
      <c r="F19" s="97"/>
      <c r="G19" s="996" t="s">
        <v>721</v>
      </c>
      <c r="H19" s="621" t="s">
        <v>722</v>
      </c>
      <c r="I19" s="621" t="s">
        <v>723</v>
      </c>
      <c r="J19" s="621" t="s">
        <v>335</v>
      </c>
      <c r="K19" s="621" t="s">
        <v>336</v>
      </c>
      <c r="L19" s="621" t="s">
        <v>337</v>
      </c>
      <c r="M19" s="367" t="s">
        <v>1739</v>
      </c>
      <c r="N19" s="86"/>
    </row>
    <row r="20" spans="1:14">
      <c r="A20" s="110">
        <v>1</v>
      </c>
      <c r="B20" s="570" t="s">
        <v>2784</v>
      </c>
      <c r="C20" s="1095"/>
      <c r="D20" s="1096"/>
      <c r="E20" s="1097"/>
      <c r="F20" s="1098"/>
      <c r="G20" s="1099"/>
      <c r="H20" s="1100"/>
      <c r="I20" s="1095"/>
      <c r="J20" s="1095"/>
      <c r="K20" s="1095"/>
      <c r="L20" s="1095"/>
      <c r="M20" s="571">
        <v>1</v>
      </c>
      <c r="N20" s="86"/>
    </row>
    <row r="21" spans="1:14">
      <c r="A21" s="110">
        <v>2</v>
      </c>
      <c r="B21" s="142"/>
      <c r="C21" s="484"/>
      <c r="D21" s="573"/>
      <c r="E21" s="574"/>
      <c r="F21" s="145"/>
      <c r="G21" s="426"/>
      <c r="H21" s="492"/>
      <c r="I21" s="484"/>
      <c r="J21" s="492"/>
      <c r="K21" s="484"/>
      <c r="L21" s="492"/>
      <c r="M21" s="571">
        <v>2</v>
      </c>
      <c r="N21" s="86"/>
    </row>
    <row r="22" spans="1:14">
      <c r="A22" s="110">
        <v>3</v>
      </c>
      <c r="B22" s="142" t="s">
        <v>2784</v>
      </c>
      <c r="C22" s="1298">
        <v>50000</v>
      </c>
      <c r="D22" s="554">
        <v>290</v>
      </c>
      <c r="E22" s="1299" t="s">
        <v>3379</v>
      </c>
      <c r="F22" s="145"/>
      <c r="G22" s="1297">
        <v>47781</v>
      </c>
      <c r="H22" s="492">
        <v>13856490</v>
      </c>
      <c r="I22" s="484"/>
      <c r="J22" s="484"/>
      <c r="K22" s="484"/>
      <c r="L22" s="484"/>
      <c r="M22" s="571">
        <v>3</v>
      </c>
      <c r="N22" s="86" t="str">
        <f>IF(H22='114115'!F67,"ok","error")</f>
        <v>ok</v>
      </c>
    </row>
    <row r="23" spans="1:14">
      <c r="A23" s="110">
        <v>4</v>
      </c>
      <c r="B23" s="142"/>
      <c r="C23" s="484"/>
      <c r="D23" s="575"/>
      <c r="E23" s="576"/>
      <c r="F23" s="145"/>
      <c r="G23" s="426"/>
      <c r="H23" s="484"/>
      <c r="I23" s="484"/>
      <c r="J23" s="484"/>
      <c r="K23" s="484"/>
      <c r="L23" s="484"/>
      <c r="M23" s="571">
        <v>4</v>
      </c>
      <c r="N23" s="86"/>
    </row>
    <row r="24" spans="1:14">
      <c r="A24" s="110">
        <v>5</v>
      </c>
      <c r="B24" s="142"/>
      <c r="C24" s="484"/>
      <c r="D24" s="575"/>
      <c r="E24" s="576"/>
      <c r="F24" s="145"/>
      <c r="G24" s="426"/>
      <c r="H24" s="484"/>
      <c r="I24" s="484"/>
      <c r="J24" s="484"/>
      <c r="K24" s="484"/>
      <c r="L24" s="484"/>
      <c r="M24" s="571">
        <v>5</v>
      </c>
      <c r="N24" s="86"/>
    </row>
    <row r="25" spans="1:14">
      <c r="A25" s="110">
        <v>6</v>
      </c>
      <c r="B25" s="142"/>
      <c r="C25" s="484"/>
      <c r="D25" s="575"/>
      <c r="E25" s="576"/>
      <c r="F25" s="145"/>
      <c r="G25" s="426"/>
      <c r="H25" s="484"/>
      <c r="I25" s="484"/>
      <c r="J25" s="484"/>
      <c r="K25" s="484"/>
      <c r="L25" s="484"/>
      <c r="M25" s="571">
        <v>6</v>
      </c>
      <c r="N25" s="86"/>
    </row>
    <row r="26" spans="1:14">
      <c r="A26" s="110">
        <v>7</v>
      </c>
      <c r="B26" s="142"/>
      <c r="C26" s="484"/>
      <c r="D26" s="575"/>
      <c r="E26" s="576"/>
      <c r="F26" s="145"/>
      <c r="G26" s="426"/>
      <c r="H26" s="484"/>
      <c r="I26" s="484"/>
      <c r="J26" s="484"/>
      <c r="K26" s="484"/>
      <c r="L26" s="484"/>
      <c r="M26" s="571">
        <v>7</v>
      </c>
      <c r="N26" s="86"/>
    </row>
    <row r="27" spans="1:14">
      <c r="A27" s="110">
        <v>8</v>
      </c>
      <c r="B27" s="142"/>
      <c r="C27" s="484"/>
      <c r="D27" s="575"/>
      <c r="E27" s="576"/>
      <c r="F27" s="145"/>
      <c r="G27" s="426"/>
      <c r="H27" s="484"/>
      <c r="I27" s="484"/>
      <c r="J27" s="484"/>
      <c r="K27" s="484"/>
      <c r="L27" s="484"/>
      <c r="M27" s="571">
        <v>8</v>
      </c>
      <c r="N27" s="86"/>
    </row>
    <row r="28" spans="1:14">
      <c r="A28" s="110">
        <v>9</v>
      </c>
      <c r="B28" s="142"/>
      <c r="C28" s="484"/>
      <c r="D28" s="575"/>
      <c r="E28" s="576"/>
      <c r="F28" s="145"/>
      <c r="G28" s="426"/>
      <c r="H28" s="484"/>
      <c r="I28" s="484"/>
      <c r="J28" s="484"/>
      <c r="K28" s="484"/>
      <c r="L28" s="484"/>
      <c r="M28" s="571">
        <v>9</v>
      </c>
      <c r="N28" s="86"/>
    </row>
    <row r="29" spans="1:14">
      <c r="A29" s="110">
        <v>10</v>
      </c>
      <c r="B29" s="142"/>
      <c r="C29" s="484"/>
      <c r="D29" s="575"/>
      <c r="E29" s="576"/>
      <c r="F29" s="145"/>
      <c r="G29" s="426"/>
      <c r="H29" s="484"/>
      <c r="I29" s="484"/>
      <c r="J29" s="484"/>
      <c r="K29" s="484"/>
      <c r="L29" s="484"/>
      <c r="M29" s="571">
        <v>10</v>
      </c>
      <c r="N29" s="86"/>
    </row>
    <row r="30" spans="1:14">
      <c r="A30" s="110">
        <v>11</v>
      </c>
      <c r="B30" s="142"/>
      <c r="C30" s="484"/>
      <c r="D30" s="575"/>
      <c r="E30" s="576"/>
      <c r="F30" s="145"/>
      <c r="G30" s="426"/>
      <c r="H30" s="484"/>
      <c r="I30" s="484"/>
      <c r="J30" s="484"/>
      <c r="K30" s="484"/>
      <c r="L30" s="484"/>
      <c r="M30" s="571">
        <v>11</v>
      </c>
      <c r="N30" s="86"/>
    </row>
    <row r="31" spans="1:14">
      <c r="A31" s="110">
        <v>12</v>
      </c>
      <c r="B31" s="142"/>
      <c r="C31" s="484"/>
      <c r="D31" s="575"/>
      <c r="E31" s="576"/>
      <c r="F31" s="145"/>
      <c r="G31" s="426"/>
      <c r="H31" s="484"/>
      <c r="I31" s="484"/>
      <c r="J31" s="484"/>
      <c r="K31" s="484"/>
      <c r="L31" s="484"/>
      <c r="M31" s="571">
        <v>12</v>
      </c>
      <c r="N31" s="86"/>
    </row>
    <row r="32" spans="1:14">
      <c r="A32" s="110">
        <v>13</v>
      </c>
      <c r="B32" s="142"/>
      <c r="C32" s="484"/>
      <c r="D32" s="575"/>
      <c r="E32" s="576"/>
      <c r="F32" s="145"/>
      <c r="G32" s="426"/>
      <c r="H32" s="484"/>
      <c r="I32" s="484"/>
      <c r="J32" s="484"/>
      <c r="K32" s="484"/>
      <c r="L32" s="484"/>
      <c r="M32" s="571">
        <v>13</v>
      </c>
      <c r="N32" s="86"/>
    </row>
    <row r="33" spans="1:14">
      <c r="A33" s="110">
        <v>14</v>
      </c>
      <c r="B33" s="142"/>
      <c r="C33" s="484"/>
      <c r="D33" s="575"/>
      <c r="E33" s="576"/>
      <c r="F33" s="145"/>
      <c r="G33" s="426"/>
      <c r="H33" s="484"/>
      <c r="I33" s="484"/>
      <c r="J33" s="484"/>
      <c r="K33" s="484"/>
      <c r="L33" s="484"/>
      <c r="M33" s="571">
        <v>14</v>
      </c>
      <c r="N33" s="86"/>
    </row>
    <row r="34" spans="1:14">
      <c r="A34" s="110">
        <v>15</v>
      </c>
      <c r="B34" s="142"/>
      <c r="C34" s="484"/>
      <c r="D34" s="575"/>
      <c r="E34" s="576"/>
      <c r="F34" s="85"/>
      <c r="G34" s="426"/>
      <c r="H34" s="484"/>
      <c r="I34" s="142"/>
      <c r="J34" s="142"/>
      <c r="K34" s="142"/>
      <c r="L34" s="142"/>
      <c r="M34" s="363">
        <v>15</v>
      </c>
      <c r="N34" s="86"/>
    </row>
    <row r="35" spans="1:14">
      <c r="A35" s="110">
        <v>16</v>
      </c>
      <c r="B35" s="142"/>
      <c r="C35" s="484"/>
      <c r="D35" s="575"/>
      <c r="E35" s="576"/>
      <c r="F35" s="145"/>
      <c r="G35" s="426"/>
      <c r="H35" s="484"/>
      <c r="I35" s="484"/>
      <c r="J35" s="484"/>
      <c r="K35" s="484"/>
      <c r="L35" s="484"/>
      <c r="M35" s="571">
        <v>16</v>
      </c>
      <c r="N35" s="86"/>
    </row>
    <row r="36" spans="1:14">
      <c r="A36" s="110">
        <v>17</v>
      </c>
      <c r="B36" s="142"/>
      <c r="C36" s="484"/>
      <c r="D36" s="575"/>
      <c r="E36" s="576"/>
      <c r="F36" s="85"/>
      <c r="G36" s="426"/>
      <c r="H36" s="484"/>
      <c r="I36" s="142"/>
      <c r="J36" s="142"/>
      <c r="K36" s="142"/>
      <c r="L36" s="142"/>
      <c r="M36" s="571">
        <v>17</v>
      </c>
      <c r="N36" s="86"/>
    </row>
    <row r="37" spans="1:14">
      <c r="A37" s="110">
        <v>18</v>
      </c>
      <c r="B37" s="142"/>
      <c r="C37" s="484"/>
      <c r="D37" s="575"/>
      <c r="E37" s="576"/>
      <c r="F37" s="145"/>
      <c r="G37" s="426"/>
      <c r="H37" s="484"/>
      <c r="I37" s="484"/>
      <c r="J37" s="484"/>
      <c r="K37" s="484"/>
      <c r="L37" s="484"/>
      <c r="M37" s="571">
        <v>18</v>
      </c>
      <c r="N37" s="86"/>
    </row>
    <row r="38" spans="1:14">
      <c r="A38" s="110">
        <v>19</v>
      </c>
      <c r="B38" s="142"/>
      <c r="C38" s="508"/>
      <c r="D38" s="575"/>
      <c r="E38" s="576"/>
      <c r="F38" s="145"/>
      <c r="G38" s="577"/>
      <c r="H38" s="484"/>
      <c r="I38" s="484"/>
      <c r="J38" s="484"/>
      <c r="K38" s="484"/>
      <c r="L38" s="484"/>
      <c r="M38" s="571">
        <v>19</v>
      </c>
      <c r="N38" s="86"/>
    </row>
    <row r="39" spans="1:14">
      <c r="A39" s="110">
        <v>20</v>
      </c>
      <c r="B39" s="620" t="s">
        <v>1738</v>
      </c>
      <c r="C39" s="410">
        <f>SUM(C20:C38)</f>
        <v>50000</v>
      </c>
      <c r="D39" s="508"/>
      <c r="E39" s="576"/>
      <c r="F39" s="578"/>
      <c r="G39" s="409">
        <f t="shared" ref="G39:L39" si="0">SUM(G20:G38)</f>
        <v>47781</v>
      </c>
      <c r="H39" s="412">
        <f t="shared" si="0"/>
        <v>13856490</v>
      </c>
      <c r="I39" s="410">
        <f t="shared" si="0"/>
        <v>0</v>
      </c>
      <c r="J39" s="412">
        <f t="shared" si="0"/>
        <v>0</v>
      </c>
      <c r="K39" s="410">
        <f t="shared" si="0"/>
        <v>0</v>
      </c>
      <c r="L39" s="412">
        <f t="shared" si="0"/>
        <v>0</v>
      </c>
      <c r="M39" s="571">
        <v>20</v>
      </c>
      <c r="N39" s="86"/>
    </row>
    <row r="40" spans="1:14">
      <c r="A40" s="110">
        <v>21</v>
      </c>
      <c r="B40" s="1101"/>
      <c r="C40" s="1066"/>
      <c r="D40" s="1102"/>
      <c r="E40" s="1103"/>
      <c r="F40" s="1104"/>
      <c r="G40" s="1105"/>
      <c r="H40" s="1066"/>
      <c r="I40" s="1066"/>
      <c r="J40" s="1066"/>
      <c r="K40" s="1066"/>
      <c r="L40" s="1066"/>
      <c r="M40" s="571">
        <v>21</v>
      </c>
      <c r="N40" s="86"/>
    </row>
    <row r="41" spans="1:14">
      <c r="A41" s="110">
        <v>22</v>
      </c>
      <c r="B41" s="570" t="s">
        <v>2785</v>
      </c>
      <c r="C41" s="1095"/>
      <c r="D41" s="1096"/>
      <c r="E41" s="1106"/>
      <c r="F41" s="1098"/>
      <c r="G41" s="1099"/>
      <c r="H41" s="1095"/>
      <c r="I41" s="1095"/>
      <c r="J41" s="1095"/>
      <c r="K41" s="1095"/>
      <c r="L41" s="1095"/>
      <c r="M41" s="571">
        <v>22</v>
      </c>
      <c r="N41" s="86"/>
    </row>
    <row r="42" spans="1:14">
      <c r="A42" s="110">
        <v>23</v>
      </c>
      <c r="B42" s="142"/>
      <c r="C42" s="484"/>
      <c r="D42" s="573"/>
      <c r="E42" s="574"/>
      <c r="F42" s="145"/>
      <c r="G42" s="426"/>
      <c r="H42" s="492"/>
      <c r="I42" s="484"/>
      <c r="J42" s="492"/>
      <c r="K42" s="484"/>
      <c r="L42" s="492"/>
      <c r="M42" s="571">
        <v>23</v>
      </c>
      <c r="N42" s="86"/>
    </row>
    <row r="43" spans="1:14">
      <c r="A43" s="110">
        <v>24</v>
      </c>
      <c r="B43" s="484"/>
      <c r="C43" s="484"/>
      <c r="D43" s="508"/>
      <c r="E43" s="427"/>
      <c r="F43" s="145"/>
      <c r="G43" s="426"/>
      <c r="H43" s="484"/>
      <c r="I43" s="484"/>
      <c r="J43" s="484"/>
      <c r="K43" s="484"/>
      <c r="L43" s="484"/>
      <c r="M43" s="571">
        <v>24</v>
      </c>
      <c r="N43" s="86"/>
    </row>
    <row r="44" spans="1:14">
      <c r="A44" s="110">
        <v>25</v>
      </c>
      <c r="B44" s="484"/>
      <c r="C44" s="484"/>
      <c r="D44" s="508"/>
      <c r="E44" s="427"/>
      <c r="F44" s="145"/>
      <c r="G44" s="426"/>
      <c r="H44" s="484"/>
      <c r="I44" s="484"/>
      <c r="J44" s="484"/>
      <c r="K44" s="484"/>
      <c r="L44" s="484"/>
      <c r="M44" s="571">
        <v>25</v>
      </c>
      <c r="N44" s="86"/>
    </row>
    <row r="45" spans="1:14">
      <c r="A45" s="110">
        <v>26</v>
      </c>
      <c r="B45" s="484"/>
      <c r="C45" s="484"/>
      <c r="D45" s="508"/>
      <c r="E45" s="427"/>
      <c r="F45" s="145"/>
      <c r="G45" s="426"/>
      <c r="H45" s="484"/>
      <c r="I45" s="484"/>
      <c r="J45" s="484"/>
      <c r="K45" s="484"/>
      <c r="L45" s="484"/>
      <c r="M45" s="571">
        <v>26</v>
      </c>
      <c r="N45" s="86"/>
    </row>
    <row r="46" spans="1:14">
      <c r="A46" s="110">
        <v>27</v>
      </c>
      <c r="B46" s="484"/>
      <c r="C46" s="484"/>
      <c r="D46" s="508"/>
      <c r="E46" s="427"/>
      <c r="F46" s="145"/>
      <c r="G46" s="426"/>
      <c r="H46" s="484"/>
      <c r="I46" s="484"/>
      <c r="J46" s="484"/>
      <c r="K46" s="484"/>
      <c r="L46" s="484"/>
      <c r="M46" s="571">
        <v>27</v>
      </c>
      <c r="N46" s="86"/>
    </row>
    <row r="47" spans="1:14">
      <c r="A47" s="110">
        <v>28</v>
      </c>
      <c r="B47" s="484"/>
      <c r="C47" s="484"/>
      <c r="D47" s="508"/>
      <c r="E47" s="427"/>
      <c r="F47" s="145"/>
      <c r="G47" s="426"/>
      <c r="H47" s="484"/>
      <c r="I47" s="484"/>
      <c r="J47" s="484"/>
      <c r="K47" s="484"/>
      <c r="L47" s="484"/>
      <c r="M47" s="571">
        <v>28</v>
      </c>
      <c r="N47" s="86"/>
    </row>
    <row r="48" spans="1:14">
      <c r="A48" s="110">
        <v>29</v>
      </c>
      <c r="B48" s="484"/>
      <c r="C48" s="484"/>
      <c r="D48" s="508"/>
      <c r="E48" s="427"/>
      <c r="F48" s="145"/>
      <c r="G48" s="426"/>
      <c r="H48" s="484"/>
      <c r="I48" s="484"/>
      <c r="J48" s="484"/>
      <c r="K48" s="484"/>
      <c r="L48" s="484"/>
      <c r="M48" s="571">
        <v>29</v>
      </c>
      <c r="N48" s="86"/>
    </row>
    <row r="49" spans="1:14">
      <c r="A49" s="110">
        <v>30</v>
      </c>
      <c r="B49" s="484"/>
      <c r="C49" s="484"/>
      <c r="D49" s="508"/>
      <c r="E49" s="427"/>
      <c r="F49" s="145"/>
      <c r="G49" s="426"/>
      <c r="H49" s="484"/>
      <c r="I49" s="484"/>
      <c r="J49" s="484"/>
      <c r="K49" s="484"/>
      <c r="L49" s="484"/>
      <c r="M49" s="363">
        <v>30</v>
      </c>
      <c r="N49" s="86"/>
    </row>
    <row r="50" spans="1:14">
      <c r="A50" s="110">
        <v>31</v>
      </c>
      <c r="B50" s="484"/>
      <c r="C50" s="484"/>
      <c r="D50" s="508"/>
      <c r="E50" s="427"/>
      <c r="F50" s="145"/>
      <c r="G50" s="426"/>
      <c r="H50" s="484"/>
      <c r="I50" s="484"/>
      <c r="J50" s="484"/>
      <c r="K50" s="484"/>
      <c r="L50" s="484"/>
      <c r="M50" s="363">
        <v>31</v>
      </c>
      <c r="N50" s="86"/>
    </row>
    <row r="51" spans="1:14">
      <c r="A51" s="110">
        <v>32</v>
      </c>
      <c r="B51" s="484"/>
      <c r="C51" s="484"/>
      <c r="D51" s="508"/>
      <c r="E51" s="427"/>
      <c r="F51" s="145"/>
      <c r="G51" s="426"/>
      <c r="H51" s="484"/>
      <c r="I51" s="484"/>
      <c r="J51" s="484"/>
      <c r="K51" s="484"/>
      <c r="L51" s="484"/>
      <c r="M51" s="363">
        <v>32</v>
      </c>
      <c r="N51" s="86"/>
    </row>
    <row r="52" spans="1:14">
      <c r="A52" s="110">
        <v>33</v>
      </c>
      <c r="B52" s="484"/>
      <c r="C52" s="484"/>
      <c r="D52" s="508"/>
      <c r="E52" s="427"/>
      <c r="F52" s="145"/>
      <c r="G52" s="426"/>
      <c r="H52" s="484"/>
      <c r="I52" s="484"/>
      <c r="J52" s="484"/>
      <c r="K52" s="484"/>
      <c r="L52" s="484"/>
      <c r="M52" s="363">
        <v>33</v>
      </c>
      <c r="N52" s="86"/>
    </row>
    <row r="53" spans="1:14">
      <c r="A53" s="110">
        <v>34</v>
      </c>
      <c r="B53" s="484"/>
      <c r="C53" s="484"/>
      <c r="D53" s="508"/>
      <c r="E53" s="427"/>
      <c r="F53" s="145"/>
      <c r="G53" s="426"/>
      <c r="H53" s="484"/>
      <c r="I53" s="484"/>
      <c r="J53" s="484"/>
      <c r="K53" s="484"/>
      <c r="L53" s="484"/>
      <c r="M53" s="363">
        <v>34</v>
      </c>
      <c r="N53" s="86"/>
    </row>
    <row r="54" spans="1:14">
      <c r="A54" s="110">
        <v>35</v>
      </c>
      <c r="B54" s="484"/>
      <c r="C54" s="484"/>
      <c r="D54" s="508"/>
      <c r="E54" s="427"/>
      <c r="F54" s="145"/>
      <c r="G54" s="426"/>
      <c r="H54" s="484"/>
      <c r="I54" s="484"/>
      <c r="J54" s="484"/>
      <c r="K54" s="484"/>
      <c r="L54" s="484"/>
      <c r="M54" s="363">
        <v>35</v>
      </c>
      <c r="N54" s="86"/>
    </row>
    <row r="55" spans="1:14">
      <c r="A55" s="110">
        <v>36</v>
      </c>
      <c r="B55" s="484"/>
      <c r="C55" s="484"/>
      <c r="D55" s="508"/>
      <c r="E55" s="427"/>
      <c r="F55" s="145"/>
      <c r="G55" s="426"/>
      <c r="H55" s="484"/>
      <c r="I55" s="484"/>
      <c r="J55" s="484"/>
      <c r="K55" s="484"/>
      <c r="L55" s="484"/>
      <c r="M55" s="363">
        <v>36</v>
      </c>
      <c r="N55" s="86"/>
    </row>
    <row r="56" spans="1:14">
      <c r="A56" s="110">
        <v>37</v>
      </c>
      <c r="B56" s="484"/>
      <c r="C56" s="484"/>
      <c r="D56" s="508"/>
      <c r="E56" s="427"/>
      <c r="F56" s="145"/>
      <c r="G56" s="426"/>
      <c r="H56" s="484"/>
      <c r="I56" s="484"/>
      <c r="J56" s="484"/>
      <c r="K56" s="484"/>
      <c r="L56" s="484"/>
      <c r="M56" s="363">
        <v>37</v>
      </c>
      <c r="N56" s="86"/>
    </row>
    <row r="57" spans="1:14">
      <c r="A57" s="110">
        <v>38</v>
      </c>
      <c r="B57" s="484"/>
      <c r="C57" s="484"/>
      <c r="D57" s="508"/>
      <c r="E57" s="427"/>
      <c r="F57" s="145"/>
      <c r="G57" s="426"/>
      <c r="H57" s="484"/>
      <c r="I57" s="484"/>
      <c r="J57" s="484"/>
      <c r="K57" s="484"/>
      <c r="L57" s="484"/>
      <c r="M57" s="363">
        <v>38</v>
      </c>
      <c r="N57" s="86"/>
    </row>
    <row r="58" spans="1:14">
      <c r="A58" s="110">
        <v>39</v>
      </c>
      <c r="B58" s="484"/>
      <c r="C58" s="484"/>
      <c r="D58" s="508"/>
      <c r="E58" s="427"/>
      <c r="F58" s="145"/>
      <c r="G58" s="426"/>
      <c r="H58" s="484"/>
      <c r="I58" s="484"/>
      <c r="J58" s="484"/>
      <c r="K58" s="484"/>
      <c r="L58" s="484"/>
      <c r="M58" s="363">
        <v>39</v>
      </c>
      <c r="N58" s="86"/>
    </row>
    <row r="59" spans="1:14">
      <c r="A59" s="110">
        <v>40</v>
      </c>
      <c r="B59" s="484"/>
      <c r="C59" s="484"/>
      <c r="D59" s="508"/>
      <c r="E59" s="427"/>
      <c r="F59" s="145"/>
      <c r="G59" s="426"/>
      <c r="H59" s="484"/>
      <c r="I59" s="484"/>
      <c r="J59" s="484"/>
      <c r="K59" s="484"/>
      <c r="L59" s="484"/>
      <c r="M59" s="363">
        <v>40</v>
      </c>
      <c r="N59" s="86"/>
    </row>
    <row r="60" spans="1:14">
      <c r="A60" s="110">
        <v>41</v>
      </c>
      <c r="B60" s="620" t="s">
        <v>1738</v>
      </c>
      <c r="C60" s="410">
        <f>SUM(C41:C59)</f>
        <v>0</v>
      </c>
      <c r="D60" s="575"/>
      <c r="E60" s="576"/>
      <c r="F60" s="476"/>
      <c r="G60" s="409">
        <f t="shared" ref="G60:L60" si="1">SUM(G41:G59)</f>
        <v>0</v>
      </c>
      <c r="H60" s="412">
        <f t="shared" si="1"/>
        <v>0</v>
      </c>
      <c r="I60" s="410">
        <f t="shared" si="1"/>
        <v>0</v>
      </c>
      <c r="J60" s="412">
        <f t="shared" si="1"/>
        <v>0</v>
      </c>
      <c r="K60" s="410">
        <f t="shared" si="1"/>
        <v>0</v>
      </c>
      <c r="L60" s="412">
        <f t="shared" si="1"/>
        <v>0</v>
      </c>
      <c r="M60" s="363">
        <v>41</v>
      </c>
      <c r="N60" s="86"/>
    </row>
    <row r="61" spans="1:14" ht="15.75" thickBot="1">
      <c r="A61" s="437">
        <v>42</v>
      </c>
      <c r="B61" s="1107"/>
      <c r="C61" s="1107"/>
      <c r="D61" s="1108"/>
      <c r="E61" s="1109"/>
      <c r="F61" s="1110"/>
      <c r="G61" s="1111"/>
      <c r="H61" s="1107"/>
      <c r="I61" s="1107"/>
      <c r="J61" s="1107"/>
      <c r="K61" s="1107"/>
      <c r="L61" s="1107"/>
      <c r="M61" s="579">
        <v>42</v>
      </c>
      <c r="N61" s="86"/>
    </row>
    <row r="62" spans="1:14">
      <c r="A62" s="86" t="s">
        <v>2024</v>
      </c>
      <c r="B62" s="86"/>
      <c r="C62" s="86"/>
      <c r="D62" s="86"/>
      <c r="E62" s="86"/>
      <c r="F62" s="86"/>
      <c r="G62" s="86"/>
      <c r="H62" s="86"/>
      <c r="I62" s="86"/>
      <c r="J62" s="86"/>
      <c r="K62" s="86"/>
      <c r="L62" s="86" t="s">
        <v>2024</v>
      </c>
      <c r="M62" s="86"/>
      <c r="N62" s="86"/>
    </row>
    <row r="63" spans="1:14">
      <c r="A63" s="5" t="s">
        <v>2786</v>
      </c>
      <c r="B63" s="5"/>
      <c r="C63" s="5"/>
      <c r="D63" s="5"/>
      <c r="E63" s="5"/>
      <c r="F63" s="5" t="s">
        <v>2787</v>
      </c>
      <c r="G63" s="5"/>
      <c r="H63" s="5"/>
      <c r="I63" s="5"/>
      <c r="J63" s="5"/>
      <c r="K63" s="5"/>
      <c r="L63" s="5"/>
      <c r="M63" s="5"/>
      <c r="N63" s="86"/>
    </row>
    <row r="64" spans="1:14">
      <c r="A64" s="5"/>
      <c r="B64" s="5"/>
      <c r="C64" s="5"/>
      <c r="D64" s="5"/>
      <c r="E64" s="5"/>
      <c r="F64" s="5"/>
      <c r="G64" s="5"/>
      <c r="H64" s="5"/>
      <c r="I64" s="5"/>
      <c r="J64" s="5"/>
      <c r="K64" s="5"/>
      <c r="L64" s="5"/>
      <c r="M64" s="5"/>
      <c r="N64" s="86"/>
    </row>
    <row r="65" spans="1:14">
      <c r="A65" s="5"/>
      <c r="B65" s="5"/>
      <c r="C65" s="5"/>
      <c r="D65" s="5"/>
      <c r="E65" s="5"/>
      <c r="F65" s="5"/>
      <c r="G65" s="5"/>
      <c r="H65" s="5"/>
      <c r="I65" s="5"/>
      <c r="J65" s="5"/>
      <c r="K65" s="5"/>
      <c r="L65" s="5"/>
      <c r="M65" s="5"/>
      <c r="N65" s="86"/>
    </row>
    <row r="66" spans="1:14">
      <c r="A66" s="5"/>
      <c r="B66" s="5"/>
      <c r="C66" s="5"/>
      <c r="D66" s="5"/>
      <c r="E66" s="5"/>
      <c r="F66" s="5"/>
      <c r="G66" s="5"/>
      <c r="H66" s="5"/>
      <c r="I66" s="5"/>
      <c r="J66" s="5"/>
      <c r="K66" s="5"/>
      <c r="L66" s="5"/>
      <c r="M66" s="5"/>
      <c r="N66" s="86"/>
    </row>
    <row r="67" spans="1:14">
      <c r="A67" s="5"/>
      <c r="B67" s="5"/>
      <c r="C67" s="5"/>
      <c r="D67" s="5"/>
      <c r="E67" s="5"/>
      <c r="F67" s="5"/>
      <c r="G67" s="5"/>
      <c r="H67" s="5"/>
      <c r="I67" s="5"/>
      <c r="J67" s="5"/>
      <c r="K67" s="5"/>
      <c r="L67" s="5"/>
      <c r="M67" s="5"/>
      <c r="N67" s="86"/>
    </row>
    <row r="68" spans="1:14">
      <c r="A68" s="5"/>
      <c r="B68" s="5"/>
      <c r="C68" s="5"/>
      <c r="D68" s="5"/>
      <c r="E68" s="5"/>
      <c r="F68" s="5"/>
      <c r="G68" s="5"/>
      <c r="H68" s="5"/>
      <c r="I68" s="5"/>
      <c r="J68" s="5"/>
      <c r="K68" s="5"/>
      <c r="L68" s="5"/>
      <c r="M68" s="5"/>
      <c r="N68" s="86"/>
    </row>
    <row r="69" spans="1:14">
      <c r="A69" s="5"/>
      <c r="B69" s="5"/>
      <c r="C69" s="5"/>
      <c r="D69" s="5"/>
      <c r="E69" s="5"/>
      <c r="F69" s="5"/>
      <c r="G69" s="5"/>
      <c r="H69" s="5"/>
      <c r="I69" s="5"/>
      <c r="J69" s="5"/>
      <c r="K69" s="5"/>
      <c r="L69" s="5"/>
      <c r="M69" s="5"/>
      <c r="N69" s="86"/>
    </row>
    <row r="70" spans="1:14">
      <c r="A70" s="86"/>
      <c r="B70" s="86"/>
      <c r="C70" s="86"/>
      <c r="D70" s="86"/>
      <c r="E70" s="86"/>
      <c r="F70" s="86"/>
      <c r="G70" s="86"/>
      <c r="H70" s="86"/>
      <c r="I70" s="86"/>
      <c r="J70" s="86"/>
      <c r="K70" s="86"/>
      <c r="L70" s="86"/>
      <c r="M70" s="86"/>
      <c r="N70" s="86"/>
    </row>
    <row r="71" spans="1:14">
      <c r="A71" s="86"/>
      <c r="B71" s="86"/>
      <c r="C71" s="86"/>
      <c r="D71" s="86"/>
      <c r="E71" s="86"/>
      <c r="F71" s="86"/>
      <c r="G71" s="86"/>
      <c r="H71" s="86"/>
      <c r="I71" s="86"/>
      <c r="J71" s="86"/>
      <c r="K71" s="86"/>
      <c r="L71" s="86"/>
      <c r="M71" s="86"/>
      <c r="N71" s="86"/>
    </row>
    <row r="72" spans="1:14">
      <c r="A72" s="86"/>
      <c r="B72" s="86"/>
      <c r="C72" s="86"/>
      <c r="D72" s="86"/>
      <c r="E72" s="86"/>
      <c r="F72" s="86"/>
      <c r="G72" s="86"/>
      <c r="H72" s="86"/>
      <c r="I72" s="86"/>
      <c r="J72" s="86"/>
      <c r="K72" s="86"/>
      <c r="L72" s="86"/>
      <c r="M72" s="86"/>
      <c r="N72" s="86"/>
    </row>
    <row r="73" spans="1:14">
      <c r="A73" s="86"/>
      <c r="B73" s="86"/>
      <c r="C73" s="86"/>
      <c r="D73" s="86"/>
      <c r="E73" s="86"/>
      <c r="F73" s="86"/>
      <c r="G73" s="86"/>
      <c r="H73" s="86"/>
      <c r="I73" s="86"/>
      <c r="J73" s="86"/>
      <c r="K73" s="86"/>
      <c r="L73" s="86"/>
      <c r="M73" s="86"/>
      <c r="N73" s="86"/>
    </row>
    <row r="74" spans="1:14">
      <c r="A74" s="86"/>
      <c r="B74" s="86"/>
      <c r="C74" s="86"/>
      <c r="D74" s="86"/>
      <c r="E74" s="86"/>
      <c r="F74" s="86"/>
      <c r="G74" s="86"/>
      <c r="H74" s="86"/>
      <c r="I74" s="86"/>
      <c r="J74" s="86"/>
      <c r="K74" s="86"/>
      <c r="L74" s="86"/>
      <c r="M74" s="86"/>
      <c r="N74" s="86"/>
    </row>
    <row r="75" spans="1:14">
      <c r="A75" s="86"/>
      <c r="B75" s="86"/>
      <c r="C75" s="86"/>
      <c r="D75" s="86"/>
      <c r="E75" s="86"/>
      <c r="F75" s="86"/>
      <c r="G75" s="86"/>
      <c r="H75" s="86"/>
      <c r="I75" s="86"/>
      <c r="J75" s="86"/>
      <c r="K75" s="86"/>
      <c r="L75" s="86"/>
      <c r="M75" s="86"/>
      <c r="N75" s="86"/>
    </row>
    <row r="76" spans="1:14">
      <c r="A76" s="86"/>
      <c r="B76" s="86"/>
      <c r="C76" s="86"/>
      <c r="D76" s="86"/>
      <c r="E76" s="86"/>
      <c r="F76" s="86"/>
      <c r="G76" s="86"/>
      <c r="H76" s="86"/>
      <c r="I76" s="86"/>
      <c r="J76" s="86"/>
      <c r="K76" s="86"/>
      <c r="L76" s="86"/>
      <c r="M76" s="86"/>
      <c r="N76" s="86"/>
    </row>
    <row r="77" spans="1:14">
      <c r="A77" s="86"/>
      <c r="B77" s="86"/>
      <c r="C77" s="86"/>
      <c r="D77" s="86"/>
      <c r="E77" s="86"/>
      <c r="F77" s="86"/>
      <c r="G77" s="86"/>
      <c r="H77" s="86"/>
      <c r="I77" s="86"/>
      <c r="J77" s="86"/>
      <c r="K77" s="86"/>
      <c r="L77" s="86"/>
      <c r="M77" s="86"/>
      <c r="N77" s="86"/>
    </row>
    <row r="78" spans="1:14">
      <c r="A78" s="86"/>
      <c r="B78" s="86"/>
      <c r="C78" s="86"/>
      <c r="D78" s="86"/>
      <c r="E78" s="86"/>
      <c r="F78" s="86"/>
      <c r="G78" s="86"/>
      <c r="H78" s="86"/>
      <c r="I78" s="86"/>
      <c r="J78" s="86"/>
      <c r="K78" s="86"/>
      <c r="L78" s="86"/>
      <c r="M78" s="86"/>
      <c r="N78" s="86"/>
    </row>
    <row r="79" spans="1:14">
      <c r="A79" s="86"/>
      <c r="B79" s="86"/>
      <c r="C79" s="86"/>
      <c r="D79" s="86"/>
      <c r="E79" s="86"/>
      <c r="F79" s="86"/>
      <c r="G79" s="86"/>
      <c r="H79" s="86"/>
      <c r="I79" s="86"/>
      <c r="J79" s="86"/>
      <c r="K79" s="86"/>
      <c r="L79" s="86"/>
      <c r="M79" s="86"/>
      <c r="N79" s="86"/>
    </row>
    <row r="80" spans="1:14">
      <c r="A80" s="86"/>
      <c r="B80" s="86"/>
      <c r="C80" s="86"/>
      <c r="D80" s="86"/>
      <c r="E80" s="86"/>
      <c r="F80" s="86"/>
      <c r="G80" s="86"/>
      <c r="H80" s="86"/>
      <c r="I80" s="86"/>
      <c r="J80" s="86"/>
      <c r="K80" s="86"/>
      <c r="L80" s="86"/>
      <c r="M80" s="86"/>
      <c r="N80" s="86"/>
    </row>
    <row r="81" spans="1:14">
      <c r="A81" s="86"/>
      <c r="B81" s="86"/>
      <c r="C81" s="86"/>
      <c r="D81" s="86"/>
      <c r="E81" s="86"/>
      <c r="F81" s="86"/>
      <c r="G81" s="86"/>
      <c r="H81" s="86"/>
      <c r="I81" s="86"/>
      <c r="J81" s="86"/>
      <c r="K81" s="86"/>
      <c r="L81" s="86"/>
      <c r="M81" s="86"/>
      <c r="N81" s="86"/>
    </row>
    <row r="82" spans="1:14">
      <c r="A82" s="86"/>
      <c r="B82" s="86"/>
      <c r="C82" s="86"/>
      <c r="D82" s="86"/>
      <c r="E82" s="86"/>
      <c r="F82" s="86"/>
      <c r="G82" s="86"/>
      <c r="H82" s="86"/>
      <c r="I82" s="86"/>
      <c r="J82" s="86"/>
      <c r="K82" s="86"/>
      <c r="L82" s="86"/>
      <c r="M82" s="86"/>
      <c r="N82" s="86"/>
    </row>
    <row r="83" spans="1:14">
      <c r="A83" s="86"/>
      <c r="B83" s="86"/>
      <c r="C83" s="86"/>
      <c r="D83" s="86"/>
      <c r="E83" s="86"/>
      <c r="F83" s="86"/>
      <c r="G83" s="86"/>
      <c r="H83" s="86"/>
      <c r="I83" s="86"/>
      <c r="J83" s="86"/>
      <c r="K83" s="86"/>
      <c r="L83" s="86"/>
      <c r="M83" s="86"/>
      <c r="N83" s="86"/>
    </row>
    <row r="84" spans="1:14">
      <c r="A84" s="86"/>
      <c r="B84" s="86"/>
      <c r="C84" s="86"/>
      <c r="D84" s="86"/>
      <c r="E84" s="86"/>
      <c r="F84" s="86"/>
      <c r="G84" s="86"/>
      <c r="H84" s="86"/>
      <c r="I84" s="86"/>
      <c r="J84" s="86"/>
      <c r="K84" s="86"/>
      <c r="L84" s="86"/>
      <c r="M84" s="86"/>
      <c r="N84" s="86"/>
    </row>
    <row r="85" spans="1:14">
      <c r="A85" s="86"/>
      <c r="B85" s="86"/>
      <c r="C85" s="86"/>
      <c r="D85" s="86"/>
      <c r="E85" s="86"/>
      <c r="F85" s="86"/>
      <c r="G85" s="86"/>
      <c r="H85" s="86"/>
      <c r="I85" s="86"/>
      <c r="J85" s="86"/>
      <c r="K85" s="86"/>
      <c r="L85" s="86"/>
      <c r="M85" s="86"/>
      <c r="N85" s="86"/>
    </row>
    <row r="86" spans="1:14">
      <c r="A86" s="86"/>
      <c r="B86" s="86"/>
      <c r="C86" s="86"/>
      <c r="D86" s="86"/>
      <c r="E86" s="86"/>
      <c r="F86" s="86"/>
      <c r="G86" s="86"/>
      <c r="H86" s="86"/>
      <c r="I86" s="86"/>
      <c r="J86" s="86"/>
      <c r="K86" s="86"/>
      <c r="L86" s="86"/>
      <c r="M86" s="86"/>
      <c r="N86" s="86"/>
    </row>
    <row r="87" spans="1:14">
      <c r="A87" s="86"/>
      <c r="B87" s="86"/>
      <c r="C87" s="86"/>
      <c r="D87" s="86"/>
      <c r="E87" s="86"/>
      <c r="F87" s="86"/>
      <c r="G87" s="86"/>
      <c r="H87" s="86"/>
      <c r="I87" s="86"/>
      <c r="J87" s="86"/>
      <c r="K87" s="86"/>
      <c r="L87" s="86"/>
      <c r="M87" s="86"/>
      <c r="N87" s="86"/>
    </row>
    <row r="88" spans="1:14">
      <c r="A88" s="86"/>
      <c r="B88" s="86"/>
      <c r="C88" s="86"/>
      <c r="D88" s="86"/>
      <c r="E88" s="86"/>
      <c r="F88" s="86"/>
      <c r="G88" s="86"/>
      <c r="H88" s="86"/>
      <c r="I88" s="86"/>
      <c r="J88" s="86"/>
      <c r="K88" s="86"/>
      <c r="L88" s="86"/>
      <c r="M88" s="86"/>
      <c r="N88" s="86"/>
    </row>
    <row r="89" spans="1:14">
      <c r="A89" s="86"/>
      <c r="B89" s="86"/>
      <c r="C89" s="86"/>
      <c r="D89" s="86"/>
      <c r="E89" s="86"/>
      <c r="F89" s="86"/>
      <c r="G89" s="86"/>
      <c r="H89" s="86"/>
      <c r="I89" s="86"/>
      <c r="J89" s="86"/>
      <c r="K89" s="86"/>
      <c r="L89" s="86"/>
      <c r="M89" s="86"/>
      <c r="N89" s="86"/>
    </row>
    <row r="90" spans="1:14">
      <c r="A90" s="86"/>
      <c r="B90" s="86"/>
      <c r="C90" s="86"/>
      <c r="D90" s="86"/>
      <c r="E90" s="86"/>
      <c r="F90" s="86"/>
      <c r="G90" s="86"/>
      <c r="H90" s="86"/>
      <c r="I90" s="86"/>
      <c r="J90" s="86"/>
      <c r="K90" s="86"/>
      <c r="L90" s="86"/>
      <c r="M90" s="86"/>
      <c r="N90" s="86"/>
    </row>
    <row r="91" spans="1:14">
      <c r="A91" s="86"/>
      <c r="B91" s="86"/>
      <c r="C91" s="86"/>
      <c r="D91" s="86"/>
      <c r="E91" s="86"/>
      <c r="F91" s="86"/>
      <c r="G91" s="86"/>
      <c r="H91" s="86"/>
      <c r="I91" s="86"/>
      <c r="J91" s="86"/>
      <c r="K91" s="86"/>
      <c r="L91" s="86"/>
      <c r="M91" s="86"/>
      <c r="N91" s="86"/>
    </row>
    <row r="92" spans="1:14">
      <c r="A92" s="86"/>
      <c r="B92" s="86"/>
      <c r="C92" s="86"/>
      <c r="D92" s="86"/>
      <c r="E92" s="86"/>
      <c r="F92" s="86"/>
      <c r="G92" s="86"/>
      <c r="H92" s="86"/>
      <c r="I92" s="86"/>
      <c r="J92" s="86"/>
      <c r="K92" s="86"/>
      <c r="L92" s="86"/>
      <c r="M92" s="86"/>
      <c r="N92" s="86"/>
    </row>
    <row r="93" spans="1:14">
      <c r="A93" s="86"/>
      <c r="B93" s="86"/>
      <c r="C93" s="86"/>
      <c r="D93" s="86"/>
      <c r="E93" s="86"/>
      <c r="F93" s="86"/>
      <c r="G93" s="86"/>
      <c r="H93" s="86"/>
      <c r="I93" s="86"/>
      <c r="J93" s="86"/>
      <c r="K93" s="86"/>
      <c r="L93" s="86"/>
      <c r="M93" s="86"/>
      <c r="N93" s="86"/>
    </row>
    <row r="94" spans="1:14">
      <c r="A94" s="86"/>
      <c r="B94" s="86"/>
      <c r="C94" s="86"/>
      <c r="D94" s="86"/>
      <c r="E94" s="86"/>
      <c r="F94" s="86"/>
      <c r="G94" s="86"/>
      <c r="H94" s="86"/>
      <c r="I94" s="86"/>
      <c r="J94" s="86"/>
      <c r="K94" s="86"/>
      <c r="L94" s="86"/>
      <c r="M94" s="86"/>
      <c r="N94" s="86"/>
    </row>
    <row r="95" spans="1:14">
      <c r="A95" s="86"/>
      <c r="B95" s="86"/>
      <c r="C95" s="86"/>
      <c r="D95" s="86"/>
      <c r="E95" s="86"/>
      <c r="F95" s="86"/>
      <c r="G95" s="86"/>
      <c r="H95" s="86"/>
      <c r="I95" s="86"/>
      <c r="J95" s="86"/>
      <c r="K95" s="86"/>
      <c r="L95" s="86"/>
      <c r="M95" s="86"/>
      <c r="N95" s="86"/>
    </row>
    <row r="96" spans="1:14">
      <c r="A96" s="86"/>
      <c r="B96" s="86"/>
      <c r="C96" s="86"/>
      <c r="D96" s="86"/>
      <c r="E96" s="86"/>
      <c r="F96" s="86"/>
      <c r="G96" s="86"/>
      <c r="H96" s="86"/>
      <c r="I96" s="86"/>
      <c r="J96" s="86"/>
      <c r="K96" s="86"/>
      <c r="L96" s="86"/>
      <c r="M96" s="86"/>
      <c r="N96" s="86"/>
    </row>
    <row r="97" spans="1:14">
      <c r="A97" s="86"/>
      <c r="B97" s="86"/>
      <c r="C97" s="86"/>
      <c r="D97" s="86"/>
      <c r="E97" s="86"/>
      <c r="F97" s="86"/>
      <c r="G97" s="86"/>
      <c r="H97" s="86"/>
      <c r="I97" s="86"/>
      <c r="J97" s="86"/>
      <c r="K97" s="86"/>
      <c r="L97" s="86"/>
      <c r="M97" s="86"/>
      <c r="N97" s="86"/>
    </row>
    <row r="98" spans="1:14">
      <c r="A98" s="86"/>
      <c r="B98" s="86"/>
      <c r="C98" s="86"/>
      <c r="D98" s="86"/>
      <c r="E98" s="86"/>
      <c r="F98" s="86"/>
      <c r="G98" s="86"/>
      <c r="H98" s="86"/>
      <c r="I98" s="86"/>
      <c r="J98" s="86"/>
      <c r="K98" s="86"/>
      <c r="L98" s="86"/>
      <c r="M98" s="86"/>
      <c r="N98" s="86"/>
    </row>
    <row r="99" spans="1:14">
      <c r="A99" s="86"/>
      <c r="B99" s="86"/>
      <c r="C99" s="86"/>
      <c r="D99" s="86"/>
      <c r="E99" s="86"/>
      <c r="F99" s="86"/>
      <c r="G99" s="86"/>
      <c r="H99" s="86"/>
      <c r="I99" s="86"/>
      <c r="J99" s="86"/>
      <c r="K99" s="86"/>
      <c r="L99" s="86"/>
      <c r="M99" s="86"/>
      <c r="N99" s="86"/>
    </row>
    <row r="100" spans="1:14">
      <c r="A100" s="86"/>
      <c r="B100" s="86"/>
      <c r="C100" s="86"/>
      <c r="D100" s="86"/>
      <c r="E100" s="86"/>
      <c r="F100" s="86"/>
      <c r="G100" s="86"/>
      <c r="H100" s="86"/>
      <c r="I100" s="86"/>
      <c r="J100" s="86"/>
      <c r="K100" s="86"/>
      <c r="L100" s="86"/>
      <c r="M100" s="86"/>
      <c r="N100" s="86"/>
    </row>
    <row r="101" spans="1:14">
      <c r="A101" s="86"/>
      <c r="B101" s="86"/>
      <c r="C101" s="86"/>
      <c r="D101" s="86"/>
      <c r="E101" s="86"/>
      <c r="F101" s="86"/>
      <c r="G101" s="86"/>
      <c r="H101" s="86"/>
      <c r="I101" s="86"/>
      <c r="J101" s="86"/>
      <c r="K101" s="86"/>
      <c r="L101" s="86"/>
      <c r="M101" s="86"/>
      <c r="N101" s="86"/>
    </row>
    <row r="102" spans="1:14">
      <c r="A102" s="86"/>
      <c r="B102" s="86"/>
      <c r="C102" s="86"/>
      <c r="D102" s="86"/>
      <c r="E102" s="86"/>
      <c r="F102" s="86"/>
      <c r="G102" s="86"/>
      <c r="H102" s="86"/>
      <c r="I102" s="86"/>
      <c r="J102" s="86"/>
      <c r="K102" s="86"/>
      <c r="L102" s="86"/>
      <c r="M102" s="86"/>
      <c r="N102" s="86"/>
    </row>
    <row r="103" spans="1:14">
      <c r="A103" s="86"/>
      <c r="B103" s="86"/>
      <c r="C103" s="86"/>
      <c r="D103" s="86"/>
      <c r="E103" s="86"/>
      <c r="F103" s="86"/>
      <c r="G103" s="86"/>
      <c r="H103" s="86"/>
      <c r="I103" s="86"/>
      <c r="J103" s="86"/>
      <c r="K103" s="86"/>
      <c r="L103" s="86"/>
      <c r="M103" s="86"/>
      <c r="N103" s="86"/>
    </row>
    <row r="104" spans="1:14">
      <c r="A104" s="86"/>
      <c r="B104" s="86"/>
      <c r="C104" s="86"/>
      <c r="D104" s="86"/>
      <c r="E104" s="86"/>
      <c r="F104" s="86"/>
      <c r="G104" s="86"/>
      <c r="H104" s="86"/>
      <c r="I104" s="86"/>
      <c r="J104" s="86"/>
      <c r="K104" s="86"/>
      <c r="L104" s="86"/>
      <c r="M104" s="86"/>
      <c r="N104" s="86"/>
    </row>
    <row r="105" spans="1:14">
      <c r="A105" s="86"/>
      <c r="B105" s="86"/>
      <c r="C105" s="86"/>
      <c r="D105" s="86"/>
      <c r="E105" s="86"/>
      <c r="F105" s="86"/>
      <c r="G105" s="86"/>
      <c r="H105" s="86"/>
      <c r="I105" s="86"/>
      <c r="J105" s="86"/>
      <c r="K105" s="86"/>
      <c r="L105" s="86"/>
      <c r="M105" s="86"/>
      <c r="N105" s="86"/>
    </row>
    <row r="106" spans="1:14">
      <c r="A106" s="86"/>
      <c r="B106" s="86"/>
      <c r="C106" s="86"/>
      <c r="D106" s="86"/>
      <c r="E106" s="86"/>
      <c r="F106" s="86"/>
      <c r="G106" s="86"/>
      <c r="H106" s="86"/>
      <c r="I106" s="86"/>
      <c r="J106" s="86"/>
      <c r="K106" s="86"/>
      <c r="L106" s="86"/>
      <c r="M106" s="86"/>
      <c r="N106" s="86"/>
    </row>
    <row r="107" spans="1:14">
      <c r="A107" s="86"/>
      <c r="B107" s="86"/>
      <c r="C107" s="86"/>
      <c r="D107" s="86"/>
      <c r="E107" s="86"/>
      <c r="F107" s="86"/>
      <c r="G107" s="86"/>
      <c r="H107" s="86"/>
      <c r="I107" s="86"/>
      <c r="J107" s="86"/>
      <c r="K107" s="86"/>
      <c r="L107" s="86"/>
      <c r="M107" s="86"/>
      <c r="N107" s="86"/>
    </row>
    <row r="108" spans="1:14">
      <c r="A108" s="86"/>
      <c r="B108" s="86"/>
      <c r="C108" s="86"/>
      <c r="D108" s="86"/>
      <c r="E108" s="86"/>
      <c r="F108" s="86"/>
      <c r="G108" s="86"/>
      <c r="H108" s="86"/>
      <c r="I108" s="86"/>
      <c r="J108" s="86"/>
      <c r="K108" s="86"/>
      <c r="L108" s="86"/>
      <c r="M108" s="86"/>
      <c r="N108" s="86"/>
    </row>
    <row r="109" spans="1:14">
      <c r="A109" s="86"/>
      <c r="B109" s="86"/>
      <c r="C109" s="86"/>
      <c r="D109" s="86"/>
      <c r="E109" s="86"/>
      <c r="F109" s="86"/>
      <c r="G109" s="86"/>
      <c r="H109" s="86"/>
      <c r="I109" s="86"/>
      <c r="J109" s="86"/>
      <c r="K109" s="86"/>
      <c r="L109" s="86"/>
      <c r="M109" s="86"/>
      <c r="N109" s="86"/>
    </row>
    <row r="110" spans="1:14">
      <c r="A110" s="86"/>
      <c r="B110" s="86"/>
      <c r="C110" s="86"/>
      <c r="D110" s="86"/>
      <c r="E110" s="86"/>
      <c r="F110" s="86"/>
      <c r="G110" s="86"/>
      <c r="H110" s="86"/>
      <c r="I110" s="86"/>
      <c r="J110" s="86"/>
      <c r="K110" s="86"/>
      <c r="L110" s="86"/>
      <c r="M110" s="86"/>
      <c r="N110" s="86"/>
    </row>
    <row r="111" spans="1:14">
      <c r="A111" s="86"/>
      <c r="B111" s="86"/>
      <c r="C111" s="86"/>
      <c r="D111" s="86"/>
      <c r="E111" s="86"/>
      <c r="F111" s="86"/>
      <c r="G111" s="86"/>
      <c r="H111" s="86"/>
      <c r="I111" s="86"/>
      <c r="J111" s="86"/>
      <c r="K111" s="86"/>
      <c r="L111" s="86"/>
      <c r="M111" s="86"/>
      <c r="N111" s="86"/>
    </row>
    <row r="112" spans="1:14">
      <c r="A112" s="86"/>
      <c r="B112" s="86"/>
      <c r="C112" s="86"/>
      <c r="D112" s="86"/>
      <c r="E112" s="86"/>
      <c r="F112" s="86"/>
      <c r="G112" s="86"/>
      <c r="H112" s="86"/>
      <c r="I112" s="86"/>
      <c r="J112" s="86"/>
      <c r="K112" s="86"/>
      <c r="L112" s="86"/>
      <c r="M112" s="86"/>
      <c r="N112" s="86"/>
    </row>
    <row r="113" spans="1:14">
      <c r="A113" s="86"/>
      <c r="B113" s="86"/>
      <c r="C113" s="86"/>
      <c r="D113" s="86"/>
      <c r="E113" s="86"/>
      <c r="F113" s="86"/>
      <c r="G113" s="86"/>
      <c r="H113" s="86"/>
      <c r="I113" s="86"/>
      <c r="J113" s="86"/>
      <c r="K113" s="86"/>
      <c r="L113" s="86"/>
      <c r="M113" s="86"/>
      <c r="N113" s="86"/>
    </row>
    <row r="114" spans="1:14">
      <c r="A114" s="86"/>
      <c r="B114" s="86"/>
      <c r="C114" s="86"/>
      <c r="D114" s="86"/>
      <c r="E114" s="86"/>
      <c r="F114" s="86"/>
      <c r="G114" s="86"/>
      <c r="H114" s="86"/>
      <c r="I114" s="86"/>
      <c r="J114" s="86"/>
      <c r="K114" s="86"/>
      <c r="L114" s="86"/>
      <c r="M114" s="86"/>
      <c r="N114" s="86"/>
    </row>
    <row r="115" spans="1:14">
      <c r="A115" s="86"/>
      <c r="B115" s="86"/>
      <c r="C115" s="86"/>
      <c r="D115" s="86"/>
      <c r="E115" s="86"/>
      <c r="F115" s="86"/>
      <c r="G115" s="86"/>
      <c r="H115" s="86"/>
      <c r="I115" s="86"/>
      <c r="J115" s="86"/>
      <c r="K115" s="86"/>
      <c r="L115" s="86"/>
      <c r="M115" s="86"/>
      <c r="N115" s="86"/>
    </row>
    <row r="116" spans="1:14">
      <c r="A116" s="86"/>
      <c r="B116" s="86"/>
      <c r="C116" s="86"/>
      <c r="D116" s="86"/>
      <c r="E116" s="86"/>
      <c r="F116" s="86"/>
      <c r="G116" s="86"/>
      <c r="H116" s="86"/>
      <c r="I116" s="86"/>
      <c r="J116" s="86"/>
      <c r="K116" s="86"/>
      <c r="L116" s="86"/>
      <c r="M116" s="86"/>
      <c r="N116" s="86"/>
    </row>
    <row r="117" spans="1:14">
      <c r="A117" s="86"/>
      <c r="B117" s="86"/>
      <c r="C117" s="86"/>
      <c r="D117" s="86"/>
      <c r="E117" s="86"/>
      <c r="F117" s="86"/>
      <c r="G117" s="86"/>
      <c r="H117" s="86"/>
      <c r="I117" s="86"/>
      <c r="J117" s="86"/>
      <c r="K117" s="86"/>
      <c r="L117" s="86"/>
      <c r="M117" s="86"/>
      <c r="N117" s="86"/>
    </row>
    <row r="118" spans="1:14">
      <c r="A118" s="86"/>
      <c r="B118" s="86"/>
      <c r="C118" s="86"/>
      <c r="D118" s="86"/>
      <c r="E118" s="86"/>
      <c r="F118" s="86"/>
      <c r="G118" s="86"/>
      <c r="H118" s="86"/>
      <c r="I118" s="86"/>
      <c r="J118" s="86"/>
      <c r="K118" s="86"/>
      <c r="L118" s="86"/>
      <c r="M118" s="86"/>
      <c r="N118" s="86"/>
    </row>
    <row r="119" spans="1:14">
      <c r="A119" s="86"/>
      <c r="B119" s="86"/>
      <c r="C119" s="86"/>
      <c r="D119" s="86"/>
      <c r="E119" s="86"/>
      <c r="F119" s="86"/>
      <c r="G119" s="86"/>
      <c r="H119" s="86"/>
      <c r="I119" s="86"/>
      <c r="J119" s="86"/>
      <c r="K119" s="86"/>
      <c r="L119" s="86"/>
      <c r="M119" s="86"/>
      <c r="N119" s="86"/>
    </row>
    <row r="120" spans="1:14">
      <c r="A120" s="86"/>
      <c r="B120" s="86"/>
      <c r="C120" s="86"/>
      <c r="D120" s="86"/>
      <c r="E120" s="86"/>
      <c r="F120" s="86"/>
      <c r="G120" s="86"/>
      <c r="H120" s="86"/>
      <c r="I120" s="86"/>
      <c r="J120" s="86"/>
      <c r="K120" s="86"/>
      <c r="L120" s="86"/>
      <c r="M120" s="86"/>
      <c r="N120" s="86"/>
    </row>
    <row r="121" spans="1:14">
      <c r="A121" s="86"/>
      <c r="B121" s="86"/>
      <c r="C121" s="86"/>
      <c r="D121" s="86"/>
      <c r="E121" s="86"/>
      <c r="F121" s="86"/>
      <c r="G121" s="86"/>
      <c r="H121" s="86"/>
      <c r="I121" s="86"/>
      <c r="J121" s="86"/>
      <c r="K121" s="86"/>
      <c r="L121" s="86"/>
      <c r="M121" s="86"/>
      <c r="N121" s="86"/>
    </row>
    <row r="122" spans="1:14">
      <c r="A122" s="86"/>
      <c r="B122" s="86"/>
      <c r="C122" s="86"/>
      <c r="D122" s="86"/>
      <c r="E122" s="86"/>
      <c r="F122" s="86"/>
      <c r="G122" s="86"/>
      <c r="H122" s="86"/>
      <c r="I122" s="86"/>
      <c r="J122" s="86"/>
      <c r="K122" s="86"/>
      <c r="L122" s="86"/>
      <c r="M122" s="86"/>
      <c r="N122" s="86"/>
    </row>
    <row r="123" spans="1:14">
      <c r="A123" s="86"/>
      <c r="B123" s="86"/>
      <c r="C123" s="86"/>
      <c r="D123" s="86"/>
      <c r="E123" s="86"/>
      <c r="F123" s="86"/>
      <c r="G123" s="86"/>
      <c r="H123" s="86"/>
      <c r="I123" s="86"/>
      <c r="J123" s="86"/>
      <c r="K123" s="86"/>
      <c r="L123" s="86"/>
      <c r="M123" s="86"/>
      <c r="N123" s="86"/>
    </row>
    <row r="124" spans="1:14">
      <c r="A124" s="86"/>
      <c r="B124" s="86"/>
      <c r="C124" s="86"/>
      <c r="D124" s="86"/>
      <c r="E124" s="86"/>
      <c r="F124" s="86"/>
      <c r="G124" s="86"/>
      <c r="H124" s="86"/>
      <c r="I124" s="86"/>
      <c r="J124" s="86"/>
      <c r="K124" s="86"/>
      <c r="L124" s="86"/>
      <c r="M124" s="86"/>
      <c r="N124" s="86"/>
    </row>
    <row r="125" spans="1:14">
      <c r="A125" s="86"/>
      <c r="B125" s="86"/>
      <c r="C125" s="86"/>
      <c r="D125" s="86"/>
      <c r="E125" s="86"/>
      <c r="F125" s="86"/>
      <c r="G125" s="86"/>
      <c r="H125" s="86"/>
      <c r="I125" s="86"/>
      <c r="J125" s="86"/>
      <c r="K125" s="86"/>
      <c r="L125" s="86"/>
      <c r="M125" s="86"/>
      <c r="N125" s="86"/>
    </row>
    <row r="126" spans="1:14">
      <c r="A126" s="86"/>
      <c r="B126" s="86"/>
      <c r="C126" s="86"/>
      <c r="D126" s="86"/>
      <c r="E126" s="86"/>
      <c r="F126" s="86"/>
      <c r="G126" s="86"/>
      <c r="H126" s="86"/>
      <c r="I126" s="86"/>
      <c r="J126" s="86"/>
      <c r="K126" s="86"/>
      <c r="L126" s="86"/>
      <c r="M126" s="86"/>
      <c r="N126" s="86"/>
    </row>
    <row r="127" spans="1:14">
      <c r="A127" s="86"/>
      <c r="B127" s="86"/>
      <c r="C127" s="86"/>
      <c r="D127" s="86"/>
      <c r="E127" s="86"/>
      <c r="F127" s="86"/>
      <c r="G127" s="86"/>
      <c r="H127" s="86"/>
      <c r="I127" s="86"/>
      <c r="J127" s="86"/>
      <c r="K127" s="86"/>
      <c r="L127" s="86"/>
      <c r="M127" s="86"/>
      <c r="N127" s="86"/>
    </row>
    <row r="128" spans="1:14">
      <c r="A128" s="86"/>
      <c r="B128" s="86"/>
      <c r="C128" s="86"/>
      <c r="D128" s="86"/>
      <c r="E128" s="86"/>
      <c r="F128" s="86"/>
      <c r="G128" s="86"/>
      <c r="H128" s="86"/>
      <c r="I128" s="86"/>
      <c r="J128" s="86"/>
      <c r="K128" s="86"/>
      <c r="L128" s="86"/>
      <c r="M128" s="86"/>
      <c r="N128" s="86"/>
    </row>
    <row r="129" spans="1:14">
      <c r="A129" s="86"/>
      <c r="B129" s="86"/>
      <c r="C129" s="86"/>
      <c r="D129" s="86"/>
      <c r="E129" s="86"/>
      <c r="F129" s="86"/>
      <c r="G129" s="86"/>
      <c r="H129" s="86"/>
      <c r="I129" s="86"/>
      <c r="J129" s="86"/>
      <c r="K129" s="86"/>
      <c r="L129" s="86"/>
      <c r="M129" s="86"/>
      <c r="N129" s="86"/>
    </row>
    <row r="130" spans="1:14">
      <c r="A130" s="86"/>
      <c r="B130" s="86"/>
      <c r="C130" s="86"/>
      <c r="D130" s="86"/>
      <c r="E130" s="86"/>
      <c r="F130" s="86"/>
      <c r="G130" s="86"/>
      <c r="H130" s="86"/>
      <c r="I130" s="86"/>
      <c r="J130" s="86"/>
      <c r="K130" s="86"/>
      <c r="L130" s="86"/>
      <c r="M130" s="86"/>
      <c r="N130" s="86"/>
    </row>
    <row r="131" spans="1:14">
      <c r="A131" s="86"/>
      <c r="B131" s="86"/>
      <c r="C131" s="86"/>
      <c r="D131" s="86"/>
      <c r="E131" s="86"/>
      <c r="F131" s="86"/>
      <c r="G131" s="86"/>
      <c r="H131" s="86"/>
      <c r="I131" s="86"/>
      <c r="J131" s="86"/>
      <c r="K131" s="86"/>
      <c r="L131" s="86"/>
      <c r="M131" s="86"/>
      <c r="N131" s="86"/>
    </row>
    <row r="132" spans="1:14">
      <c r="A132" s="86"/>
      <c r="B132" s="86"/>
      <c r="C132" s="86"/>
      <c r="D132" s="86"/>
      <c r="E132" s="86"/>
      <c r="F132" s="86"/>
      <c r="G132" s="86"/>
      <c r="H132" s="86"/>
      <c r="I132" s="86"/>
      <c r="J132" s="86"/>
      <c r="K132" s="86"/>
      <c r="L132" s="86"/>
      <c r="M132" s="86"/>
      <c r="N132" s="86"/>
    </row>
    <row r="133" spans="1:14">
      <c r="A133" s="86"/>
      <c r="B133" s="86"/>
      <c r="C133" s="86"/>
      <c r="D133" s="86"/>
      <c r="E133" s="86"/>
      <c r="F133" s="86"/>
      <c r="G133" s="86"/>
      <c r="H133" s="86"/>
      <c r="I133" s="86"/>
      <c r="J133" s="86"/>
      <c r="K133" s="86"/>
      <c r="L133" s="86"/>
      <c r="M133" s="86"/>
      <c r="N133" s="86"/>
    </row>
    <row r="134" spans="1:14">
      <c r="A134" s="86"/>
      <c r="B134" s="86"/>
      <c r="C134" s="86"/>
      <c r="D134" s="86"/>
      <c r="E134" s="86"/>
      <c r="F134" s="86"/>
      <c r="G134" s="86"/>
      <c r="H134" s="86"/>
      <c r="I134" s="86"/>
      <c r="J134" s="86"/>
      <c r="K134" s="86"/>
      <c r="L134" s="86"/>
      <c r="M134" s="86"/>
      <c r="N134" s="86"/>
    </row>
    <row r="135" spans="1:14">
      <c r="A135" s="86"/>
      <c r="B135" s="86"/>
      <c r="C135" s="86"/>
      <c r="D135" s="86"/>
      <c r="E135" s="86"/>
      <c r="F135" s="86"/>
      <c r="G135" s="86"/>
      <c r="H135" s="86"/>
      <c r="I135" s="86"/>
      <c r="J135" s="86"/>
      <c r="K135" s="86"/>
      <c r="L135" s="86"/>
      <c r="M135" s="86"/>
      <c r="N135" s="86"/>
    </row>
    <row r="136" spans="1:14">
      <c r="A136" s="86"/>
      <c r="B136" s="86"/>
      <c r="C136" s="86"/>
      <c r="D136" s="86"/>
      <c r="E136" s="86"/>
      <c r="F136" s="86"/>
      <c r="G136" s="86"/>
      <c r="H136" s="86"/>
      <c r="I136" s="86"/>
      <c r="J136" s="86"/>
      <c r="K136" s="86"/>
      <c r="L136" s="86"/>
      <c r="M136" s="86"/>
      <c r="N136" s="86"/>
    </row>
    <row r="137" spans="1:14">
      <c r="A137" s="86"/>
      <c r="B137" s="86"/>
      <c r="C137" s="86"/>
      <c r="D137" s="86"/>
      <c r="E137" s="86"/>
      <c r="F137" s="86"/>
      <c r="G137" s="86"/>
      <c r="H137" s="86"/>
      <c r="I137" s="86"/>
      <c r="J137" s="86"/>
      <c r="K137" s="86"/>
      <c r="L137" s="86"/>
      <c r="M137" s="86"/>
      <c r="N137" s="86"/>
    </row>
    <row r="138" spans="1:14">
      <c r="A138" s="86"/>
      <c r="B138" s="86"/>
      <c r="C138" s="86"/>
      <c r="D138" s="86"/>
      <c r="E138" s="86"/>
      <c r="F138" s="86"/>
      <c r="G138" s="86"/>
      <c r="H138" s="86"/>
      <c r="I138" s="86"/>
      <c r="J138" s="86"/>
      <c r="K138" s="86"/>
      <c r="L138" s="86"/>
      <c r="M138" s="86"/>
      <c r="N138" s="86"/>
    </row>
    <row r="139" spans="1:14">
      <c r="A139" s="86"/>
      <c r="B139" s="86"/>
      <c r="C139" s="86"/>
      <c r="D139" s="86"/>
      <c r="E139" s="86"/>
      <c r="F139" s="86"/>
      <c r="G139" s="86"/>
      <c r="H139" s="86"/>
      <c r="I139" s="86"/>
      <c r="J139" s="86"/>
      <c r="K139" s="86"/>
      <c r="L139" s="86"/>
      <c r="M139" s="86"/>
      <c r="N139" s="86"/>
    </row>
    <row r="140" spans="1:14">
      <c r="A140" s="86"/>
      <c r="B140" s="86"/>
      <c r="C140" s="86"/>
      <c r="D140" s="86"/>
      <c r="E140" s="86"/>
      <c r="F140" s="86"/>
      <c r="G140" s="86"/>
      <c r="H140" s="86"/>
      <c r="I140" s="86"/>
      <c r="J140" s="86"/>
      <c r="K140" s="86"/>
      <c r="L140" s="86"/>
      <c r="M140" s="86"/>
      <c r="N140" s="86"/>
    </row>
    <row r="141" spans="1:14">
      <c r="A141" s="86"/>
      <c r="B141" s="86"/>
      <c r="C141" s="86"/>
      <c r="D141" s="86"/>
      <c r="E141" s="86"/>
      <c r="F141" s="86"/>
      <c r="G141" s="86"/>
      <c r="H141" s="86"/>
      <c r="I141" s="86"/>
      <c r="J141" s="86"/>
      <c r="K141" s="86"/>
      <c r="L141" s="86"/>
      <c r="M141" s="86"/>
      <c r="N141" s="86"/>
    </row>
    <row r="142" spans="1:14">
      <c r="A142" s="86"/>
      <c r="B142" s="86"/>
      <c r="C142" s="86"/>
      <c r="D142" s="86"/>
      <c r="E142" s="86"/>
      <c r="F142" s="86"/>
      <c r="G142" s="86"/>
      <c r="H142" s="86"/>
      <c r="I142" s="86"/>
      <c r="J142" s="86"/>
      <c r="K142" s="86"/>
      <c r="L142" s="86"/>
      <c r="M142" s="86"/>
      <c r="N142" s="86"/>
    </row>
    <row r="143" spans="1:14">
      <c r="A143" s="86"/>
      <c r="B143" s="86"/>
      <c r="C143" s="86"/>
      <c r="D143" s="86"/>
      <c r="E143" s="86"/>
      <c r="F143" s="86"/>
      <c r="G143" s="86"/>
      <c r="H143" s="86"/>
      <c r="I143" s="86"/>
      <c r="J143" s="86"/>
      <c r="K143" s="86"/>
      <c r="L143" s="86"/>
      <c r="M143" s="86"/>
      <c r="N143" s="86"/>
    </row>
    <row r="144" spans="1:14">
      <c r="A144" s="86"/>
      <c r="B144" s="86"/>
      <c r="C144" s="86"/>
      <c r="D144" s="86"/>
      <c r="E144" s="86"/>
      <c r="F144" s="86"/>
      <c r="G144" s="86"/>
      <c r="H144" s="86"/>
      <c r="I144" s="86"/>
      <c r="J144" s="86"/>
      <c r="K144" s="86"/>
      <c r="L144" s="86"/>
      <c r="M144" s="86"/>
      <c r="N144" s="86"/>
    </row>
    <row r="145" spans="1:14">
      <c r="A145" s="86"/>
      <c r="B145" s="86"/>
      <c r="C145" s="86"/>
      <c r="D145" s="86"/>
      <c r="E145" s="86"/>
      <c r="F145" s="86"/>
      <c r="G145" s="86"/>
      <c r="H145" s="86"/>
      <c r="I145" s="86"/>
      <c r="J145" s="86"/>
      <c r="K145" s="86"/>
      <c r="L145" s="86"/>
      <c r="M145" s="86"/>
      <c r="N145" s="86"/>
    </row>
    <row r="146" spans="1:14">
      <c r="A146" s="86"/>
      <c r="B146" s="86"/>
      <c r="C146" s="86"/>
      <c r="D146" s="86"/>
      <c r="E146" s="86"/>
      <c r="F146" s="86"/>
      <c r="G146" s="86"/>
      <c r="H146" s="86"/>
      <c r="I146" s="86"/>
      <c r="J146" s="86"/>
      <c r="K146" s="86"/>
      <c r="L146" s="86"/>
      <c r="M146" s="86"/>
      <c r="N146" s="86"/>
    </row>
    <row r="147" spans="1:14">
      <c r="A147" s="86"/>
      <c r="B147" s="86"/>
      <c r="C147" s="86"/>
      <c r="D147" s="86"/>
      <c r="E147" s="86"/>
      <c r="F147" s="86"/>
      <c r="G147" s="86"/>
      <c r="H147" s="86"/>
      <c r="I147" s="86"/>
      <c r="J147" s="86"/>
      <c r="K147" s="86"/>
      <c r="L147" s="86"/>
      <c r="M147" s="86"/>
      <c r="N147" s="86"/>
    </row>
    <row r="148" spans="1:14">
      <c r="A148" s="86"/>
      <c r="B148" s="86"/>
      <c r="C148" s="86"/>
      <c r="D148" s="86"/>
      <c r="E148" s="86"/>
      <c r="F148" s="86"/>
      <c r="G148" s="86"/>
      <c r="H148" s="86"/>
      <c r="I148" s="86"/>
      <c r="J148" s="86"/>
      <c r="K148" s="86"/>
      <c r="L148" s="86"/>
      <c r="M148" s="86"/>
      <c r="N148" s="86"/>
    </row>
    <row r="149" spans="1:14">
      <c r="A149" s="86"/>
      <c r="B149" s="86"/>
      <c r="C149" s="86"/>
      <c r="D149" s="86"/>
      <c r="E149" s="86"/>
      <c r="F149" s="86"/>
      <c r="G149" s="86"/>
      <c r="H149" s="86"/>
      <c r="I149" s="86"/>
      <c r="J149" s="86"/>
      <c r="K149" s="86"/>
      <c r="L149" s="86"/>
      <c r="M149" s="86"/>
      <c r="N149" s="86"/>
    </row>
    <row r="150" spans="1:14">
      <c r="A150" s="86"/>
      <c r="B150" s="86"/>
      <c r="C150" s="86"/>
      <c r="D150" s="86"/>
      <c r="E150" s="86"/>
      <c r="F150" s="86"/>
      <c r="G150" s="86"/>
      <c r="H150" s="86"/>
      <c r="I150" s="86"/>
      <c r="J150" s="86"/>
      <c r="K150" s="86"/>
      <c r="L150" s="86"/>
      <c r="M150" s="86"/>
      <c r="N150" s="86"/>
    </row>
    <row r="151" spans="1:14">
      <c r="A151" s="86"/>
      <c r="B151" s="86"/>
      <c r="C151" s="86"/>
      <c r="D151" s="86"/>
      <c r="E151" s="86"/>
      <c r="F151" s="86"/>
      <c r="G151" s="86"/>
      <c r="H151" s="86"/>
      <c r="I151" s="86"/>
      <c r="J151" s="86"/>
      <c r="K151" s="86"/>
      <c r="L151" s="86"/>
      <c r="M151" s="86"/>
      <c r="N151" s="86"/>
    </row>
    <row r="152" spans="1:14">
      <c r="A152" s="86"/>
      <c r="B152" s="86"/>
      <c r="C152" s="86"/>
      <c r="D152" s="86"/>
      <c r="E152" s="86"/>
      <c r="F152" s="86"/>
      <c r="G152" s="86"/>
      <c r="H152" s="86"/>
      <c r="I152" s="86"/>
      <c r="J152" s="86"/>
      <c r="K152" s="86"/>
      <c r="L152" s="86"/>
      <c r="M152" s="86"/>
      <c r="N152" s="86"/>
    </row>
    <row r="153" spans="1:14">
      <c r="A153" s="86"/>
      <c r="B153" s="86"/>
      <c r="C153" s="86"/>
      <c r="D153" s="86"/>
      <c r="E153" s="86"/>
      <c r="F153" s="86"/>
      <c r="G153" s="86"/>
      <c r="H153" s="86"/>
      <c r="I153" s="86"/>
      <c r="J153" s="86"/>
      <c r="K153" s="86"/>
      <c r="L153" s="86"/>
      <c r="M153" s="86"/>
      <c r="N153" s="86"/>
    </row>
    <row r="154" spans="1:14">
      <c r="A154" s="86"/>
      <c r="B154" s="86"/>
      <c r="C154" s="86"/>
      <c r="D154" s="86"/>
      <c r="E154" s="86"/>
      <c r="F154" s="86"/>
      <c r="G154" s="86"/>
      <c r="H154" s="86"/>
      <c r="I154" s="86"/>
      <c r="J154" s="86"/>
      <c r="K154" s="86"/>
      <c r="L154" s="86"/>
      <c r="M154" s="86"/>
      <c r="N154" s="86"/>
    </row>
    <row r="155" spans="1:14">
      <c r="A155" s="86"/>
      <c r="B155" s="86"/>
      <c r="C155" s="86"/>
      <c r="D155" s="86"/>
      <c r="E155" s="86"/>
      <c r="F155" s="86"/>
      <c r="G155" s="86"/>
      <c r="H155" s="86"/>
      <c r="I155" s="86"/>
      <c r="J155" s="86"/>
      <c r="K155" s="86"/>
      <c r="L155" s="86"/>
      <c r="M155" s="86"/>
      <c r="N155" s="86"/>
    </row>
    <row r="156" spans="1:14">
      <c r="A156" s="86"/>
      <c r="B156" s="86"/>
      <c r="C156" s="86"/>
      <c r="D156" s="86"/>
      <c r="E156" s="86"/>
      <c r="F156" s="86"/>
      <c r="G156" s="86"/>
      <c r="H156" s="86"/>
      <c r="I156" s="86"/>
      <c r="J156" s="86"/>
      <c r="K156" s="86"/>
      <c r="L156" s="86"/>
      <c r="M156" s="86"/>
      <c r="N156" s="86"/>
    </row>
    <row r="157" spans="1:14">
      <c r="A157" s="86"/>
      <c r="B157" s="86"/>
      <c r="C157" s="86"/>
      <c r="D157" s="86"/>
      <c r="E157" s="86"/>
      <c r="F157" s="86"/>
      <c r="G157" s="86"/>
      <c r="H157" s="86"/>
      <c r="I157" s="86"/>
      <c r="J157" s="86"/>
      <c r="K157" s="86"/>
      <c r="L157" s="86"/>
      <c r="M157" s="86"/>
      <c r="N157" s="86"/>
    </row>
    <row r="158" spans="1:14">
      <c r="A158" s="86"/>
      <c r="B158" s="86"/>
      <c r="C158" s="86"/>
      <c r="D158" s="86"/>
      <c r="E158" s="86"/>
      <c r="F158" s="86"/>
      <c r="G158" s="86"/>
      <c r="H158" s="86"/>
      <c r="I158" s="86"/>
      <c r="J158" s="86"/>
      <c r="K158" s="86"/>
      <c r="L158" s="86"/>
      <c r="M158" s="86"/>
      <c r="N158" s="86"/>
    </row>
    <row r="159" spans="1:14">
      <c r="A159" s="86"/>
      <c r="B159" s="86"/>
      <c r="C159" s="86"/>
      <c r="D159" s="86"/>
      <c r="E159" s="86"/>
      <c r="F159" s="86"/>
      <c r="G159" s="86"/>
      <c r="H159" s="86"/>
      <c r="I159" s="86"/>
      <c r="J159" s="86"/>
      <c r="K159" s="86"/>
      <c r="L159" s="86"/>
      <c r="M159" s="86"/>
      <c r="N159" s="86"/>
    </row>
    <row r="160" spans="1:14">
      <c r="A160" s="86"/>
      <c r="B160" s="86"/>
      <c r="C160" s="86"/>
      <c r="D160" s="86"/>
      <c r="E160" s="86"/>
      <c r="F160" s="86"/>
      <c r="G160" s="86"/>
      <c r="H160" s="86"/>
      <c r="I160" s="86"/>
      <c r="J160" s="86"/>
      <c r="K160" s="86"/>
      <c r="L160" s="86"/>
      <c r="M160" s="86"/>
      <c r="N160" s="86"/>
    </row>
    <row r="161" spans="1:14">
      <c r="A161" s="86"/>
      <c r="B161" s="86"/>
      <c r="C161" s="86"/>
      <c r="D161" s="86"/>
      <c r="E161" s="86"/>
      <c r="F161" s="86"/>
      <c r="G161" s="86"/>
      <c r="H161" s="86"/>
      <c r="I161" s="86"/>
      <c r="J161" s="86"/>
      <c r="K161" s="86"/>
      <c r="L161" s="86"/>
      <c r="M161" s="86"/>
      <c r="N161" s="86"/>
    </row>
    <row r="162" spans="1:14">
      <c r="A162" s="86"/>
      <c r="B162" s="86"/>
      <c r="C162" s="86"/>
      <c r="D162" s="86"/>
      <c r="E162" s="86"/>
      <c r="F162" s="86"/>
      <c r="G162" s="86"/>
      <c r="H162" s="86"/>
      <c r="I162" s="86"/>
      <c r="J162" s="86"/>
      <c r="K162" s="86"/>
      <c r="L162" s="86"/>
      <c r="M162" s="86"/>
      <c r="N162" s="86"/>
    </row>
    <row r="163" spans="1:14">
      <c r="A163" s="86"/>
      <c r="B163" s="86"/>
      <c r="C163" s="86"/>
      <c r="D163" s="86"/>
      <c r="E163" s="86"/>
      <c r="F163" s="86"/>
      <c r="G163" s="86"/>
      <c r="H163" s="86"/>
      <c r="I163" s="86"/>
      <c r="J163" s="86"/>
      <c r="K163" s="86"/>
      <c r="L163" s="86"/>
      <c r="M163" s="86"/>
      <c r="N163" s="86"/>
    </row>
    <row r="164" spans="1:14">
      <c r="A164" s="86"/>
      <c r="B164" s="86"/>
      <c r="C164" s="86"/>
      <c r="D164" s="86"/>
      <c r="E164" s="86"/>
      <c r="F164" s="86"/>
      <c r="G164" s="86"/>
      <c r="H164" s="86"/>
      <c r="I164" s="86"/>
      <c r="J164" s="86"/>
      <c r="K164" s="86"/>
      <c r="L164" s="86"/>
      <c r="M164" s="86"/>
      <c r="N164" s="86"/>
    </row>
    <row r="165" spans="1:14">
      <c r="A165" s="86"/>
      <c r="B165" s="86"/>
      <c r="C165" s="86"/>
      <c r="D165" s="86"/>
      <c r="E165" s="86"/>
      <c r="F165" s="86"/>
      <c r="G165" s="86"/>
      <c r="H165" s="86"/>
      <c r="I165" s="86"/>
      <c r="J165" s="86"/>
      <c r="K165" s="86"/>
      <c r="L165" s="86"/>
      <c r="M165" s="86"/>
      <c r="N165" s="86"/>
    </row>
    <row r="166" spans="1:14">
      <c r="A166" s="86"/>
      <c r="B166" s="86"/>
      <c r="C166" s="86"/>
      <c r="D166" s="86"/>
      <c r="E166" s="86"/>
      <c r="F166" s="86"/>
      <c r="G166" s="86"/>
      <c r="H166" s="86"/>
      <c r="I166" s="86"/>
      <c r="J166" s="86"/>
      <c r="K166" s="86"/>
      <c r="L166" s="86"/>
      <c r="M166" s="86"/>
      <c r="N166" s="86"/>
    </row>
    <row r="167" spans="1:14">
      <c r="A167" s="86"/>
      <c r="B167" s="86"/>
      <c r="C167" s="86"/>
      <c r="D167" s="86"/>
      <c r="E167" s="86"/>
      <c r="F167" s="86"/>
      <c r="G167" s="86"/>
      <c r="H167" s="86"/>
      <c r="I167" s="86"/>
      <c r="J167" s="86"/>
      <c r="K167" s="86"/>
      <c r="L167" s="86"/>
      <c r="M167" s="86"/>
      <c r="N167" s="86"/>
    </row>
    <row r="168" spans="1:14">
      <c r="A168" s="86"/>
      <c r="B168" s="86"/>
      <c r="C168" s="86"/>
      <c r="D168" s="86"/>
      <c r="E168" s="86"/>
      <c r="F168" s="86"/>
      <c r="G168" s="86"/>
      <c r="H168" s="86"/>
      <c r="I168" s="86"/>
      <c r="J168" s="86"/>
      <c r="K168" s="86"/>
      <c r="L168" s="86"/>
      <c r="M168" s="86"/>
      <c r="N168" s="86"/>
    </row>
    <row r="169" spans="1:14">
      <c r="A169" s="86"/>
      <c r="B169" s="86"/>
      <c r="C169" s="86"/>
      <c r="D169" s="86"/>
      <c r="E169" s="86"/>
      <c r="F169" s="86"/>
      <c r="G169" s="86"/>
      <c r="H169" s="86"/>
      <c r="I169" s="86"/>
      <c r="J169" s="86"/>
      <c r="K169" s="86"/>
      <c r="L169" s="86"/>
      <c r="M169" s="86"/>
      <c r="N169" s="86"/>
    </row>
    <row r="170" spans="1:14">
      <c r="A170" s="86"/>
      <c r="B170" s="86"/>
      <c r="C170" s="86"/>
      <c r="D170" s="86"/>
      <c r="E170" s="86"/>
      <c r="F170" s="86"/>
      <c r="G170" s="86"/>
      <c r="H170" s="86"/>
      <c r="I170" s="86"/>
      <c r="J170" s="86"/>
      <c r="K170" s="86"/>
      <c r="L170" s="86"/>
      <c r="M170" s="86"/>
      <c r="N170" s="86"/>
    </row>
    <row r="171" spans="1:14">
      <c r="A171" s="86"/>
      <c r="B171" s="86"/>
      <c r="C171" s="86"/>
      <c r="D171" s="86"/>
      <c r="E171" s="86"/>
      <c r="F171" s="86"/>
      <c r="G171" s="86"/>
      <c r="H171" s="86"/>
      <c r="I171" s="86"/>
      <c r="J171" s="86"/>
      <c r="K171" s="86"/>
      <c r="L171" s="86"/>
      <c r="M171" s="86"/>
      <c r="N171" s="86"/>
    </row>
    <row r="172" spans="1:14">
      <c r="A172" s="86"/>
      <c r="B172" s="86"/>
      <c r="C172" s="86"/>
      <c r="D172" s="86"/>
      <c r="E172" s="86"/>
      <c r="F172" s="86"/>
      <c r="G172" s="86"/>
      <c r="H172" s="86"/>
      <c r="I172" s="86"/>
      <c r="J172" s="86"/>
      <c r="K172" s="86"/>
      <c r="L172" s="86"/>
      <c r="M172" s="86"/>
      <c r="N172" s="86"/>
    </row>
    <row r="173" spans="1:14">
      <c r="A173" s="86"/>
      <c r="B173" s="86"/>
      <c r="C173" s="86"/>
      <c r="D173" s="86"/>
      <c r="E173" s="86"/>
      <c r="F173" s="86"/>
      <c r="G173" s="86"/>
      <c r="H173" s="86"/>
      <c r="I173" s="86"/>
      <c r="J173" s="86"/>
      <c r="K173" s="86"/>
      <c r="L173" s="86"/>
      <c r="M173" s="86"/>
      <c r="N173" s="86"/>
    </row>
    <row r="174" spans="1:14">
      <c r="A174" s="86"/>
      <c r="B174" s="86"/>
      <c r="C174" s="86"/>
      <c r="D174" s="86"/>
      <c r="E174" s="86"/>
      <c r="F174" s="86"/>
      <c r="G174" s="86"/>
      <c r="H174" s="86"/>
      <c r="I174" s="86"/>
      <c r="J174" s="86"/>
      <c r="K174" s="86"/>
      <c r="L174" s="86"/>
      <c r="M174" s="86"/>
      <c r="N174" s="86"/>
    </row>
    <row r="175" spans="1:14">
      <c r="A175" s="86"/>
      <c r="B175" s="86"/>
      <c r="C175" s="86"/>
      <c r="D175" s="86"/>
      <c r="E175" s="86"/>
      <c r="F175" s="86"/>
      <c r="G175" s="86"/>
      <c r="H175" s="86"/>
      <c r="I175" s="86"/>
      <c r="J175" s="86"/>
      <c r="K175" s="86"/>
      <c r="L175" s="86"/>
      <c r="M175" s="86"/>
      <c r="N175" s="86"/>
    </row>
    <row r="176" spans="1:14">
      <c r="A176" s="86"/>
      <c r="B176" s="86"/>
      <c r="C176" s="86"/>
      <c r="D176" s="86"/>
      <c r="E176" s="86"/>
      <c r="F176" s="86"/>
      <c r="G176" s="86"/>
      <c r="H176" s="86"/>
      <c r="I176" s="86"/>
      <c r="J176" s="86"/>
      <c r="K176" s="86"/>
      <c r="L176" s="86"/>
      <c r="M176" s="86"/>
      <c r="N176" s="86"/>
    </row>
    <row r="177" spans="1:14">
      <c r="A177" s="86"/>
      <c r="B177" s="86"/>
      <c r="C177" s="86"/>
      <c r="D177" s="86"/>
      <c r="E177" s="86"/>
      <c r="F177" s="86"/>
      <c r="G177" s="86"/>
      <c r="H177" s="86"/>
      <c r="I177" s="86"/>
      <c r="J177" s="86"/>
      <c r="K177" s="86"/>
      <c r="L177" s="86"/>
      <c r="M177" s="86"/>
      <c r="N177" s="86"/>
    </row>
    <row r="178" spans="1:14">
      <c r="A178" s="86"/>
      <c r="B178" s="86"/>
      <c r="C178" s="86"/>
      <c r="D178" s="86"/>
      <c r="E178" s="86"/>
      <c r="F178" s="86"/>
      <c r="G178" s="86"/>
      <c r="H178" s="86"/>
      <c r="I178" s="86"/>
      <c r="J178" s="86"/>
      <c r="K178" s="86"/>
      <c r="L178" s="86"/>
      <c r="M178" s="86"/>
      <c r="N178" s="86"/>
    </row>
    <row r="179" spans="1:14">
      <c r="A179" s="86"/>
      <c r="B179" s="86"/>
      <c r="C179" s="86"/>
      <c r="D179" s="86"/>
      <c r="E179" s="86"/>
      <c r="F179" s="86"/>
      <c r="G179" s="86"/>
      <c r="H179" s="86"/>
      <c r="I179" s="86"/>
      <c r="J179" s="86"/>
      <c r="K179" s="86"/>
      <c r="L179" s="86"/>
      <c r="M179" s="86"/>
      <c r="N179" s="86"/>
    </row>
    <row r="180" spans="1:14">
      <c r="A180" s="86"/>
      <c r="B180" s="86"/>
      <c r="C180" s="86"/>
      <c r="D180" s="86"/>
      <c r="E180" s="86"/>
      <c r="F180" s="86"/>
      <c r="G180" s="86"/>
      <c r="H180" s="86"/>
      <c r="I180" s="86"/>
      <c r="J180" s="86"/>
      <c r="K180" s="86"/>
      <c r="L180" s="86"/>
      <c r="M180" s="86"/>
      <c r="N180" s="86"/>
    </row>
    <row r="181" spans="1:14">
      <c r="A181" s="86"/>
      <c r="B181" s="86"/>
      <c r="C181" s="86"/>
      <c r="D181" s="86"/>
      <c r="E181" s="86"/>
      <c r="F181" s="86"/>
      <c r="G181" s="86"/>
      <c r="H181" s="86"/>
      <c r="I181" s="86"/>
      <c r="J181" s="86"/>
      <c r="K181" s="86"/>
      <c r="L181" s="86"/>
      <c r="M181" s="86"/>
      <c r="N181" s="86"/>
    </row>
    <row r="182" spans="1:14">
      <c r="A182" s="86"/>
      <c r="B182" s="86"/>
      <c r="C182" s="86"/>
      <c r="D182" s="86"/>
      <c r="E182" s="86"/>
      <c r="F182" s="86"/>
      <c r="G182" s="86"/>
      <c r="H182" s="86"/>
      <c r="I182" s="86"/>
      <c r="J182" s="86"/>
      <c r="K182" s="86"/>
      <c r="L182" s="86"/>
      <c r="M182" s="86"/>
      <c r="N182" s="86"/>
    </row>
    <row r="183" spans="1:14">
      <c r="A183" s="86"/>
      <c r="B183" s="86"/>
      <c r="C183" s="86"/>
      <c r="D183" s="86"/>
      <c r="E183" s="86"/>
      <c r="F183" s="86"/>
      <c r="G183" s="86"/>
      <c r="H183" s="86"/>
      <c r="I183" s="86"/>
      <c r="J183" s="86"/>
      <c r="K183" s="86"/>
      <c r="L183" s="86"/>
      <c r="M183" s="86"/>
      <c r="N183" s="86"/>
    </row>
    <row r="184" spans="1:14">
      <c r="A184" s="86"/>
      <c r="B184" s="86"/>
      <c r="C184" s="86"/>
      <c r="D184" s="86"/>
      <c r="E184" s="86"/>
      <c r="F184" s="86"/>
      <c r="G184" s="86"/>
      <c r="H184" s="86"/>
      <c r="I184" s="86"/>
      <c r="J184" s="86"/>
      <c r="K184" s="86"/>
      <c r="L184" s="86"/>
      <c r="M184" s="86"/>
      <c r="N184" s="86"/>
    </row>
    <row r="185" spans="1:14">
      <c r="A185" s="86"/>
      <c r="B185" s="86"/>
      <c r="C185" s="86"/>
      <c r="D185" s="86"/>
      <c r="E185" s="86"/>
      <c r="F185" s="86"/>
      <c r="G185" s="86"/>
      <c r="H185" s="86"/>
      <c r="I185" s="86"/>
      <c r="J185" s="86"/>
      <c r="K185" s="86"/>
      <c r="L185" s="86"/>
      <c r="M185" s="86"/>
      <c r="N185" s="86"/>
    </row>
    <row r="186" spans="1:14">
      <c r="A186" s="86"/>
      <c r="B186" s="86"/>
      <c r="C186" s="86"/>
      <c r="D186" s="86"/>
      <c r="E186" s="86"/>
      <c r="F186" s="86"/>
      <c r="G186" s="86"/>
      <c r="H186" s="86"/>
      <c r="I186" s="86"/>
      <c r="J186" s="86"/>
      <c r="K186" s="86"/>
      <c r="L186" s="86"/>
      <c r="M186" s="86"/>
      <c r="N186" s="86"/>
    </row>
    <row r="187" spans="1:14">
      <c r="A187" s="86"/>
      <c r="B187" s="86"/>
      <c r="C187" s="86"/>
      <c r="D187" s="86"/>
      <c r="E187" s="86"/>
      <c r="F187" s="86"/>
      <c r="G187" s="86"/>
      <c r="H187" s="86"/>
      <c r="I187" s="86"/>
      <c r="J187" s="86"/>
      <c r="K187" s="86"/>
      <c r="L187" s="86"/>
      <c r="M187" s="86"/>
      <c r="N187" s="86"/>
    </row>
    <row r="188" spans="1:14">
      <c r="A188" s="86"/>
      <c r="B188" s="86"/>
      <c r="C188" s="86"/>
      <c r="D188" s="86"/>
      <c r="E188" s="86"/>
      <c r="F188" s="86"/>
      <c r="G188" s="86"/>
      <c r="H188" s="86"/>
      <c r="I188" s="86"/>
      <c r="J188" s="86"/>
      <c r="K188" s="86"/>
      <c r="L188" s="86"/>
      <c r="M188" s="86"/>
      <c r="N188" s="86"/>
    </row>
    <row r="189" spans="1:14">
      <c r="A189" s="86"/>
      <c r="B189" s="86"/>
      <c r="C189" s="86"/>
      <c r="D189" s="86"/>
      <c r="E189" s="86"/>
      <c r="F189" s="86"/>
      <c r="G189" s="86"/>
      <c r="H189" s="86"/>
      <c r="I189" s="86"/>
      <c r="J189" s="86"/>
      <c r="K189" s="86"/>
      <c r="L189" s="86"/>
      <c r="M189" s="86"/>
      <c r="N189" s="86"/>
    </row>
    <row r="190" spans="1:14">
      <c r="A190" s="86"/>
      <c r="B190" s="86"/>
      <c r="C190" s="86"/>
      <c r="D190" s="86"/>
      <c r="E190" s="86"/>
      <c r="F190" s="86"/>
      <c r="G190" s="86"/>
      <c r="H190" s="86"/>
      <c r="I190" s="86"/>
      <c r="J190" s="86"/>
      <c r="K190" s="86"/>
      <c r="L190" s="86"/>
      <c r="M190" s="86"/>
      <c r="N190" s="86"/>
    </row>
    <row r="191" spans="1:14">
      <c r="A191" s="86"/>
      <c r="B191" s="86"/>
      <c r="C191" s="86"/>
      <c r="D191" s="86"/>
      <c r="E191" s="86"/>
      <c r="F191" s="86"/>
      <c r="G191" s="86"/>
      <c r="H191" s="86"/>
      <c r="I191" s="86"/>
      <c r="J191" s="86"/>
      <c r="K191" s="86"/>
      <c r="L191" s="86"/>
      <c r="M191" s="86"/>
      <c r="N191" s="86"/>
    </row>
    <row r="192" spans="1:14">
      <c r="A192" s="86"/>
      <c r="B192" s="86"/>
      <c r="C192" s="86"/>
      <c r="D192" s="86"/>
      <c r="E192" s="86"/>
      <c r="F192" s="86"/>
      <c r="G192" s="86"/>
      <c r="H192" s="86"/>
      <c r="I192" s="86"/>
      <c r="J192" s="86"/>
      <c r="K192" s="86"/>
      <c r="L192" s="86"/>
      <c r="M192" s="86"/>
      <c r="N192" s="86"/>
    </row>
    <row r="193" spans="1:14">
      <c r="A193" s="86"/>
      <c r="B193" s="86"/>
      <c r="C193" s="86"/>
      <c r="D193" s="86"/>
      <c r="E193" s="86"/>
      <c r="F193" s="86"/>
      <c r="G193" s="86"/>
      <c r="H193" s="86"/>
      <c r="I193" s="86"/>
      <c r="J193" s="86"/>
      <c r="K193" s="86"/>
      <c r="L193" s="86"/>
      <c r="M193" s="86"/>
      <c r="N193" s="86"/>
    </row>
    <row r="194" spans="1:14">
      <c r="A194" s="86"/>
      <c r="B194" s="86"/>
      <c r="C194" s="86"/>
      <c r="D194" s="86"/>
      <c r="E194" s="86"/>
      <c r="F194" s="86"/>
      <c r="G194" s="86"/>
      <c r="H194" s="86"/>
      <c r="I194" s="86"/>
      <c r="J194" s="86"/>
      <c r="K194" s="86"/>
      <c r="L194" s="86"/>
      <c r="M194" s="86"/>
      <c r="N194" s="86"/>
    </row>
    <row r="195" spans="1:14">
      <c r="A195" s="86"/>
      <c r="B195" s="86"/>
      <c r="C195" s="86"/>
      <c r="D195" s="86"/>
      <c r="E195" s="86"/>
      <c r="F195" s="86"/>
      <c r="G195" s="86"/>
      <c r="H195" s="86"/>
      <c r="I195" s="86"/>
      <c r="J195" s="86"/>
      <c r="K195" s="86"/>
      <c r="L195" s="86"/>
      <c r="M195" s="86"/>
      <c r="N195" s="86"/>
    </row>
    <row r="196" spans="1:14">
      <c r="A196" s="86"/>
      <c r="B196" s="86"/>
      <c r="C196" s="86"/>
      <c r="D196" s="86"/>
      <c r="E196" s="86"/>
      <c r="F196" s="86"/>
      <c r="G196" s="86"/>
      <c r="H196" s="86"/>
      <c r="I196" s="86"/>
      <c r="J196" s="86"/>
      <c r="K196" s="86"/>
      <c r="L196" s="86"/>
      <c r="M196" s="86"/>
      <c r="N196" s="86"/>
    </row>
    <row r="197" spans="1:14">
      <c r="A197" s="86"/>
      <c r="B197" s="86"/>
      <c r="C197" s="86"/>
      <c r="D197" s="86"/>
      <c r="E197" s="86"/>
      <c r="F197" s="86"/>
      <c r="G197" s="86"/>
      <c r="H197" s="86"/>
      <c r="I197" s="86"/>
      <c r="J197" s="86"/>
      <c r="K197" s="86"/>
      <c r="L197" s="86"/>
      <c r="M197" s="86"/>
      <c r="N197" s="86"/>
    </row>
    <row r="198" spans="1:14">
      <c r="A198" s="86"/>
      <c r="B198" s="86"/>
      <c r="C198" s="86"/>
      <c r="D198" s="86"/>
      <c r="E198" s="86"/>
      <c r="F198" s="86"/>
      <c r="G198" s="86"/>
      <c r="H198" s="86"/>
      <c r="I198" s="86"/>
      <c r="J198" s="86"/>
      <c r="K198" s="86"/>
      <c r="L198" s="86"/>
      <c r="M198" s="86"/>
      <c r="N198" s="86"/>
    </row>
    <row r="199" spans="1:14">
      <c r="A199" s="86"/>
      <c r="B199" s="86"/>
      <c r="C199" s="86"/>
      <c r="D199" s="86"/>
      <c r="E199" s="86"/>
      <c r="F199" s="86"/>
      <c r="G199" s="86"/>
      <c r="H199" s="86"/>
      <c r="I199" s="86"/>
      <c r="J199" s="86"/>
      <c r="K199" s="86"/>
      <c r="L199" s="86"/>
      <c r="M199" s="86"/>
      <c r="N199" s="86"/>
    </row>
    <row r="200" spans="1:14">
      <c r="A200" s="86"/>
      <c r="B200" s="86"/>
      <c r="C200" s="86"/>
      <c r="D200" s="86"/>
      <c r="E200" s="86"/>
      <c r="F200" s="86"/>
      <c r="G200" s="86"/>
      <c r="H200" s="86"/>
      <c r="I200" s="86"/>
      <c r="J200" s="86"/>
      <c r="K200" s="86"/>
      <c r="L200" s="86"/>
      <c r="M200" s="86"/>
      <c r="N200" s="86"/>
    </row>
    <row r="201" spans="1:14">
      <c r="A201" s="86"/>
      <c r="B201" s="86"/>
      <c r="C201" s="86"/>
      <c r="D201" s="86"/>
      <c r="E201" s="86"/>
      <c r="F201" s="86"/>
      <c r="G201" s="86"/>
      <c r="H201" s="86"/>
      <c r="I201" s="86"/>
      <c r="J201" s="86"/>
      <c r="K201" s="86"/>
      <c r="L201" s="86"/>
      <c r="M201" s="86"/>
      <c r="N201" s="86"/>
    </row>
    <row r="202" spans="1:14">
      <c r="A202" s="86"/>
      <c r="B202" s="86"/>
      <c r="C202" s="86"/>
      <c r="D202" s="86"/>
      <c r="E202" s="86"/>
      <c r="F202" s="86"/>
      <c r="G202" s="86"/>
      <c r="H202" s="86"/>
      <c r="I202" s="86"/>
      <c r="J202" s="86"/>
      <c r="K202" s="86"/>
      <c r="L202" s="86"/>
      <c r="M202" s="86"/>
      <c r="N202" s="86"/>
    </row>
    <row r="203" spans="1:14">
      <c r="A203" s="86"/>
      <c r="B203" s="86"/>
      <c r="C203" s="86"/>
      <c r="D203" s="86"/>
      <c r="E203" s="86"/>
      <c r="F203" s="86"/>
      <c r="G203" s="86"/>
      <c r="H203" s="86"/>
      <c r="I203" s="86"/>
      <c r="J203" s="86"/>
      <c r="K203" s="86"/>
      <c r="L203" s="86"/>
      <c r="M203" s="86"/>
      <c r="N203" s="86"/>
    </row>
    <row r="204" spans="1:14">
      <c r="A204" s="86"/>
      <c r="B204" s="86"/>
      <c r="C204" s="86"/>
      <c r="D204" s="86"/>
      <c r="E204" s="86"/>
      <c r="F204" s="86"/>
      <c r="G204" s="86"/>
      <c r="H204" s="86"/>
      <c r="I204" s="86"/>
      <c r="J204" s="86"/>
      <c r="K204" s="86"/>
      <c r="L204" s="86"/>
      <c r="M204" s="86"/>
      <c r="N204" s="86"/>
    </row>
    <row r="205" spans="1:14">
      <c r="A205" s="86"/>
      <c r="B205" s="86"/>
      <c r="C205" s="86"/>
      <c r="D205" s="86"/>
      <c r="E205" s="86"/>
      <c r="F205" s="86"/>
      <c r="G205" s="86"/>
      <c r="H205" s="86"/>
      <c r="I205" s="86"/>
      <c r="J205" s="86"/>
      <c r="K205" s="86"/>
      <c r="L205" s="86"/>
      <c r="M205" s="86"/>
      <c r="N205" s="86"/>
    </row>
    <row r="206" spans="1:14">
      <c r="A206" s="86"/>
      <c r="B206" s="86"/>
      <c r="C206" s="86"/>
      <c r="D206" s="86"/>
      <c r="E206" s="86"/>
      <c r="F206" s="86"/>
      <c r="G206" s="86"/>
      <c r="H206" s="86"/>
      <c r="I206" s="86"/>
      <c r="J206" s="86"/>
      <c r="K206" s="86"/>
      <c r="L206" s="86"/>
      <c r="M206" s="86"/>
      <c r="N206" s="86"/>
    </row>
    <row r="207" spans="1:14">
      <c r="A207" s="86"/>
      <c r="B207" s="86"/>
      <c r="C207" s="86"/>
      <c r="D207" s="86"/>
      <c r="E207" s="86"/>
      <c r="F207" s="86"/>
      <c r="G207" s="86"/>
      <c r="H207" s="86"/>
      <c r="I207" s="86"/>
      <c r="J207" s="86"/>
      <c r="K207" s="86"/>
      <c r="L207" s="86"/>
      <c r="M207" s="86"/>
      <c r="N207" s="86"/>
    </row>
    <row r="208" spans="1:14">
      <c r="A208" s="86"/>
      <c r="B208" s="86"/>
      <c r="C208" s="86"/>
      <c r="D208" s="86"/>
      <c r="E208" s="86"/>
      <c r="F208" s="86"/>
      <c r="G208" s="86"/>
      <c r="H208" s="86"/>
      <c r="I208" s="86"/>
      <c r="J208" s="86"/>
      <c r="K208" s="86"/>
      <c r="L208" s="86"/>
      <c r="M208" s="86"/>
      <c r="N208" s="86"/>
    </row>
    <row r="209" spans="1:14">
      <c r="A209" s="86"/>
      <c r="B209" s="86"/>
      <c r="C209" s="86"/>
      <c r="D209" s="86"/>
      <c r="E209" s="86"/>
      <c r="F209" s="86"/>
      <c r="G209" s="86"/>
      <c r="H209" s="86"/>
      <c r="I209" s="86"/>
      <c r="J209" s="86"/>
      <c r="K209" s="86"/>
      <c r="L209" s="86"/>
      <c r="M209" s="86"/>
      <c r="N209" s="86"/>
    </row>
    <row r="210" spans="1:14">
      <c r="A210" s="86"/>
      <c r="B210" s="86"/>
      <c r="C210" s="86"/>
      <c r="D210" s="86"/>
      <c r="E210" s="86"/>
      <c r="F210" s="86"/>
      <c r="G210" s="86"/>
      <c r="H210" s="86"/>
      <c r="I210" s="86"/>
      <c r="J210" s="86"/>
      <c r="K210" s="86"/>
      <c r="L210" s="86"/>
      <c r="M210" s="86"/>
      <c r="N210" s="86"/>
    </row>
    <row r="211" spans="1:14">
      <c r="A211" s="86"/>
      <c r="B211" s="86"/>
      <c r="C211" s="86"/>
      <c r="D211" s="86"/>
      <c r="E211" s="86"/>
      <c r="F211" s="86"/>
      <c r="G211" s="86"/>
      <c r="H211" s="86"/>
      <c r="I211" s="86"/>
      <c r="J211" s="86"/>
      <c r="K211" s="86"/>
      <c r="L211" s="86"/>
      <c r="M211" s="86"/>
      <c r="N211" s="86"/>
    </row>
    <row r="212" spans="1:14">
      <c r="A212" s="86"/>
      <c r="B212" s="86"/>
      <c r="C212" s="86"/>
      <c r="D212" s="86"/>
      <c r="E212" s="86"/>
      <c r="F212" s="86"/>
      <c r="G212" s="86"/>
      <c r="H212" s="86"/>
      <c r="I212" s="86"/>
      <c r="J212" s="86"/>
      <c r="K212" s="86"/>
      <c r="L212" s="86"/>
      <c r="M212" s="86"/>
      <c r="N212" s="86"/>
    </row>
    <row r="213" spans="1:14">
      <c r="A213" s="86"/>
      <c r="B213" s="86"/>
      <c r="C213" s="86"/>
      <c r="D213" s="86"/>
      <c r="E213" s="86"/>
      <c r="F213" s="86"/>
      <c r="G213" s="86"/>
      <c r="H213" s="86"/>
      <c r="I213" s="86"/>
      <c r="J213" s="86"/>
      <c r="K213" s="86"/>
      <c r="L213" s="86"/>
      <c r="M213" s="86"/>
      <c r="N213" s="86"/>
    </row>
    <row r="214" spans="1:14">
      <c r="A214" s="86"/>
      <c r="B214" s="86"/>
      <c r="C214" s="86"/>
      <c r="D214" s="86"/>
      <c r="E214" s="86"/>
      <c r="F214" s="86"/>
      <c r="G214" s="86"/>
      <c r="H214" s="86"/>
      <c r="I214" s="86"/>
      <c r="J214" s="86"/>
      <c r="K214" s="86"/>
      <c r="L214" s="86"/>
      <c r="M214" s="86"/>
      <c r="N214" s="86"/>
    </row>
    <row r="215" spans="1:14">
      <c r="A215" s="86"/>
      <c r="B215" s="86"/>
      <c r="C215" s="86"/>
      <c r="D215" s="86"/>
      <c r="E215" s="86"/>
      <c r="F215" s="86"/>
      <c r="G215" s="86"/>
      <c r="H215" s="86"/>
      <c r="I215" s="86"/>
      <c r="J215" s="86"/>
      <c r="K215" s="86"/>
      <c r="L215" s="86"/>
      <c r="M215" s="86"/>
      <c r="N215" s="86"/>
    </row>
    <row r="216" spans="1:14">
      <c r="A216" s="86"/>
      <c r="B216" s="86"/>
      <c r="C216" s="86"/>
      <c r="D216" s="86"/>
      <c r="E216" s="86"/>
      <c r="F216" s="86"/>
      <c r="G216" s="86"/>
      <c r="H216" s="86"/>
      <c r="I216" s="86"/>
      <c r="J216" s="86"/>
      <c r="K216" s="86"/>
      <c r="L216" s="86"/>
      <c r="M216" s="86"/>
      <c r="N216" s="86"/>
    </row>
    <row r="217" spans="1:14">
      <c r="A217" s="86"/>
      <c r="B217" s="86"/>
      <c r="C217" s="86"/>
      <c r="D217" s="86"/>
      <c r="E217" s="86"/>
      <c r="F217" s="86"/>
      <c r="G217" s="86"/>
      <c r="H217" s="86"/>
      <c r="I217" s="86"/>
      <c r="J217" s="86"/>
      <c r="K217" s="86"/>
      <c r="L217" s="86"/>
      <c r="M217" s="86"/>
      <c r="N217" s="86"/>
    </row>
    <row r="218" spans="1:14">
      <c r="A218" s="86"/>
      <c r="B218" s="86"/>
      <c r="C218" s="86"/>
      <c r="D218" s="86"/>
      <c r="E218" s="86"/>
      <c r="F218" s="86"/>
      <c r="G218" s="86"/>
      <c r="H218" s="86"/>
      <c r="I218" s="86"/>
      <c r="J218" s="86"/>
      <c r="K218" s="86"/>
      <c r="L218" s="86"/>
      <c r="M218" s="86"/>
      <c r="N218" s="86"/>
    </row>
    <row r="219" spans="1:14">
      <c r="A219" s="86"/>
      <c r="B219" s="86"/>
      <c r="C219" s="86"/>
      <c r="D219" s="86"/>
      <c r="E219" s="86"/>
      <c r="F219" s="86"/>
      <c r="G219" s="86"/>
      <c r="H219" s="86"/>
      <c r="I219" s="86"/>
      <c r="J219" s="86"/>
      <c r="K219" s="86"/>
      <c r="L219" s="86"/>
      <c r="M219" s="86"/>
      <c r="N219" s="86"/>
    </row>
    <row r="220" spans="1:14">
      <c r="A220" s="86"/>
      <c r="B220" s="86"/>
      <c r="C220" s="86"/>
      <c r="D220" s="86"/>
      <c r="E220" s="86"/>
      <c r="F220" s="86"/>
      <c r="G220" s="86"/>
      <c r="H220" s="86"/>
      <c r="I220" s="86"/>
      <c r="J220" s="86"/>
      <c r="K220" s="86"/>
      <c r="L220" s="86"/>
      <c r="M220" s="86"/>
      <c r="N220" s="86"/>
    </row>
    <row r="221" spans="1:14">
      <c r="A221" s="86"/>
      <c r="B221" s="86"/>
      <c r="C221" s="86"/>
      <c r="D221" s="86"/>
      <c r="E221" s="86"/>
      <c r="F221" s="86"/>
      <c r="G221" s="86"/>
      <c r="H221" s="86"/>
      <c r="I221" s="86"/>
      <c r="J221" s="86"/>
      <c r="K221" s="86"/>
      <c r="L221" s="86"/>
      <c r="M221" s="86"/>
      <c r="N221" s="86"/>
    </row>
    <row r="222" spans="1:14">
      <c r="A222" s="86"/>
      <c r="B222" s="86"/>
      <c r="C222" s="86"/>
      <c r="D222" s="86"/>
      <c r="E222" s="86"/>
      <c r="F222" s="86"/>
      <c r="G222" s="86"/>
      <c r="H222" s="86"/>
      <c r="I222" s="86"/>
      <c r="J222" s="86"/>
      <c r="K222" s="86"/>
      <c r="L222" s="86"/>
      <c r="M222" s="86"/>
      <c r="N222" s="86"/>
    </row>
    <row r="223" spans="1:14">
      <c r="A223" s="86"/>
      <c r="B223" s="86"/>
      <c r="C223" s="86"/>
      <c r="D223" s="86"/>
      <c r="E223" s="86"/>
      <c r="F223" s="86"/>
      <c r="G223" s="86"/>
      <c r="H223" s="86"/>
      <c r="I223" s="86"/>
      <c r="J223" s="86"/>
      <c r="K223" s="86"/>
      <c r="L223" s="86"/>
      <c r="M223" s="86"/>
      <c r="N223" s="86"/>
    </row>
    <row r="224" spans="1:14">
      <c r="A224" s="86"/>
      <c r="B224" s="86"/>
      <c r="C224" s="86"/>
      <c r="D224" s="86"/>
      <c r="E224" s="86"/>
      <c r="F224" s="86"/>
      <c r="G224" s="86"/>
      <c r="H224" s="86"/>
      <c r="I224" s="86"/>
      <c r="J224" s="86"/>
      <c r="K224" s="86"/>
      <c r="L224" s="86"/>
      <c r="M224" s="86"/>
      <c r="N224" s="86"/>
    </row>
    <row r="225" spans="1:14">
      <c r="A225" s="86"/>
      <c r="B225" s="86"/>
      <c r="C225" s="86"/>
      <c r="D225" s="86"/>
      <c r="E225" s="86"/>
      <c r="F225" s="86"/>
      <c r="G225" s="86"/>
      <c r="H225" s="86"/>
      <c r="I225" s="86"/>
      <c r="J225" s="86"/>
      <c r="K225" s="86"/>
      <c r="L225" s="86"/>
      <c r="M225" s="86"/>
      <c r="N225" s="86"/>
    </row>
    <row r="226" spans="1:14">
      <c r="A226" s="86"/>
      <c r="B226" s="86"/>
      <c r="C226" s="86"/>
      <c r="D226" s="86"/>
      <c r="E226" s="86"/>
      <c r="F226" s="86"/>
      <c r="G226" s="86"/>
      <c r="H226" s="86"/>
      <c r="I226" s="86"/>
      <c r="J226" s="86"/>
      <c r="K226" s="86"/>
      <c r="L226" s="86"/>
      <c r="M226" s="86"/>
      <c r="N226" s="86"/>
    </row>
    <row r="227" spans="1:14">
      <c r="A227" s="86"/>
      <c r="B227" s="86"/>
      <c r="C227" s="86"/>
      <c r="D227" s="86"/>
      <c r="E227" s="86"/>
      <c r="F227" s="86"/>
      <c r="G227" s="86"/>
      <c r="H227" s="86"/>
      <c r="I227" s="86"/>
      <c r="J227" s="86"/>
      <c r="K227" s="86"/>
      <c r="L227" s="86"/>
      <c r="M227" s="86"/>
      <c r="N227" s="86"/>
    </row>
    <row r="228" spans="1:14">
      <c r="A228" s="86"/>
      <c r="B228" s="86"/>
      <c r="C228" s="86"/>
      <c r="D228" s="86"/>
      <c r="E228" s="86"/>
      <c r="F228" s="86"/>
      <c r="G228" s="86"/>
      <c r="H228" s="86"/>
      <c r="I228" s="86"/>
      <c r="J228" s="86"/>
      <c r="K228" s="86"/>
      <c r="L228" s="86"/>
      <c r="M228" s="86"/>
      <c r="N228" s="86"/>
    </row>
    <row r="229" spans="1:14">
      <c r="A229" s="86"/>
      <c r="B229" s="86"/>
      <c r="C229" s="86"/>
      <c r="D229" s="86"/>
      <c r="E229" s="86"/>
      <c r="F229" s="86"/>
      <c r="G229" s="86"/>
      <c r="H229" s="86"/>
      <c r="I229" s="86"/>
      <c r="J229" s="86"/>
      <c r="K229" s="86"/>
      <c r="L229" s="86"/>
      <c r="M229" s="86"/>
      <c r="N229" s="86"/>
    </row>
    <row r="230" spans="1:14">
      <c r="A230" s="86"/>
      <c r="B230" s="86"/>
      <c r="C230" s="86"/>
      <c r="D230" s="86"/>
      <c r="E230" s="86"/>
      <c r="F230" s="86"/>
      <c r="G230" s="86"/>
      <c r="H230" s="86"/>
      <c r="I230" s="86"/>
      <c r="J230" s="86"/>
      <c r="K230" s="86"/>
      <c r="L230" s="86"/>
      <c r="M230" s="86"/>
      <c r="N230" s="86"/>
    </row>
    <row r="231" spans="1:14">
      <c r="A231" s="86"/>
      <c r="B231" s="86"/>
      <c r="C231" s="86"/>
      <c r="D231" s="86"/>
      <c r="E231" s="86"/>
      <c r="F231" s="86"/>
      <c r="G231" s="86"/>
      <c r="H231" s="86"/>
      <c r="I231" s="86"/>
      <c r="J231" s="86"/>
      <c r="K231" s="86"/>
      <c r="L231" s="86"/>
      <c r="M231" s="86"/>
      <c r="N231" s="86"/>
    </row>
    <row r="232" spans="1:14">
      <c r="A232" s="86"/>
      <c r="B232" s="86"/>
      <c r="C232" s="86"/>
      <c r="D232" s="86"/>
      <c r="E232" s="86"/>
      <c r="F232" s="86"/>
      <c r="G232" s="86"/>
      <c r="H232" s="86"/>
      <c r="I232" s="86"/>
      <c r="J232" s="86"/>
      <c r="K232" s="86"/>
      <c r="L232" s="86"/>
      <c r="M232" s="86"/>
      <c r="N232" s="86"/>
    </row>
    <row r="233" spans="1:14">
      <c r="A233" s="86"/>
      <c r="B233" s="86"/>
      <c r="C233" s="86"/>
      <c r="D233" s="86"/>
      <c r="E233" s="86"/>
      <c r="F233" s="86"/>
      <c r="G233" s="86"/>
      <c r="H233" s="86"/>
      <c r="I233" s="86"/>
      <c r="J233" s="86"/>
      <c r="K233" s="86"/>
      <c r="L233" s="86"/>
      <c r="M233" s="86"/>
      <c r="N233" s="86"/>
    </row>
    <row r="234" spans="1:14">
      <c r="A234" s="86"/>
      <c r="B234" s="86"/>
      <c r="C234" s="86"/>
      <c r="D234" s="86"/>
      <c r="E234" s="86"/>
      <c r="F234" s="86"/>
      <c r="G234" s="86"/>
      <c r="H234" s="86"/>
      <c r="I234" s="86"/>
      <c r="J234" s="86"/>
      <c r="K234" s="86"/>
      <c r="L234" s="86"/>
      <c r="M234" s="86"/>
      <c r="N234" s="86"/>
    </row>
    <row r="235" spans="1:14">
      <c r="A235" s="86"/>
      <c r="B235" s="86"/>
      <c r="C235" s="86"/>
      <c r="D235" s="86"/>
      <c r="E235" s="86"/>
      <c r="F235" s="86"/>
      <c r="G235" s="86"/>
      <c r="H235" s="86"/>
      <c r="I235" s="86"/>
      <c r="J235" s="86"/>
      <c r="K235" s="86"/>
      <c r="L235" s="86"/>
      <c r="M235" s="86"/>
      <c r="N235" s="86"/>
    </row>
    <row r="236" spans="1:14">
      <c r="A236" s="86"/>
      <c r="B236" s="86"/>
      <c r="C236" s="86"/>
      <c r="D236" s="86"/>
      <c r="E236" s="86"/>
      <c r="F236" s="86"/>
      <c r="G236" s="86"/>
      <c r="H236" s="86"/>
      <c r="I236" s="86"/>
      <c r="J236" s="86"/>
      <c r="K236" s="86"/>
      <c r="L236" s="86"/>
      <c r="M236" s="86"/>
      <c r="N236" s="86"/>
    </row>
    <row r="237" spans="1:14">
      <c r="A237" s="86"/>
      <c r="B237" s="86"/>
      <c r="C237" s="86"/>
      <c r="D237" s="86"/>
      <c r="E237" s="86"/>
      <c r="F237" s="86"/>
      <c r="G237" s="86"/>
      <c r="H237" s="86"/>
      <c r="I237" s="86"/>
      <c r="J237" s="86"/>
      <c r="K237" s="86"/>
      <c r="L237" s="86"/>
      <c r="M237" s="86"/>
      <c r="N237" s="86"/>
    </row>
    <row r="238" spans="1:14">
      <c r="A238" s="86"/>
      <c r="B238" s="86"/>
      <c r="C238" s="86"/>
      <c r="D238" s="86"/>
      <c r="E238" s="86"/>
      <c r="F238" s="86"/>
      <c r="G238" s="86"/>
      <c r="H238" s="86"/>
      <c r="I238" s="86"/>
      <c r="J238" s="86"/>
      <c r="K238" s="86"/>
      <c r="L238" s="86"/>
      <c r="M238" s="86"/>
      <c r="N238" s="86"/>
    </row>
    <row r="239" spans="1:14">
      <c r="A239" s="86"/>
      <c r="B239" s="86"/>
      <c r="C239" s="86"/>
      <c r="D239" s="86"/>
      <c r="E239" s="86"/>
      <c r="F239" s="86"/>
      <c r="G239" s="86"/>
      <c r="H239" s="86"/>
      <c r="I239" s="86"/>
      <c r="J239" s="86"/>
      <c r="K239" s="86"/>
      <c r="L239" s="86"/>
      <c r="M239" s="86"/>
      <c r="N239" s="86"/>
    </row>
    <row r="240" spans="1:14">
      <c r="A240" s="86"/>
      <c r="B240" s="86"/>
      <c r="C240" s="86"/>
      <c r="D240" s="86"/>
      <c r="E240" s="86"/>
      <c r="F240" s="86"/>
      <c r="G240" s="86"/>
      <c r="H240" s="86"/>
      <c r="I240" s="86"/>
      <c r="J240" s="86"/>
      <c r="K240" s="86"/>
      <c r="L240" s="86"/>
      <c r="M240" s="86"/>
      <c r="N240" s="86"/>
    </row>
    <row r="241" spans="1:14">
      <c r="A241" s="86"/>
      <c r="B241" s="86"/>
      <c r="C241" s="86"/>
      <c r="D241" s="86"/>
      <c r="E241" s="86"/>
      <c r="F241" s="86"/>
      <c r="G241" s="86"/>
      <c r="H241" s="86"/>
      <c r="I241" s="86"/>
      <c r="J241" s="86"/>
      <c r="K241" s="86"/>
      <c r="L241" s="86"/>
      <c r="M241" s="86"/>
      <c r="N241" s="86"/>
    </row>
    <row r="242" spans="1:14">
      <c r="A242" s="86"/>
      <c r="B242" s="86"/>
      <c r="C242" s="86"/>
      <c r="D242" s="86"/>
      <c r="E242" s="86"/>
      <c r="F242" s="86"/>
      <c r="G242" s="86"/>
      <c r="H242" s="86"/>
      <c r="I242" s="86"/>
      <c r="J242" s="86"/>
      <c r="K242" s="86"/>
      <c r="L242" s="86"/>
      <c r="M242" s="86"/>
      <c r="N242" s="86"/>
    </row>
    <row r="243" spans="1:14">
      <c r="A243" s="86"/>
      <c r="B243" s="86"/>
      <c r="C243" s="86"/>
      <c r="D243" s="86"/>
      <c r="E243" s="86"/>
      <c r="F243" s="86"/>
      <c r="G243" s="86"/>
      <c r="H243" s="86"/>
      <c r="I243" s="86"/>
      <c r="J243" s="86"/>
      <c r="K243" s="86"/>
      <c r="L243" s="86"/>
      <c r="M243" s="86"/>
      <c r="N243" s="86"/>
    </row>
    <row r="244" spans="1:14">
      <c r="A244" s="86"/>
      <c r="B244" s="86"/>
      <c r="C244" s="86"/>
      <c r="D244" s="86"/>
      <c r="E244" s="86"/>
      <c r="F244" s="86"/>
      <c r="G244" s="86"/>
      <c r="H244" s="86"/>
      <c r="I244" s="86"/>
      <c r="J244" s="86"/>
      <c r="K244" s="86"/>
      <c r="L244" s="86"/>
      <c r="M244" s="86"/>
      <c r="N244" s="86"/>
    </row>
    <row r="245" spans="1:14">
      <c r="A245" s="86"/>
      <c r="B245" s="86"/>
      <c r="C245" s="86"/>
      <c r="D245" s="86"/>
      <c r="E245" s="86"/>
      <c r="F245" s="86"/>
      <c r="G245" s="86"/>
      <c r="H245" s="86"/>
      <c r="I245" s="86"/>
      <c r="J245" s="86"/>
      <c r="K245" s="86"/>
      <c r="L245" s="86"/>
      <c r="M245" s="86"/>
      <c r="N245" s="86"/>
    </row>
    <row r="246" spans="1:14">
      <c r="A246" s="86"/>
      <c r="B246" s="86"/>
      <c r="C246" s="86"/>
      <c r="D246" s="86"/>
      <c r="E246" s="86"/>
      <c r="F246" s="86"/>
      <c r="G246" s="86"/>
      <c r="H246" s="86"/>
      <c r="I246" s="86"/>
      <c r="J246" s="86"/>
      <c r="K246" s="86"/>
      <c r="L246" s="86"/>
      <c r="M246" s="86"/>
      <c r="N246" s="86"/>
    </row>
    <row r="247" spans="1:14">
      <c r="A247" s="86"/>
      <c r="B247" s="86"/>
      <c r="C247" s="86"/>
      <c r="D247" s="86"/>
      <c r="E247" s="86"/>
      <c r="F247" s="86"/>
      <c r="G247" s="86"/>
      <c r="H247" s="86"/>
      <c r="I247" s="86"/>
      <c r="J247" s="86"/>
      <c r="K247" s="86"/>
      <c r="L247" s="86"/>
      <c r="M247" s="86"/>
      <c r="N247" s="86"/>
    </row>
    <row r="248" spans="1:14">
      <c r="A248" s="86"/>
      <c r="B248" s="86"/>
      <c r="C248" s="86"/>
      <c r="D248" s="86"/>
      <c r="E248" s="86"/>
      <c r="F248" s="86"/>
      <c r="G248" s="86"/>
      <c r="H248" s="86"/>
      <c r="I248" s="86"/>
      <c r="J248" s="86"/>
      <c r="K248" s="86"/>
      <c r="L248" s="86"/>
      <c r="M248" s="86"/>
      <c r="N248" s="86"/>
    </row>
    <row r="249" spans="1:14">
      <c r="A249" s="86"/>
      <c r="B249" s="86"/>
      <c r="C249" s="86"/>
      <c r="D249" s="86"/>
      <c r="E249" s="86"/>
      <c r="F249" s="86"/>
      <c r="G249" s="86"/>
      <c r="H249" s="86"/>
      <c r="I249" s="86"/>
      <c r="J249" s="86"/>
      <c r="K249" s="86"/>
      <c r="L249" s="86"/>
      <c r="M249" s="86"/>
      <c r="N249" s="86"/>
    </row>
    <row r="250" spans="1:14">
      <c r="A250" s="86"/>
      <c r="B250" s="86"/>
      <c r="C250" s="86"/>
      <c r="D250" s="86"/>
      <c r="E250" s="86"/>
      <c r="F250" s="86"/>
      <c r="G250" s="86"/>
      <c r="H250" s="86"/>
      <c r="I250" s="86"/>
      <c r="J250" s="86"/>
      <c r="K250" s="86"/>
      <c r="L250" s="86"/>
      <c r="M250" s="86"/>
      <c r="N250" s="86"/>
    </row>
    <row r="251" spans="1:14">
      <c r="A251" s="86"/>
      <c r="B251" s="86"/>
      <c r="C251" s="86"/>
      <c r="D251" s="86"/>
      <c r="E251" s="86"/>
      <c r="F251" s="86"/>
      <c r="G251" s="86"/>
      <c r="H251" s="86"/>
      <c r="I251" s="86"/>
      <c r="J251" s="86"/>
      <c r="K251" s="86"/>
      <c r="L251" s="86"/>
      <c r="M251" s="86"/>
      <c r="N251" s="86"/>
    </row>
    <row r="252" spans="1:14">
      <c r="A252" s="86"/>
      <c r="B252" s="86"/>
      <c r="C252" s="86"/>
      <c r="D252" s="86"/>
      <c r="E252" s="86"/>
      <c r="F252" s="86"/>
      <c r="G252" s="86"/>
      <c r="H252" s="86"/>
      <c r="I252" s="86"/>
      <c r="J252" s="86"/>
      <c r="K252" s="86"/>
      <c r="L252" s="86"/>
      <c r="M252" s="86"/>
      <c r="N252" s="86"/>
    </row>
    <row r="253" spans="1:14">
      <c r="A253" s="86"/>
      <c r="B253" s="86"/>
      <c r="C253" s="86"/>
      <c r="D253" s="86"/>
      <c r="E253" s="86"/>
      <c r="F253" s="86"/>
      <c r="G253" s="86"/>
      <c r="H253" s="86"/>
      <c r="I253" s="86"/>
      <c r="J253" s="86"/>
      <c r="K253" s="86"/>
      <c r="L253" s="86"/>
      <c r="M253" s="86"/>
      <c r="N253" s="86"/>
    </row>
    <row r="254" spans="1:14">
      <c r="A254" s="86"/>
      <c r="B254" s="86"/>
      <c r="C254" s="86"/>
      <c r="D254" s="86"/>
      <c r="E254" s="86"/>
      <c r="F254" s="86"/>
      <c r="G254" s="86"/>
      <c r="H254" s="86"/>
      <c r="I254" s="86"/>
      <c r="J254" s="86"/>
      <c r="K254" s="86"/>
      <c r="L254" s="86"/>
      <c r="M254" s="86"/>
      <c r="N254" s="86"/>
    </row>
    <row r="255" spans="1:14">
      <c r="A255" s="86"/>
      <c r="B255" s="86"/>
      <c r="C255" s="86"/>
      <c r="D255" s="86"/>
      <c r="E255" s="86"/>
      <c r="F255" s="86"/>
      <c r="G255" s="86"/>
      <c r="H255" s="86"/>
      <c r="I255" s="86"/>
      <c r="J255" s="86"/>
      <c r="K255" s="86"/>
      <c r="L255" s="86"/>
      <c r="M255" s="86"/>
      <c r="N255" s="86"/>
    </row>
    <row r="256" spans="1:14">
      <c r="A256" s="86"/>
      <c r="B256" s="86"/>
      <c r="C256" s="86"/>
      <c r="D256" s="86"/>
      <c r="E256" s="86"/>
      <c r="F256" s="86"/>
      <c r="G256" s="86"/>
      <c r="H256" s="86"/>
      <c r="I256" s="86"/>
      <c r="J256" s="86"/>
      <c r="K256" s="86"/>
      <c r="L256" s="86"/>
      <c r="M256" s="86"/>
      <c r="N256" s="86"/>
    </row>
    <row r="257" spans="1:14">
      <c r="A257" s="86"/>
      <c r="B257" s="86"/>
      <c r="C257" s="86"/>
      <c r="D257" s="86"/>
      <c r="E257" s="86"/>
      <c r="F257" s="86"/>
      <c r="G257" s="86"/>
      <c r="H257" s="86"/>
      <c r="I257" s="86"/>
      <c r="J257" s="86"/>
      <c r="K257" s="86"/>
      <c r="L257" s="86"/>
      <c r="M257" s="86"/>
      <c r="N257" s="86"/>
    </row>
    <row r="258" spans="1:14">
      <c r="A258" s="86"/>
      <c r="B258" s="86"/>
      <c r="C258" s="86"/>
      <c r="D258" s="86"/>
      <c r="E258" s="86"/>
      <c r="F258" s="86"/>
      <c r="G258" s="86"/>
      <c r="H258" s="86"/>
      <c r="I258" s="86"/>
      <c r="J258" s="86"/>
      <c r="K258" s="86"/>
      <c r="L258" s="86"/>
      <c r="M258" s="86"/>
      <c r="N258" s="86"/>
    </row>
    <row r="259" spans="1:14">
      <c r="A259" s="86"/>
      <c r="B259" s="86"/>
      <c r="C259" s="86"/>
      <c r="D259" s="86"/>
      <c r="E259" s="86"/>
      <c r="F259" s="86"/>
      <c r="G259" s="86"/>
      <c r="H259" s="86"/>
      <c r="I259" s="86"/>
      <c r="J259" s="86"/>
      <c r="K259" s="86"/>
      <c r="L259" s="86"/>
      <c r="M259" s="86"/>
      <c r="N259" s="86"/>
    </row>
    <row r="260" spans="1:14">
      <c r="A260" s="86"/>
      <c r="B260" s="86"/>
      <c r="C260" s="86"/>
      <c r="D260" s="86"/>
      <c r="E260" s="86"/>
      <c r="F260" s="86"/>
      <c r="G260" s="86"/>
      <c r="H260" s="86"/>
      <c r="I260" s="86"/>
      <c r="J260" s="86"/>
      <c r="K260" s="86"/>
      <c r="L260" s="86"/>
      <c r="M260" s="86"/>
      <c r="N260" s="86"/>
    </row>
    <row r="261" spans="1:14">
      <c r="A261" s="86"/>
      <c r="B261" s="86"/>
      <c r="C261" s="86"/>
      <c r="D261" s="86"/>
      <c r="E261" s="86"/>
      <c r="F261" s="86"/>
      <c r="G261" s="86"/>
      <c r="H261" s="86"/>
      <c r="I261" s="86"/>
      <c r="J261" s="86"/>
      <c r="K261" s="86"/>
      <c r="L261" s="86"/>
      <c r="M261" s="86"/>
      <c r="N261" s="86"/>
    </row>
    <row r="262" spans="1:14">
      <c r="A262" s="86"/>
      <c r="B262" s="86"/>
      <c r="C262" s="86"/>
      <c r="D262" s="86"/>
      <c r="E262" s="86"/>
      <c r="F262" s="86"/>
      <c r="G262" s="86"/>
      <c r="H262" s="86"/>
      <c r="I262" s="86"/>
      <c r="J262" s="86"/>
      <c r="K262" s="86"/>
      <c r="L262" s="86"/>
      <c r="M262" s="86"/>
      <c r="N262" s="86"/>
    </row>
    <row r="263" spans="1:14">
      <c r="A263" s="86"/>
      <c r="B263" s="86"/>
      <c r="C263" s="86"/>
      <c r="D263" s="86"/>
      <c r="E263" s="86"/>
      <c r="F263" s="86"/>
      <c r="G263" s="86"/>
      <c r="H263" s="86"/>
      <c r="I263" s="86"/>
      <c r="J263" s="86"/>
      <c r="K263" s="86"/>
      <c r="L263" s="86"/>
      <c r="M263" s="86"/>
      <c r="N263" s="86"/>
    </row>
    <row r="264" spans="1:14">
      <c r="A264" s="86"/>
      <c r="B264" s="86"/>
      <c r="C264" s="86"/>
      <c r="D264" s="86"/>
      <c r="E264" s="86"/>
      <c r="F264" s="86"/>
      <c r="G264" s="86"/>
      <c r="H264" s="86"/>
      <c r="I264" s="86"/>
      <c r="J264" s="86"/>
      <c r="K264" s="86"/>
      <c r="L264" s="86"/>
      <c r="M264" s="86"/>
      <c r="N264" s="86"/>
    </row>
    <row r="265" spans="1:14">
      <c r="A265" s="86"/>
      <c r="B265" s="86"/>
      <c r="C265" s="86"/>
      <c r="D265" s="86"/>
      <c r="E265" s="86"/>
      <c r="F265" s="86"/>
      <c r="G265" s="86"/>
      <c r="H265" s="86"/>
      <c r="I265" s="86"/>
      <c r="J265" s="86"/>
      <c r="K265" s="86"/>
      <c r="L265" s="86"/>
      <c r="M265" s="86"/>
      <c r="N265" s="86"/>
    </row>
    <row r="266" spans="1:14">
      <c r="A266" s="86"/>
      <c r="B266" s="86"/>
      <c r="C266" s="86"/>
      <c r="D266" s="86"/>
      <c r="E266" s="86"/>
      <c r="F266" s="86"/>
      <c r="G266" s="86"/>
      <c r="H266" s="86"/>
      <c r="I266" s="86"/>
      <c r="J266" s="86"/>
      <c r="K266" s="86"/>
      <c r="L266" s="86"/>
      <c r="M266" s="86"/>
      <c r="N266" s="86"/>
    </row>
    <row r="267" spans="1:14">
      <c r="A267" s="86"/>
      <c r="B267" s="86"/>
      <c r="C267" s="86"/>
      <c r="D267" s="86"/>
      <c r="E267" s="86"/>
      <c r="F267" s="86"/>
      <c r="G267" s="86"/>
      <c r="H267" s="86"/>
      <c r="I267" s="86"/>
      <c r="J267" s="86"/>
      <c r="K267" s="86"/>
      <c r="L267" s="86"/>
      <c r="M267" s="86"/>
      <c r="N267" s="86"/>
    </row>
    <row r="268" spans="1:14">
      <c r="A268" s="86"/>
      <c r="B268" s="86"/>
      <c r="C268" s="86"/>
      <c r="D268" s="86"/>
      <c r="E268" s="86"/>
      <c r="F268" s="86"/>
      <c r="G268" s="86"/>
      <c r="H268" s="86"/>
      <c r="I268" s="86"/>
      <c r="J268" s="86"/>
      <c r="K268" s="86"/>
      <c r="L268" s="86"/>
      <c r="M268" s="86"/>
      <c r="N268" s="86"/>
    </row>
    <row r="269" spans="1:14">
      <c r="A269" s="86"/>
      <c r="B269" s="86"/>
      <c r="C269" s="86"/>
      <c r="D269" s="86"/>
      <c r="E269" s="86"/>
      <c r="F269" s="86"/>
      <c r="G269" s="86"/>
      <c r="H269" s="86"/>
      <c r="I269" s="86"/>
      <c r="J269" s="86"/>
      <c r="K269" s="86"/>
      <c r="L269" s="86"/>
      <c r="M269" s="86"/>
      <c r="N269" s="86"/>
    </row>
    <row r="270" spans="1:14">
      <c r="A270" s="86"/>
      <c r="B270" s="86"/>
      <c r="C270" s="86"/>
      <c r="D270" s="86"/>
      <c r="E270" s="86"/>
      <c r="F270" s="86"/>
      <c r="G270" s="86"/>
      <c r="H270" s="86"/>
      <c r="I270" s="86"/>
      <c r="J270" s="86"/>
      <c r="K270" s="86"/>
      <c r="L270" s="86"/>
      <c r="M270" s="86"/>
      <c r="N270" s="86"/>
    </row>
    <row r="271" spans="1:14">
      <c r="A271" s="86"/>
      <c r="B271" s="86"/>
      <c r="C271" s="86"/>
      <c r="D271" s="86"/>
      <c r="E271" s="86"/>
      <c r="F271" s="86"/>
      <c r="G271" s="86"/>
      <c r="H271" s="86"/>
      <c r="I271" s="86"/>
      <c r="J271" s="86"/>
      <c r="K271" s="86"/>
      <c r="L271" s="86"/>
      <c r="M271" s="86"/>
      <c r="N271" s="86"/>
    </row>
    <row r="272" spans="1:14">
      <c r="A272" s="86"/>
      <c r="B272" s="86"/>
      <c r="C272" s="86"/>
      <c r="D272" s="86"/>
      <c r="E272" s="86"/>
      <c r="F272" s="86"/>
      <c r="G272" s="86"/>
      <c r="H272" s="86"/>
      <c r="I272" s="86"/>
      <c r="J272" s="86"/>
      <c r="K272" s="86"/>
      <c r="L272" s="86"/>
      <c r="M272" s="86"/>
      <c r="N272" s="86"/>
    </row>
    <row r="273" spans="1:14">
      <c r="A273" s="86"/>
      <c r="B273" s="86"/>
      <c r="C273" s="86"/>
      <c r="D273" s="86"/>
      <c r="E273" s="86"/>
      <c r="F273" s="86"/>
      <c r="G273" s="86"/>
      <c r="H273" s="86"/>
      <c r="I273" s="86"/>
      <c r="J273" s="86"/>
      <c r="K273" s="86"/>
      <c r="L273" s="86"/>
      <c r="M273" s="86"/>
      <c r="N273" s="86"/>
    </row>
    <row r="274" spans="1:14">
      <c r="A274" s="86"/>
      <c r="B274" s="86"/>
      <c r="C274" s="86"/>
      <c r="D274" s="86"/>
      <c r="E274" s="86"/>
      <c r="F274" s="86"/>
      <c r="G274" s="86"/>
      <c r="H274" s="86"/>
      <c r="I274" s="86"/>
      <c r="J274" s="86"/>
      <c r="K274" s="86"/>
      <c r="L274" s="86"/>
      <c r="M274" s="86"/>
      <c r="N274" s="86"/>
    </row>
    <row r="275" spans="1:14">
      <c r="A275" s="86"/>
      <c r="B275" s="86"/>
      <c r="C275" s="86"/>
      <c r="D275" s="86"/>
      <c r="E275" s="86"/>
      <c r="F275" s="86"/>
      <c r="G275" s="86"/>
      <c r="H275" s="86"/>
      <c r="I275" s="86"/>
      <c r="J275" s="86"/>
      <c r="K275" s="86"/>
      <c r="L275" s="86"/>
      <c r="M275" s="86"/>
      <c r="N275" s="86"/>
    </row>
    <row r="276" spans="1:14">
      <c r="A276" s="86"/>
      <c r="B276" s="86"/>
      <c r="C276" s="86"/>
      <c r="D276" s="86"/>
      <c r="E276" s="86"/>
      <c r="F276" s="86"/>
      <c r="G276" s="86"/>
      <c r="H276" s="86"/>
      <c r="I276" s="86"/>
      <c r="J276" s="86"/>
      <c r="K276" s="86"/>
      <c r="L276" s="86"/>
      <c r="M276" s="86"/>
      <c r="N276" s="86"/>
    </row>
    <row r="277" spans="1:14">
      <c r="A277" s="86"/>
      <c r="B277" s="86"/>
      <c r="C277" s="86"/>
      <c r="D277" s="86"/>
      <c r="E277" s="86"/>
      <c r="F277" s="86"/>
      <c r="G277" s="86"/>
      <c r="H277" s="86"/>
      <c r="I277" s="86"/>
      <c r="J277" s="86"/>
      <c r="K277" s="86"/>
      <c r="L277" s="86"/>
      <c r="M277" s="86"/>
      <c r="N277" s="86"/>
    </row>
    <row r="278" spans="1:14">
      <c r="A278" s="86"/>
      <c r="B278" s="86"/>
      <c r="C278" s="86"/>
      <c r="D278" s="86"/>
      <c r="E278" s="86"/>
      <c r="F278" s="86"/>
      <c r="G278" s="86"/>
      <c r="H278" s="86"/>
      <c r="I278" s="86"/>
      <c r="J278" s="86"/>
      <c r="K278" s="86"/>
      <c r="L278" s="86"/>
      <c r="M278" s="86"/>
      <c r="N278" s="86"/>
    </row>
    <row r="279" spans="1:14">
      <c r="A279" s="86"/>
      <c r="B279" s="86"/>
      <c r="C279" s="86"/>
      <c r="D279" s="86"/>
      <c r="E279" s="86"/>
      <c r="F279" s="86"/>
      <c r="G279" s="86"/>
      <c r="H279" s="86"/>
      <c r="I279" s="86"/>
      <c r="J279" s="86"/>
      <c r="K279" s="86"/>
      <c r="L279" s="86"/>
      <c r="M279" s="86"/>
      <c r="N279" s="86"/>
    </row>
    <row r="280" spans="1:14">
      <c r="A280" s="86"/>
      <c r="B280" s="86"/>
      <c r="C280" s="86"/>
      <c r="D280" s="86"/>
      <c r="E280" s="86"/>
      <c r="F280" s="86"/>
      <c r="G280" s="86"/>
      <c r="H280" s="86"/>
      <c r="I280" s="86"/>
      <c r="J280" s="86"/>
      <c r="K280" s="86"/>
      <c r="L280" s="86"/>
      <c r="M280" s="86"/>
      <c r="N280" s="86"/>
    </row>
    <row r="281" spans="1:14">
      <c r="A281" s="86"/>
      <c r="B281" s="86"/>
      <c r="C281" s="86"/>
      <c r="D281" s="86"/>
      <c r="E281" s="86"/>
      <c r="F281" s="86"/>
      <c r="G281" s="86"/>
      <c r="H281" s="86"/>
      <c r="I281" s="86"/>
      <c r="J281" s="86"/>
      <c r="K281" s="86"/>
      <c r="L281" s="86"/>
      <c r="M281" s="86"/>
      <c r="N281" s="86"/>
    </row>
    <row r="282" spans="1:14">
      <c r="A282" s="86"/>
      <c r="B282" s="86"/>
      <c r="C282" s="86"/>
      <c r="D282" s="86"/>
      <c r="E282" s="86"/>
      <c r="F282" s="86"/>
      <c r="G282" s="86"/>
      <c r="H282" s="86"/>
      <c r="I282" s="86"/>
      <c r="J282" s="86"/>
      <c r="K282" s="86"/>
      <c r="L282" s="86"/>
      <c r="M282" s="86"/>
      <c r="N282" s="86"/>
    </row>
    <row r="283" spans="1:14">
      <c r="A283" s="86"/>
      <c r="B283" s="86"/>
      <c r="C283" s="86"/>
      <c r="D283" s="86"/>
      <c r="E283" s="86"/>
      <c r="F283" s="86"/>
      <c r="G283" s="86"/>
      <c r="H283" s="86"/>
      <c r="I283" s="86"/>
      <c r="J283" s="86"/>
      <c r="K283" s="86"/>
      <c r="L283" s="86"/>
      <c r="M283" s="86"/>
      <c r="N283" s="86"/>
    </row>
    <row r="284" spans="1:14">
      <c r="A284" s="86"/>
      <c r="B284" s="86"/>
      <c r="C284" s="86"/>
      <c r="D284" s="86"/>
      <c r="E284" s="86"/>
      <c r="F284" s="86"/>
      <c r="G284" s="86"/>
      <c r="H284" s="86"/>
      <c r="I284" s="86"/>
      <c r="J284" s="86"/>
      <c r="K284" s="86"/>
      <c r="L284" s="86"/>
      <c r="M284" s="86"/>
      <c r="N284" s="86"/>
    </row>
    <row r="285" spans="1:14">
      <c r="A285" s="86"/>
      <c r="B285" s="86"/>
      <c r="C285" s="86"/>
      <c r="D285" s="86"/>
      <c r="E285" s="86"/>
      <c r="F285" s="86"/>
      <c r="G285" s="86"/>
      <c r="H285" s="86"/>
      <c r="I285" s="86"/>
      <c r="J285" s="86"/>
      <c r="K285" s="86"/>
      <c r="L285" s="86"/>
      <c r="M285" s="86"/>
      <c r="N285" s="86"/>
    </row>
    <row r="286" spans="1:14">
      <c r="A286" s="86"/>
      <c r="B286" s="86"/>
      <c r="C286" s="86"/>
      <c r="D286" s="86"/>
      <c r="E286" s="86"/>
      <c r="F286" s="86"/>
      <c r="G286" s="86"/>
      <c r="H286" s="86"/>
      <c r="I286" s="86"/>
      <c r="J286" s="86"/>
      <c r="K286" s="86"/>
      <c r="L286" s="86"/>
      <c r="M286" s="86"/>
      <c r="N286" s="86"/>
    </row>
    <row r="287" spans="1:14">
      <c r="A287" s="86"/>
      <c r="B287" s="86"/>
      <c r="C287" s="86"/>
      <c r="D287" s="86"/>
      <c r="E287" s="86"/>
      <c r="F287" s="86"/>
      <c r="G287" s="86"/>
      <c r="H287" s="86"/>
      <c r="I287" s="86"/>
      <c r="J287" s="86"/>
      <c r="K287" s="86"/>
      <c r="L287" s="86"/>
      <c r="M287" s="86"/>
      <c r="N287" s="86"/>
    </row>
    <row r="288" spans="1:14">
      <c r="A288" s="86"/>
      <c r="B288" s="86"/>
      <c r="C288" s="86"/>
      <c r="D288" s="86"/>
      <c r="E288" s="86"/>
      <c r="F288" s="86"/>
      <c r="G288" s="86"/>
      <c r="H288" s="86"/>
      <c r="I288" s="86"/>
      <c r="J288" s="86"/>
      <c r="K288" s="86"/>
      <c r="L288" s="86"/>
      <c r="M288" s="86"/>
      <c r="N288" s="86"/>
    </row>
    <row r="289" spans="1:14">
      <c r="A289" s="86"/>
      <c r="B289" s="86"/>
      <c r="C289" s="86"/>
      <c r="D289" s="86"/>
      <c r="E289" s="86"/>
      <c r="F289" s="86"/>
      <c r="G289" s="86"/>
      <c r="H289" s="86"/>
      <c r="I289" s="86"/>
      <c r="J289" s="86"/>
      <c r="K289" s="86"/>
      <c r="L289" s="86"/>
      <c r="M289" s="86"/>
      <c r="N289" s="86"/>
    </row>
    <row r="290" spans="1:14">
      <c r="A290" s="86"/>
      <c r="B290" s="86"/>
      <c r="C290" s="86"/>
      <c r="D290" s="86"/>
      <c r="E290" s="86"/>
      <c r="F290" s="86"/>
      <c r="G290" s="86"/>
      <c r="H290" s="86"/>
      <c r="I290" s="86"/>
      <c r="J290" s="86"/>
      <c r="K290" s="86"/>
      <c r="L290" s="86"/>
      <c r="M290" s="86"/>
      <c r="N290" s="86"/>
    </row>
    <row r="291" spans="1:14">
      <c r="A291" s="86"/>
      <c r="B291" s="86"/>
      <c r="C291" s="86"/>
      <c r="D291" s="86"/>
      <c r="E291" s="86"/>
      <c r="F291" s="86"/>
      <c r="G291" s="86"/>
      <c r="H291" s="86"/>
      <c r="I291" s="86"/>
      <c r="J291" s="86"/>
      <c r="K291" s="86"/>
      <c r="L291" s="86"/>
      <c r="M291" s="86"/>
      <c r="N291" s="86"/>
    </row>
    <row r="292" spans="1:14">
      <c r="A292" s="86"/>
      <c r="B292" s="86"/>
      <c r="C292" s="86"/>
      <c r="D292" s="86"/>
      <c r="E292" s="86"/>
      <c r="F292" s="86"/>
      <c r="G292" s="86"/>
      <c r="H292" s="86"/>
      <c r="I292" s="86"/>
      <c r="J292" s="86"/>
      <c r="K292" s="86"/>
      <c r="L292" s="86"/>
      <c r="M292" s="86"/>
      <c r="N292" s="86"/>
    </row>
    <row r="293" spans="1:14">
      <c r="A293" s="86"/>
      <c r="B293" s="86"/>
      <c r="C293" s="86"/>
      <c r="D293" s="86"/>
      <c r="E293" s="86"/>
      <c r="F293" s="86"/>
      <c r="G293" s="86"/>
      <c r="H293" s="86"/>
      <c r="I293" s="86"/>
      <c r="J293" s="86"/>
      <c r="K293" s="86"/>
      <c r="L293" s="86"/>
      <c r="M293" s="86"/>
      <c r="N293" s="86"/>
    </row>
    <row r="294" spans="1:14">
      <c r="A294" s="86"/>
      <c r="B294" s="86"/>
      <c r="C294" s="86"/>
      <c r="D294" s="86"/>
      <c r="E294" s="86"/>
      <c r="F294" s="86"/>
      <c r="G294" s="86"/>
      <c r="H294" s="86"/>
      <c r="I294" s="86"/>
      <c r="J294" s="86"/>
      <c r="K294" s="86"/>
      <c r="L294" s="86"/>
      <c r="M294" s="86"/>
      <c r="N294" s="86"/>
    </row>
    <row r="295" spans="1:14">
      <c r="A295" s="86"/>
      <c r="B295" s="86"/>
      <c r="C295" s="86"/>
      <c r="D295" s="86"/>
      <c r="E295" s="86"/>
      <c r="F295" s="86"/>
      <c r="G295" s="86"/>
      <c r="H295" s="86"/>
      <c r="I295" s="86"/>
      <c r="J295" s="86"/>
      <c r="K295" s="86"/>
      <c r="L295" s="86"/>
      <c r="M295" s="86"/>
      <c r="N295" s="86"/>
    </row>
    <row r="296" spans="1:14">
      <c r="A296" s="86"/>
      <c r="B296" s="86"/>
      <c r="C296" s="86"/>
      <c r="D296" s="86"/>
      <c r="E296" s="86"/>
      <c r="F296" s="86"/>
      <c r="G296" s="86"/>
      <c r="H296" s="86"/>
      <c r="I296" s="86"/>
      <c r="J296" s="86"/>
      <c r="K296" s="86"/>
      <c r="L296" s="86"/>
      <c r="M296" s="86"/>
      <c r="N296" s="86"/>
    </row>
    <row r="297" spans="1:14">
      <c r="A297" s="86"/>
      <c r="B297" s="86"/>
      <c r="C297" s="86"/>
      <c r="D297" s="86"/>
      <c r="E297" s="86"/>
      <c r="F297" s="86"/>
      <c r="G297" s="86"/>
      <c r="H297" s="86"/>
      <c r="I297" s="86"/>
      <c r="J297" s="86"/>
      <c r="K297" s="86"/>
      <c r="L297" s="86"/>
      <c r="M297" s="86"/>
      <c r="N297" s="86"/>
    </row>
    <row r="298" spans="1:14">
      <c r="A298" s="86"/>
      <c r="B298" s="86"/>
      <c r="C298" s="86"/>
      <c r="D298" s="86"/>
      <c r="E298" s="86"/>
      <c r="F298" s="86"/>
      <c r="G298" s="86"/>
      <c r="H298" s="86"/>
      <c r="I298" s="86"/>
      <c r="J298" s="86"/>
      <c r="K298" s="86"/>
      <c r="L298" s="86"/>
      <c r="M298" s="86"/>
      <c r="N298" s="86"/>
    </row>
    <row r="299" spans="1:14">
      <c r="A299" s="86"/>
      <c r="B299" s="86"/>
      <c r="C299" s="86"/>
      <c r="D299" s="86"/>
      <c r="E299" s="86"/>
      <c r="F299" s="86"/>
      <c r="G299" s="86"/>
      <c r="H299" s="86"/>
      <c r="I299" s="86"/>
      <c r="J299" s="86"/>
      <c r="K299" s="86"/>
      <c r="L299" s="86"/>
      <c r="M299" s="86"/>
      <c r="N299" s="86"/>
    </row>
    <row r="300" spans="1:14">
      <c r="A300" s="86"/>
      <c r="B300" s="86"/>
      <c r="C300" s="86"/>
      <c r="D300" s="86"/>
      <c r="E300" s="86"/>
      <c r="F300" s="86"/>
      <c r="G300" s="86"/>
      <c r="H300" s="86"/>
      <c r="I300" s="86"/>
      <c r="J300" s="86"/>
      <c r="K300" s="86"/>
      <c r="L300" s="86"/>
      <c r="M300" s="86"/>
      <c r="N300" s="86"/>
    </row>
    <row r="301" spans="1:14">
      <c r="A301" s="86"/>
      <c r="B301" s="86"/>
      <c r="C301" s="86"/>
      <c r="D301" s="86"/>
      <c r="E301" s="86"/>
      <c r="F301" s="86"/>
      <c r="G301" s="86"/>
      <c r="H301" s="86"/>
      <c r="I301" s="86"/>
      <c r="J301" s="86"/>
      <c r="K301" s="86"/>
      <c r="L301" s="86"/>
      <c r="M301" s="86"/>
      <c r="N301" s="86"/>
    </row>
    <row r="302" spans="1:14">
      <c r="A302" s="86"/>
      <c r="B302" s="86"/>
      <c r="C302" s="86"/>
      <c r="D302" s="86"/>
      <c r="E302" s="86"/>
      <c r="F302" s="86"/>
      <c r="G302" s="86"/>
      <c r="H302" s="86"/>
      <c r="I302" s="86"/>
      <c r="J302" s="86"/>
      <c r="K302" s="86"/>
      <c r="L302" s="86"/>
      <c r="M302" s="86"/>
      <c r="N302" s="86"/>
    </row>
    <row r="303" spans="1:14">
      <c r="A303" s="86"/>
      <c r="B303" s="86"/>
      <c r="C303" s="86"/>
      <c r="D303" s="86"/>
      <c r="E303" s="86"/>
      <c r="F303" s="86"/>
      <c r="G303" s="86"/>
      <c r="H303" s="86"/>
      <c r="I303" s="86"/>
      <c r="J303" s="86"/>
      <c r="K303" s="86"/>
      <c r="L303" s="86"/>
      <c r="M303" s="86"/>
      <c r="N303" s="86"/>
    </row>
    <row r="304" spans="1:14">
      <c r="A304" s="86"/>
      <c r="B304" s="86"/>
      <c r="C304" s="86"/>
      <c r="D304" s="86"/>
      <c r="E304" s="86"/>
      <c r="F304" s="86"/>
      <c r="G304" s="86"/>
      <c r="H304" s="86"/>
      <c r="I304" s="86"/>
      <c r="J304" s="86"/>
      <c r="K304" s="86"/>
      <c r="L304" s="86"/>
      <c r="M304" s="86"/>
      <c r="N304" s="86"/>
    </row>
    <row r="305" spans="1:14">
      <c r="A305" s="86"/>
      <c r="B305" s="86"/>
      <c r="C305" s="86"/>
      <c r="D305" s="86"/>
      <c r="E305" s="86"/>
      <c r="F305" s="86"/>
      <c r="G305" s="86"/>
      <c r="H305" s="86"/>
      <c r="I305" s="86"/>
      <c r="J305" s="86"/>
      <c r="K305" s="86"/>
      <c r="L305" s="86"/>
      <c r="M305" s="86"/>
      <c r="N305" s="86"/>
    </row>
    <row r="306" spans="1:14">
      <c r="A306" s="86"/>
      <c r="B306" s="86"/>
      <c r="C306" s="86"/>
      <c r="D306" s="86"/>
      <c r="E306" s="86"/>
      <c r="F306" s="86"/>
      <c r="G306" s="86"/>
      <c r="H306" s="86"/>
      <c r="I306" s="86"/>
      <c r="J306" s="86"/>
      <c r="K306" s="86"/>
      <c r="L306" s="86"/>
      <c r="M306" s="86"/>
      <c r="N306" s="86"/>
    </row>
    <row r="307" spans="1:14">
      <c r="A307" s="86"/>
      <c r="B307" s="86"/>
      <c r="C307" s="86"/>
      <c r="D307" s="86"/>
      <c r="E307" s="86"/>
      <c r="F307" s="86"/>
      <c r="G307" s="86"/>
      <c r="H307" s="86"/>
      <c r="I307" s="86"/>
      <c r="J307" s="86"/>
      <c r="K307" s="86"/>
      <c r="L307" s="86"/>
      <c r="M307" s="86"/>
      <c r="N307" s="86"/>
    </row>
    <row r="308" spans="1:14">
      <c r="A308" s="86"/>
      <c r="B308" s="86"/>
      <c r="C308" s="86"/>
      <c r="D308" s="86"/>
      <c r="E308" s="86"/>
      <c r="F308" s="86"/>
      <c r="G308" s="86"/>
      <c r="H308" s="86"/>
      <c r="I308" s="86"/>
      <c r="J308" s="86"/>
      <c r="K308" s="86"/>
      <c r="L308" s="86"/>
      <c r="M308" s="86"/>
      <c r="N308" s="86"/>
    </row>
    <row r="309" spans="1:14">
      <c r="A309" s="86"/>
      <c r="B309" s="86"/>
      <c r="C309" s="86"/>
      <c r="D309" s="86"/>
      <c r="E309" s="86"/>
      <c r="F309" s="86"/>
      <c r="G309" s="86"/>
      <c r="H309" s="86"/>
      <c r="I309" s="86"/>
      <c r="J309" s="86"/>
      <c r="K309" s="86"/>
      <c r="L309" s="86"/>
      <c r="M309" s="86"/>
      <c r="N309" s="86"/>
    </row>
    <row r="310" spans="1:14">
      <c r="A310" s="86"/>
      <c r="B310" s="86"/>
      <c r="C310" s="86"/>
      <c r="D310" s="86"/>
      <c r="E310" s="86"/>
      <c r="F310" s="86"/>
      <c r="G310" s="86"/>
      <c r="H310" s="86"/>
      <c r="I310" s="86"/>
      <c r="J310" s="86"/>
      <c r="K310" s="86"/>
      <c r="L310" s="86"/>
      <c r="M310" s="86"/>
      <c r="N310" s="86"/>
    </row>
    <row r="311" spans="1:14">
      <c r="A311" s="86"/>
      <c r="B311" s="86"/>
      <c r="C311" s="86"/>
      <c r="D311" s="86"/>
      <c r="E311" s="86"/>
      <c r="F311" s="86"/>
      <c r="G311" s="86"/>
      <c r="H311" s="86"/>
      <c r="I311" s="86"/>
      <c r="J311" s="86"/>
      <c r="K311" s="86"/>
      <c r="L311" s="86"/>
      <c r="M311" s="86"/>
      <c r="N311" s="86"/>
    </row>
    <row r="312" spans="1:14">
      <c r="A312" s="86"/>
      <c r="B312" s="86"/>
      <c r="C312" s="86"/>
      <c r="D312" s="86"/>
      <c r="E312" s="86"/>
      <c r="F312" s="86"/>
      <c r="G312" s="86"/>
      <c r="H312" s="86"/>
      <c r="I312" s="86"/>
      <c r="J312" s="86"/>
      <c r="K312" s="86"/>
      <c r="L312" s="86"/>
      <c r="M312" s="86"/>
      <c r="N312" s="86"/>
    </row>
    <row r="313" spans="1:14">
      <c r="A313" s="86"/>
      <c r="B313" s="86"/>
      <c r="C313" s="86"/>
      <c r="D313" s="86"/>
      <c r="E313" s="86"/>
      <c r="F313" s="86"/>
      <c r="G313" s="86"/>
      <c r="H313" s="86"/>
      <c r="I313" s="86"/>
      <c r="J313" s="86"/>
      <c r="K313" s="86"/>
      <c r="L313" s="86"/>
      <c r="M313" s="86"/>
      <c r="N313" s="86"/>
    </row>
    <row r="314" spans="1:14">
      <c r="A314" s="86"/>
      <c r="B314" s="86"/>
      <c r="C314" s="86"/>
      <c r="D314" s="86"/>
      <c r="E314" s="86"/>
      <c r="F314" s="86"/>
      <c r="G314" s="86"/>
      <c r="H314" s="86"/>
      <c r="I314" s="86"/>
      <c r="J314" s="86"/>
      <c r="K314" s="86"/>
      <c r="L314" s="86"/>
      <c r="M314" s="86"/>
      <c r="N314" s="86"/>
    </row>
    <row r="315" spans="1:14">
      <c r="A315" s="86"/>
      <c r="B315" s="86"/>
      <c r="C315" s="86"/>
      <c r="D315" s="86"/>
      <c r="E315" s="86"/>
      <c r="F315" s="86"/>
      <c r="G315" s="86"/>
      <c r="H315" s="86"/>
      <c r="I315" s="86"/>
      <c r="J315" s="86"/>
      <c r="K315" s="86"/>
      <c r="L315" s="86"/>
      <c r="M315" s="86"/>
      <c r="N315" s="86"/>
    </row>
    <row r="316" spans="1:14">
      <c r="A316" s="86"/>
      <c r="B316" s="86"/>
      <c r="C316" s="86"/>
      <c r="D316" s="86"/>
      <c r="E316" s="86"/>
      <c r="F316" s="86"/>
      <c r="G316" s="86"/>
      <c r="H316" s="86"/>
      <c r="I316" s="86"/>
      <c r="J316" s="86"/>
      <c r="K316" s="86"/>
      <c r="L316" s="86"/>
      <c r="M316" s="86"/>
      <c r="N316" s="86"/>
    </row>
    <row r="317" spans="1:14">
      <c r="A317" s="86"/>
      <c r="B317" s="86"/>
      <c r="C317" s="86"/>
      <c r="D317" s="86"/>
      <c r="E317" s="86"/>
      <c r="F317" s="86"/>
      <c r="G317" s="86"/>
      <c r="H317" s="86"/>
      <c r="I317" s="86"/>
      <c r="J317" s="86"/>
      <c r="K317" s="86"/>
      <c r="L317" s="86"/>
      <c r="M317" s="86"/>
      <c r="N317" s="86"/>
    </row>
    <row r="318" spans="1:14">
      <c r="A318" s="86"/>
      <c r="B318" s="86"/>
      <c r="C318" s="86"/>
      <c r="D318" s="86"/>
      <c r="E318" s="86"/>
      <c r="F318" s="86"/>
      <c r="G318" s="86"/>
      <c r="H318" s="86"/>
      <c r="I318" s="86"/>
      <c r="J318" s="86"/>
      <c r="K318" s="86"/>
      <c r="L318" s="86"/>
      <c r="M318" s="86"/>
      <c r="N318" s="86"/>
    </row>
    <row r="319" spans="1:14">
      <c r="A319" s="86"/>
      <c r="B319" s="86"/>
      <c r="C319" s="86"/>
      <c r="D319" s="86"/>
      <c r="E319" s="86"/>
      <c r="F319" s="86"/>
      <c r="G319" s="86"/>
      <c r="H319" s="86"/>
      <c r="I319" s="86"/>
      <c r="J319" s="86"/>
      <c r="K319" s="86"/>
      <c r="L319" s="86"/>
      <c r="M319" s="86"/>
      <c r="N319" s="86"/>
    </row>
    <row r="320" spans="1:14">
      <c r="A320" s="86"/>
      <c r="B320" s="86"/>
      <c r="C320" s="86"/>
      <c r="D320" s="86"/>
      <c r="E320" s="86"/>
      <c r="F320" s="86"/>
      <c r="G320" s="86"/>
      <c r="H320" s="86"/>
      <c r="I320" s="86"/>
      <c r="J320" s="86"/>
      <c r="K320" s="86"/>
      <c r="L320" s="86"/>
      <c r="M320" s="86"/>
      <c r="N320" s="86"/>
    </row>
    <row r="321" spans="1:14">
      <c r="A321" s="86"/>
      <c r="B321" s="86"/>
      <c r="C321" s="86"/>
      <c r="D321" s="86"/>
      <c r="E321" s="86"/>
      <c r="F321" s="86"/>
      <c r="G321" s="86"/>
      <c r="H321" s="86"/>
      <c r="I321" s="86"/>
      <c r="J321" s="86"/>
      <c r="K321" s="86"/>
      <c r="L321" s="86"/>
      <c r="M321" s="86"/>
      <c r="N321" s="86"/>
    </row>
    <row r="322" spans="1:14">
      <c r="A322" s="86"/>
      <c r="B322" s="86"/>
      <c r="C322" s="86"/>
      <c r="D322" s="86"/>
      <c r="E322" s="86"/>
      <c r="F322" s="86"/>
      <c r="G322" s="86"/>
      <c r="H322" s="86"/>
      <c r="I322" s="86"/>
      <c r="J322" s="86"/>
      <c r="K322" s="86"/>
      <c r="L322" s="86"/>
      <c r="M322" s="86"/>
      <c r="N322" s="86"/>
    </row>
    <row r="323" spans="1:14">
      <c r="A323" s="86"/>
      <c r="B323" s="86"/>
      <c r="C323" s="86"/>
      <c r="D323" s="86"/>
      <c r="E323" s="86"/>
      <c r="F323" s="86"/>
      <c r="G323" s="86"/>
      <c r="H323" s="86"/>
      <c r="I323" s="86"/>
      <c r="J323" s="86"/>
      <c r="K323" s="86"/>
      <c r="L323" s="86"/>
      <c r="M323" s="86"/>
      <c r="N323" s="86"/>
    </row>
    <row r="324" spans="1:14">
      <c r="A324" s="86"/>
      <c r="B324" s="86"/>
      <c r="C324" s="86"/>
      <c r="D324" s="86"/>
      <c r="E324" s="86"/>
      <c r="F324" s="86"/>
      <c r="G324" s="86"/>
      <c r="H324" s="86"/>
      <c r="I324" s="86"/>
      <c r="J324" s="86"/>
      <c r="K324" s="86"/>
      <c r="L324" s="86"/>
      <c r="M324" s="86"/>
      <c r="N324" s="86"/>
    </row>
    <row r="325" spans="1:14">
      <c r="A325" s="86"/>
      <c r="B325" s="86"/>
      <c r="C325" s="86"/>
      <c r="D325" s="86"/>
      <c r="E325" s="86"/>
      <c r="F325" s="86"/>
      <c r="G325" s="86"/>
      <c r="H325" s="86"/>
      <c r="I325" s="86"/>
      <c r="J325" s="86"/>
      <c r="K325" s="86"/>
      <c r="L325" s="86"/>
      <c r="M325" s="86"/>
      <c r="N325" s="86"/>
    </row>
    <row r="326" spans="1:14">
      <c r="A326" s="86"/>
      <c r="B326" s="86"/>
      <c r="C326" s="86"/>
      <c r="D326" s="86"/>
      <c r="E326" s="86"/>
      <c r="F326" s="86"/>
      <c r="G326" s="86"/>
      <c r="H326" s="86"/>
      <c r="I326" s="86"/>
      <c r="J326" s="86"/>
      <c r="K326" s="86"/>
      <c r="L326" s="86"/>
      <c r="M326" s="86"/>
      <c r="N326" s="86"/>
    </row>
    <row r="327" spans="1:14">
      <c r="A327" s="86"/>
      <c r="B327" s="86"/>
      <c r="C327" s="86"/>
      <c r="D327" s="86"/>
      <c r="E327" s="86"/>
      <c r="F327" s="86"/>
      <c r="G327" s="86"/>
      <c r="H327" s="86"/>
      <c r="I327" s="86"/>
      <c r="J327" s="86"/>
      <c r="K327" s="86"/>
      <c r="L327" s="86"/>
      <c r="M327" s="86"/>
      <c r="N327" s="86"/>
    </row>
    <row r="328" spans="1:14">
      <c r="A328" s="86"/>
      <c r="B328" s="86"/>
      <c r="C328" s="86"/>
      <c r="D328" s="86"/>
      <c r="E328" s="86"/>
      <c r="F328" s="86"/>
      <c r="G328" s="86"/>
      <c r="H328" s="86"/>
      <c r="I328" s="86"/>
      <c r="J328" s="86"/>
      <c r="K328" s="86"/>
      <c r="L328" s="86"/>
      <c r="M328" s="86"/>
      <c r="N328" s="86"/>
    </row>
    <row r="329" spans="1:14">
      <c r="A329" s="86"/>
      <c r="B329" s="86"/>
      <c r="C329" s="86"/>
      <c r="D329" s="86"/>
      <c r="E329" s="86"/>
      <c r="F329" s="86"/>
      <c r="G329" s="86"/>
      <c r="H329" s="86"/>
      <c r="I329" s="86"/>
      <c r="J329" s="86"/>
      <c r="K329" s="86"/>
      <c r="L329" s="86"/>
      <c r="M329" s="86"/>
      <c r="N329" s="86"/>
    </row>
    <row r="330" spans="1:14">
      <c r="A330" s="86"/>
      <c r="B330" s="86"/>
      <c r="C330" s="86"/>
      <c r="D330" s="86"/>
      <c r="E330" s="86"/>
      <c r="F330" s="86"/>
      <c r="G330" s="86"/>
      <c r="H330" s="86"/>
      <c r="I330" s="86"/>
      <c r="J330" s="86"/>
      <c r="K330" s="86"/>
      <c r="L330" s="86"/>
      <c r="M330" s="86"/>
      <c r="N330" s="86"/>
    </row>
    <row r="331" spans="1:14">
      <c r="A331" s="86"/>
      <c r="B331" s="86"/>
      <c r="C331" s="86"/>
      <c r="D331" s="86"/>
      <c r="E331" s="86"/>
      <c r="F331" s="86"/>
      <c r="G331" s="86"/>
      <c r="H331" s="86"/>
      <c r="I331" s="86"/>
      <c r="J331" s="86"/>
      <c r="K331" s="86"/>
      <c r="L331" s="86"/>
      <c r="M331" s="86"/>
      <c r="N331" s="86"/>
    </row>
    <row r="332" spans="1:14">
      <c r="A332" s="86"/>
      <c r="B332" s="86"/>
      <c r="C332" s="86"/>
      <c r="D332" s="86"/>
      <c r="E332" s="86"/>
      <c r="F332" s="86"/>
      <c r="G332" s="86"/>
      <c r="H332" s="86"/>
      <c r="I332" s="86"/>
      <c r="J332" s="86"/>
      <c r="K332" s="86"/>
      <c r="L332" s="86"/>
      <c r="M332" s="86"/>
      <c r="N332" s="86"/>
    </row>
    <row r="333" spans="1:14">
      <c r="A333" s="86"/>
      <c r="B333" s="86"/>
      <c r="C333" s="86"/>
      <c r="D333" s="86"/>
      <c r="E333" s="86"/>
      <c r="F333" s="86"/>
      <c r="G333" s="86"/>
      <c r="H333" s="86"/>
      <c r="I333" s="86"/>
      <c r="J333" s="86"/>
      <c r="K333" s="86"/>
      <c r="L333" s="86"/>
      <c r="M333" s="86"/>
      <c r="N333" s="86"/>
    </row>
    <row r="334" spans="1:14">
      <c r="A334" s="86"/>
      <c r="B334" s="86"/>
      <c r="C334" s="86"/>
      <c r="D334" s="86"/>
      <c r="E334" s="86"/>
      <c r="F334" s="86"/>
      <c r="G334" s="86"/>
      <c r="H334" s="86"/>
      <c r="I334" s="86"/>
      <c r="J334" s="86"/>
      <c r="K334" s="86"/>
      <c r="L334" s="86"/>
      <c r="M334" s="86"/>
      <c r="N334" s="86"/>
    </row>
    <row r="335" spans="1:14">
      <c r="A335" s="86"/>
      <c r="B335" s="86"/>
      <c r="C335" s="86"/>
      <c r="D335" s="86"/>
      <c r="E335" s="86"/>
      <c r="F335" s="86"/>
      <c r="G335" s="86"/>
      <c r="H335" s="86"/>
      <c r="I335" s="86"/>
      <c r="J335" s="86"/>
      <c r="K335" s="86"/>
      <c r="L335" s="86"/>
      <c r="M335" s="86"/>
      <c r="N335" s="86"/>
    </row>
    <row r="336" spans="1:14">
      <c r="A336" s="86"/>
      <c r="B336" s="86"/>
      <c r="C336" s="86"/>
      <c r="D336" s="86"/>
      <c r="E336" s="86"/>
      <c r="F336" s="86"/>
      <c r="G336" s="86"/>
      <c r="H336" s="86"/>
      <c r="I336" s="86"/>
      <c r="J336" s="86"/>
      <c r="K336" s="86"/>
      <c r="L336" s="86"/>
      <c r="M336" s="86"/>
      <c r="N336" s="86"/>
    </row>
    <row r="337" spans="1:14">
      <c r="A337" s="86"/>
      <c r="B337" s="86"/>
      <c r="C337" s="86"/>
      <c r="D337" s="86"/>
      <c r="E337" s="86"/>
      <c r="F337" s="86"/>
      <c r="G337" s="86"/>
      <c r="H337" s="86"/>
      <c r="I337" s="86"/>
      <c r="J337" s="86"/>
      <c r="K337" s="86"/>
      <c r="L337" s="86"/>
      <c r="M337" s="86"/>
      <c r="N337" s="86"/>
    </row>
    <row r="338" spans="1:14">
      <c r="A338" s="86"/>
      <c r="B338" s="86"/>
      <c r="C338" s="86"/>
      <c r="D338" s="86"/>
      <c r="E338" s="86"/>
      <c r="F338" s="86"/>
      <c r="G338" s="86"/>
      <c r="H338" s="86"/>
      <c r="I338" s="86"/>
      <c r="J338" s="86"/>
      <c r="K338" s="86"/>
      <c r="L338" s="86"/>
      <c r="M338" s="86"/>
      <c r="N338" s="86"/>
    </row>
    <row r="339" spans="1:14">
      <c r="A339" s="86"/>
      <c r="B339" s="86"/>
      <c r="C339" s="86"/>
      <c r="D339" s="86"/>
      <c r="E339" s="86"/>
      <c r="F339" s="86"/>
      <c r="G339" s="86"/>
      <c r="H339" s="86"/>
      <c r="I339" s="86"/>
      <c r="J339" s="86"/>
      <c r="K339" s="86"/>
      <c r="L339" s="86"/>
      <c r="M339" s="86"/>
      <c r="N339" s="86"/>
    </row>
    <row r="340" spans="1:14">
      <c r="A340" s="86"/>
      <c r="B340" s="86"/>
      <c r="C340" s="86"/>
      <c r="D340" s="86"/>
      <c r="E340" s="86"/>
      <c r="F340" s="86"/>
      <c r="G340" s="86"/>
      <c r="H340" s="86"/>
      <c r="I340" s="86"/>
      <c r="J340" s="86"/>
      <c r="K340" s="86"/>
      <c r="L340" s="86"/>
      <c r="M340" s="86"/>
      <c r="N340" s="86"/>
    </row>
    <row r="341" spans="1:14">
      <c r="A341" s="86"/>
      <c r="B341" s="86"/>
      <c r="C341" s="86"/>
      <c r="D341" s="86"/>
      <c r="E341" s="86"/>
      <c r="F341" s="86"/>
      <c r="G341" s="86"/>
      <c r="H341" s="86"/>
      <c r="I341" s="86"/>
      <c r="J341" s="86"/>
      <c r="K341" s="86"/>
      <c r="L341" s="86"/>
      <c r="M341" s="86"/>
      <c r="N341" s="86"/>
    </row>
    <row r="342" spans="1:14">
      <c r="A342" s="86"/>
      <c r="B342" s="86"/>
      <c r="C342" s="86"/>
      <c r="D342" s="86"/>
      <c r="E342" s="86"/>
      <c r="F342" s="86"/>
      <c r="G342" s="86"/>
      <c r="H342" s="86"/>
      <c r="I342" s="86"/>
      <c r="J342" s="86"/>
      <c r="K342" s="86"/>
      <c r="L342" s="86"/>
      <c r="M342" s="86"/>
      <c r="N342" s="86"/>
    </row>
    <row r="343" spans="1:14">
      <c r="A343" s="86"/>
      <c r="B343" s="86"/>
      <c r="C343" s="86"/>
      <c r="D343" s="86"/>
      <c r="E343" s="86"/>
      <c r="F343" s="86"/>
      <c r="G343" s="86"/>
      <c r="H343" s="86"/>
      <c r="I343" s="86"/>
      <c r="J343" s="86"/>
      <c r="K343" s="86"/>
      <c r="L343" s="86"/>
      <c r="M343" s="86"/>
      <c r="N343" s="86"/>
    </row>
    <row r="344" spans="1:14">
      <c r="A344" s="86"/>
      <c r="B344" s="86"/>
      <c r="C344" s="86"/>
      <c r="D344" s="86"/>
      <c r="E344" s="86"/>
      <c r="F344" s="86"/>
      <c r="G344" s="86"/>
      <c r="H344" s="86"/>
      <c r="I344" s="86"/>
      <c r="J344" s="86"/>
      <c r="K344" s="86"/>
      <c r="L344" s="86"/>
      <c r="M344" s="86"/>
      <c r="N344" s="86"/>
    </row>
    <row r="345" spans="1:14">
      <c r="A345" s="86"/>
      <c r="B345" s="86"/>
      <c r="C345" s="86"/>
      <c r="D345" s="86"/>
      <c r="E345" s="86"/>
      <c r="F345" s="86"/>
      <c r="G345" s="86"/>
      <c r="H345" s="86"/>
      <c r="I345" s="86"/>
      <c r="J345" s="86"/>
      <c r="K345" s="86"/>
      <c r="L345" s="86"/>
      <c r="M345" s="86"/>
      <c r="N345" s="86"/>
    </row>
    <row r="346" spans="1:14">
      <c r="A346" s="86"/>
      <c r="B346" s="86"/>
      <c r="C346" s="86"/>
      <c r="D346" s="86"/>
      <c r="E346" s="86"/>
      <c r="F346" s="86"/>
      <c r="G346" s="86"/>
      <c r="H346" s="86"/>
      <c r="I346" s="86"/>
      <c r="J346" s="86"/>
      <c r="K346" s="86"/>
      <c r="L346" s="86"/>
      <c r="M346" s="86"/>
      <c r="N346" s="86"/>
    </row>
    <row r="347" spans="1:14">
      <c r="A347" s="86"/>
      <c r="B347" s="86"/>
      <c r="C347" s="86"/>
      <c r="D347" s="86"/>
      <c r="E347" s="86"/>
      <c r="F347" s="86"/>
      <c r="G347" s="86"/>
      <c r="H347" s="86"/>
      <c r="I347" s="86"/>
      <c r="J347" s="86"/>
      <c r="K347" s="86"/>
      <c r="L347" s="86"/>
      <c r="M347" s="86"/>
      <c r="N347" s="86"/>
    </row>
    <row r="348" spans="1:14">
      <c r="A348" s="86"/>
      <c r="B348" s="86"/>
      <c r="C348" s="86"/>
      <c r="D348" s="86"/>
      <c r="E348" s="86"/>
      <c r="F348" s="86"/>
      <c r="G348" s="86"/>
      <c r="H348" s="86"/>
      <c r="I348" s="86"/>
      <c r="J348" s="86"/>
      <c r="K348" s="86"/>
      <c r="L348" s="86"/>
      <c r="M348" s="86"/>
      <c r="N348" s="86"/>
    </row>
    <row r="349" spans="1:14">
      <c r="A349" s="86"/>
      <c r="B349" s="86"/>
      <c r="C349" s="86"/>
      <c r="D349" s="86"/>
      <c r="E349" s="86"/>
      <c r="F349" s="86"/>
      <c r="G349" s="86"/>
      <c r="H349" s="86"/>
      <c r="I349" s="86"/>
      <c r="J349" s="86"/>
      <c r="K349" s="86"/>
      <c r="L349" s="86"/>
      <c r="M349" s="86"/>
      <c r="N349" s="86"/>
    </row>
    <row r="350" spans="1:14">
      <c r="A350" s="86"/>
      <c r="B350" s="86"/>
      <c r="C350" s="86"/>
      <c r="D350" s="86"/>
      <c r="E350" s="86"/>
      <c r="F350" s="86"/>
      <c r="G350" s="86"/>
      <c r="H350" s="86"/>
      <c r="I350" s="86"/>
      <c r="J350" s="86"/>
      <c r="K350" s="86"/>
      <c r="L350" s="86"/>
      <c r="M350" s="86"/>
      <c r="N350" s="86"/>
    </row>
    <row r="351" spans="1:14">
      <c r="A351" s="86"/>
      <c r="B351" s="86"/>
      <c r="C351" s="86"/>
      <c r="D351" s="86"/>
      <c r="E351" s="86"/>
      <c r="F351" s="86"/>
      <c r="G351" s="86"/>
      <c r="H351" s="86"/>
      <c r="I351" s="86"/>
      <c r="J351" s="86"/>
      <c r="K351" s="86"/>
      <c r="L351" s="86"/>
      <c r="M351" s="86"/>
      <c r="N351" s="86"/>
    </row>
    <row r="352" spans="1:14">
      <c r="A352" s="86"/>
      <c r="B352" s="86"/>
      <c r="C352" s="86"/>
      <c r="D352" s="86"/>
      <c r="E352" s="86"/>
      <c r="F352" s="86"/>
      <c r="G352" s="86"/>
      <c r="H352" s="86"/>
      <c r="I352" s="86"/>
      <c r="J352" s="86"/>
      <c r="K352" s="86"/>
      <c r="L352" s="86"/>
      <c r="M352" s="86"/>
      <c r="N352" s="86"/>
    </row>
    <row r="353" spans="1:14">
      <c r="A353" s="86"/>
      <c r="B353" s="86"/>
      <c r="C353" s="86"/>
      <c r="D353" s="86"/>
      <c r="E353" s="86"/>
      <c r="F353" s="86"/>
      <c r="G353" s="86"/>
      <c r="H353" s="86"/>
      <c r="I353" s="86"/>
      <c r="J353" s="86"/>
      <c r="K353" s="86"/>
      <c r="L353" s="86"/>
      <c r="M353" s="86"/>
      <c r="N353" s="86"/>
    </row>
    <row r="354" spans="1:14">
      <c r="A354" s="86"/>
      <c r="B354" s="86"/>
      <c r="C354" s="86"/>
      <c r="D354" s="86"/>
      <c r="E354" s="86"/>
      <c r="F354" s="86"/>
      <c r="G354" s="86"/>
      <c r="H354" s="86"/>
      <c r="I354" s="86"/>
      <c r="J354" s="86"/>
      <c r="K354" s="86"/>
      <c r="L354" s="86"/>
      <c r="M354" s="86"/>
      <c r="N354" s="86"/>
    </row>
    <row r="355" spans="1:14">
      <c r="A355" s="86"/>
      <c r="B355" s="86"/>
      <c r="C355" s="86"/>
      <c r="D355" s="86"/>
      <c r="E355" s="86"/>
      <c r="F355" s="86"/>
      <c r="G355" s="86"/>
      <c r="H355" s="86"/>
      <c r="I355" s="86"/>
      <c r="J355" s="86"/>
      <c r="K355" s="86"/>
      <c r="L355" s="86"/>
      <c r="M355" s="86"/>
      <c r="N355" s="86"/>
    </row>
    <row r="356" spans="1:14">
      <c r="A356" s="86"/>
      <c r="B356" s="86"/>
      <c r="C356" s="86"/>
      <c r="D356" s="86"/>
      <c r="E356" s="86"/>
      <c r="F356" s="86"/>
      <c r="G356" s="86"/>
      <c r="H356" s="86"/>
      <c r="I356" s="86"/>
      <c r="J356" s="86"/>
      <c r="K356" s="86"/>
      <c r="L356" s="86"/>
      <c r="M356" s="86"/>
      <c r="N356" s="86"/>
    </row>
    <row r="357" spans="1:14">
      <c r="A357" s="86"/>
      <c r="B357" s="86"/>
      <c r="C357" s="86"/>
      <c r="D357" s="86"/>
      <c r="E357" s="86"/>
      <c r="F357" s="86"/>
      <c r="G357" s="86"/>
      <c r="H357" s="86"/>
      <c r="I357" s="86"/>
      <c r="J357" s="86"/>
      <c r="K357" s="86"/>
      <c r="L357" s="86"/>
      <c r="M357" s="86"/>
      <c r="N357" s="86"/>
    </row>
    <row r="358" spans="1:14">
      <c r="A358" s="86"/>
      <c r="B358" s="86"/>
      <c r="C358" s="86"/>
      <c r="D358" s="86"/>
      <c r="E358" s="86"/>
      <c r="F358" s="86"/>
      <c r="G358" s="86"/>
      <c r="H358" s="86"/>
      <c r="I358" s="86"/>
      <c r="J358" s="86"/>
      <c r="K358" s="86"/>
      <c r="L358" s="86"/>
      <c r="M358" s="86"/>
      <c r="N358" s="86"/>
    </row>
    <row r="359" spans="1:14">
      <c r="A359" s="86"/>
      <c r="B359" s="86"/>
      <c r="C359" s="86"/>
      <c r="D359" s="86"/>
      <c r="E359" s="86"/>
      <c r="F359" s="86"/>
      <c r="G359" s="86"/>
      <c r="H359" s="86"/>
      <c r="I359" s="86"/>
      <c r="J359" s="86"/>
      <c r="K359" s="86"/>
      <c r="L359" s="86"/>
      <c r="M359" s="86"/>
      <c r="N359" s="86"/>
    </row>
    <row r="360" spans="1:14">
      <c r="A360" s="86"/>
      <c r="B360" s="86"/>
      <c r="C360" s="86"/>
      <c r="D360" s="86"/>
      <c r="E360" s="86"/>
      <c r="F360" s="86"/>
      <c r="G360" s="86"/>
      <c r="H360" s="86"/>
      <c r="I360" s="86"/>
      <c r="J360" s="86"/>
      <c r="K360" s="86"/>
      <c r="L360" s="86"/>
      <c r="M360" s="86"/>
      <c r="N360" s="86"/>
    </row>
    <row r="361" spans="1:14">
      <c r="A361" s="86"/>
      <c r="B361" s="86"/>
      <c r="C361" s="86"/>
      <c r="D361" s="86"/>
      <c r="E361" s="86"/>
      <c r="F361" s="86"/>
      <c r="G361" s="86"/>
      <c r="H361" s="86"/>
      <c r="I361" s="86"/>
      <c r="J361" s="86"/>
      <c r="K361" s="86"/>
      <c r="L361" s="86"/>
      <c r="M361" s="86"/>
      <c r="N361" s="86"/>
    </row>
    <row r="362" spans="1:14">
      <c r="A362" s="86"/>
      <c r="B362" s="86"/>
      <c r="C362" s="86"/>
      <c r="D362" s="86"/>
      <c r="E362" s="86"/>
      <c r="F362" s="86"/>
      <c r="G362" s="86"/>
      <c r="H362" s="86"/>
      <c r="I362" s="86"/>
      <c r="J362" s="86"/>
      <c r="K362" s="86"/>
      <c r="L362" s="86"/>
      <c r="M362" s="86"/>
      <c r="N362" s="86"/>
    </row>
    <row r="363" spans="1:14">
      <c r="A363" s="86"/>
      <c r="B363" s="86"/>
      <c r="C363" s="86"/>
      <c r="D363" s="86"/>
      <c r="E363" s="86"/>
      <c r="F363" s="86"/>
      <c r="G363" s="86"/>
      <c r="H363" s="86"/>
      <c r="I363" s="86"/>
      <c r="J363" s="86"/>
      <c r="K363" s="86"/>
      <c r="L363" s="86"/>
      <c r="M363" s="86"/>
      <c r="N363" s="86"/>
    </row>
    <row r="364" spans="1:14">
      <c r="A364" s="86"/>
      <c r="B364" s="86"/>
      <c r="C364" s="86"/>
      <c r="D364" s="86"/>
      <c r="E364" s="86"/>
      <c r="F364" s="86"/>
      <c r="G364" s="86"/>
      <c r="H364" s="86"/>
      <c r="I364" s="86"/>
      <c r="J364" s="86"/>
      <c r="K364" s="86"/>
      <c r="L364" s="86"/>
      <c r="M364" s="86"/>
      <c r="N364" s="86"/>
    </row>
    <row r="365" spans="1:14">
      <c r="A365" s="86"/>
      <c r="B365" s="86"/>
      <c r="C365" s="86"/>
      <c r="D365" s="86"/>
      <c r="E365" s="86"/>
      <c r="F365" s="86"/>
      <c r="G365" s="86"/>
      <c r="H365" s="86"/>
      <c r="I365" s="86"/>
      <c r="J365" s="86"/>
      <c r="K365" s="86"/>
      <c r="L365" s="86"/>
      <c r="M365" s="86"/>
      <c r="N365" s="86"/>
    </row>
    <row r="366" spans="1:14">
      <c r="A366" s="86"/>
      <c r="B366" s="86"/>
      <c r="C366" s="86"/>
      <c r="D366" s="86"/>
      <c r="E366" s="86"/>
      <c r="F366" s="86"/>
      <c r="G366" s="86"/>
      <c r="H366" s="86"/>
      <c r="I366" s="86"/>
      <c r="J366" s="86"/>
      <c r="K366" s="86"/>
      <c r="L366" s="86"/>
      <c r="M366" s="86"/>
      <c r="N366" s="86"/>
    </row>
    <row r="367" spans="1:14">
      <c r="A367" s="86"/>
      <c r="B367" s="86"/>
      <c r="C367" s="86"/>
      <c r="D367" s="86"/>
      <c r="E367" s="86"/>
      <c r="F367" s="86"/>
      <c r="G367" s="86"/>
      <c r="H367" s="86"/>
      <c r="I367" s="86"/>
      <c r="J367" s="86"/>
      <c r="K367" s="86"/>
      <c r="L367" s="86"/>
      <c r="M367" s="86"/>
      <c r="N367" s="86"/>
    </row>
    <row r="368" spans="1:14">
      <c r="A368" s="86"/>
      <c r="B368" s="86"/>
      <c r="C368" s="86"/>
      <c r="D368" s="86"/>
      <c r="E368" s="86"/>
      <c r="F368" s="86"/>
      <c r="G368" s="86"/>
      <c r="H368" s="86"/>
      <c r="I368" s="86"/>
      <c r="J368" s="86"/>
      <c r="K368" s="86"/>
      <c r="L368" s="86"/>
      <c r="M368" s="86"/>
      <c r="N368" s="86"/>
    </row>
    <row r="369" spans="1:14">
      <c r="A369" s="86"/>
      <c r="B369" s="86"/>
      <c r="C369" s="86"/>
      <c r="D369" s="86"/>
      <c r="E369" s="86"/>
      <c r="F369" s="86"/>
      <c r="G369" s="86"/>
      <c r="H369" s="86"/>
      <c r="I369" s="86"/>
      <c r="J369" s="86"/>
      <c r="K369" s="86"/>
      <c r="L369" s="86"/>
      <c r="M369" s="86"/>
      <c r="N369" s="86"/>
    </row>
    <row r="370" spans="1:14">
      <c r="A370" s="86"/>
      <c r="B370" s="86"/>
      <c r="C370" s="86"/>
      <c r="D370" s="86"/>
      <c r="E370" s="86"/>
      <c r="F370" s="86"/>
      <c r="G370" s="86"/>
      <c r="H370" s="86"/>
      <c r="I370" s="86"/>
      <c r="J370" s="86"/>
      <c r="K370" s="86"/>
      <c r="L370" s="86"/>
      <c r="M370" s="86"/>
      <c r="N370" s="86"/>
    </row>
    <row r="371" spans="1:14">
      <c r="A371" s="86"/>
      <c r="B371" s="86"/>
      <c r="C371" s="86"/>
      <c r="D371" s="86"/>
      <c r="E371" s="86"/>
      <c r="F371" s="86"/>
      <c r="G371" s="86"/>
      <c r="H371" s="86"/>
      <c r="I371" s="86"/>
      <c r="J371" s="86"/>
      <c r="K371" s="86"/>
      <c r="L371" s="86"/>
      <c r="M371" s="86"/>
      <c r="N371" s="86"/>
    </row>
    <row r="372" spans="1:14">
      <c r="A372" s="86"/>
      <c r="B372" s="86"/>
      <c r="C372" s="86"/>
      <c r="D372" s="86"/>
      <c r="E372" s="86"/>
      <c r="F372" s="86"/>
      <c r="G372" s="86"/>
      <c r="H372" s="86"/>
      <c r="I372" s="86"/>
      <c r="J372" s="86"/>
      <c r="K372" s="86"/>
      <c r="L372" s="86"/>
      <c r="M372" s="86"/>
      <c r="N372" s="86"/>
    </row>
    <row r="373" spans="1:14">
      <c r="A373" s="86"/>
      <c r="B373" s="86"/>
      <c r="C373" s="86"/>
      <c r="D373" s="86"/>
      <c r="E373" s="86"/>
      <c r="F373" s="86"/>
      <c r="G373" s="86"/>
      <c r="H373" s="86"/>
      <c r="I373" s="86"/>
      <c r="J373" s="86"/>
      <c r="K373" s="86"/>
      <c r="L373" s="86"/>
      <c r="M373" s="86"/>
      <c r="N373" s="86"/>
    </row>
    <row r="374" spans="1:14">
      <c r="A374" s="86"/>
      <c r="B374" s="86"/>
      <c r="C374" s="86"/>
      <c r="D374" s="86"/>
      <c r="E374" s="86"/>
      <c r="F374" s="86"/>
      <c r="G374" s="86"/>
      <c r="H374" s="86"/>
      <c r="I374" s="86"/>
      <c r="J374" s="86"/>
      <c r="K374" s="86"/>
      <c r="L374" s="86"/>
      <c r="M374" s="86"/>
      <c r="N374" s="86"/>
    </row>
    <row r="375" spans="1:14">
      <c r="A375" s="86"/>
      <c r="B375" s="86"/>
      <c r="C375" s="86"/>
      <c r="D375" s="86"/>
      <c r="E375" s="86"/>
      <c r="F375" s="86"/>
      <c r="G375" s="86"/>
      <c r="H375" s="86"/>
      <c r="I375" s="86"/>
      <c r="J375" s="86"/>
      <c r="K375" s="86"/>
      <c r="L375" s="86"/>
      <c r="M375" s="86"/>
      <c r="N375" s="86"/>
    </row>
    <row r="376" spans="1:14">
      <c r="A376" s="86"/>
      <c r="B376" s="86"/>
      <c r="C376" s="86"/>
      <c r="D376" s="86"/>
      <c r="E376" s="86"/>
      <c r="F376" s="86"/>
      <c r="G376" s="86"/>
      <c r="H376" s="86"/>
      <c r="I376" s="86"/>
      <c r="J376" s="86"/>
      <c r="K376" s="86"/>
      <c r="L376" s="86"/>
      <c r="M376" s="86"/>
      <c r="N376" s="86"/>
    </row>
    <row r="377" spans="1:14">
      <c r="A377" s="86"/>
      <c r="B377" s="86"/>
      <c r="C377" s="86"/>
      <c r="D377" s="86"/>
      <c r="E377" s="86"/>
      <c r="F377" s="86"/>
      <c r="G377" s="86"/>
      <c r="H377" s="86"/>
      <c r="I377" s="86"/>
      <c r="J377" s="86"/>
      <c r="K377" s="86"/>
      <c r="L377" s="86"/>
      <c r="M377" s="86"/>
      <c r="N377" s="86"/>
    </row>
    <row r="378" spans="1:14">
      <c r="A378" s="86"/>
      <c r="B378" s="86"/>
      <c r="C378" s="86"/>
      <c r="D378" s="86"/>
      <c r="E378" s="86"/>
      <c r="F378" s="86"/>
      <c r="G378" s="86"/>
      <c r="H378" s="86"/>
      <c r="I378" s="86"/>
      <c r="J378" s="86"/>
      <c r="K378" s="86"/>
      <c r="L378" s="86"/>
      <c r="M378" s="86"/>
      <c r="N378" s="86"/>
    </row>
    <row r="379" spans="1:14">
      <c r="A379" s="86"/>
      <c r="B379" s="86"/>
      <c r="C379" s="86"/>
      <c r="D379" s="86"/>
      <c r="E379" s="86"/>
      <c r="F379" s="86"/>
      <c r="G379" s="86"/>
      <c r="H379" s="86"/>
      <c r="I379" s="86"/>
      <c r="J379" s="86"/>
      <c r="K379" s="86"/>
      <c r="L379" s="86"/>
      <c r="M379" s="86"/>
      <c r="N379" s="86"/>
    </row>
    <row r="380" spans="1:14">
      <c r="A380" s="86"/>
      <c r="B380" s="86"/>
      <c r="C380" s="86"/>
      <c r="D380" s="86"/>
      <c r="E380" s="86"/>
      <c r="F380" s="86"/>
      <c r="G380" s="86"/>
      <c r="H380" s="86"/>
      <c r="I380" s="86"/>
      <c r="J380" s="86"/>
      <c r="K380" s="86"/>
      <c r="L380" s="86"/>
      <c r="M380" s="86"/>
      <c r="N380" s="86"/>
    </row>
    <row r="381" spans="1:14">
      <c r="A381" s="86"/>
      <c r="B381" s="86"/>
      <c r="C381" s="86"/>
      <c r="D381" s="86"/>
      <c r="E381" s="86"/>
      <c r="F381" s="86"/>
      <c r="G381" s="86"/>
      <c r="H381" s="86"/>
      <c r="I381" s="86"/>
      <c r="J381" s="86"/>
      <c r="K381" s="86"/>
      <c r="L381" s="86"/>
      <c r="M381" s="86"/>
      <c r="N381" s="86"/>
    </row>
    <row r="382" spans="1:14">
      <c r="A382" s="86"/>
      <c r="B382" s="86"/>
      <c r="C382" s="86"/>
      <c r="D382" s="86"/>
      <c r="E382" s="86"/>
      <c r="F382" s="86"/>
      <c r="G382" s="86"/>
      <c r="H382" s="86"/>
      <c r="I382" s="86"/>
      <c r="J382" s="86"/>
      <c r="K382" s="86"/>
      <c r="L382" s="86"/>
      <c r="M382" s="86"/>
      <c r="N382" s="86"/>
    </row>
    <row r="383" spans="1:14">
      <c r="A383" s="86"/>
      <c r="B383" s="86"/>
      <c r="C383" s="86"/>
      <c r="D383" s="86"/>
      <c r="E383" s="86"/>
      <c r="F383" s="86"/>
      <c r="G383" s="86"/>
      <c r="H383" s="86"/>
      <c r="I383" s="86"/>
      <c r="J383" s="86"/>
      <c r="K383" s="86"/>
      <c r="L383" s="86"/>
      <c r="M383" s="86"/>
      <c r="N383" s="86"/>
    </row>
    <row r="384" spans="1:14">
      <c r="A384" s="86"/>
      <c r="B384" s="86"/>
      <c r="C384" s="86"/>
      <c r="D384" s="86"/>
      <c r="E384" s="86"/>
      <c r="F384" s="86"/>
      <c r="G384" s="86"/>
      <c r="H384" s="86"/>
      <c r="I384" s="86"/>
      <c r="J384" s="86"/>
      <c r="K384" s="86"/>
      <c r="L384" s="86"/>
      <c r="M384" s="86"/>
      <c r="N384" s="86"/>
    </row>
    <row r="385" spans="1:14">
      <c r="A385" s="86"/>
      <c r="B385" s="86"/>
      <c r="C385" s="86"/>
      <c r="D385" s="86"/>
      <c r="E385" s="86"/>
      <c r="F385" s="86"/>
      <c r="G385" s="86"/>
      <c r="H385" s="86"/>
      <c r="I385" s="86"/>
      <c r="J385" s="86"/>
      <c r="K385" s="86"/>
      <c r="L385" s="86"/>
      <c r="M385" s="86"/>
      <c r="N385" s="86"/>
    </row>
    <row r="386" spans="1:14">
      <c r="A386" s="86"/>
      <c r="B386" s="86"/>
      <c r="C386" s="86"/>
      <c r="D386" s="86"/>
      <c r="E386" s="86"/>
      <c r="F386" s="86"/>
      <c r="G386" s="86"/>
      <c r="H386" s="86"/>
      <c r="I386" s="86"/>
      <c r="J386" s="86"/>
      <c r="K386" s="86"/>
      <c r="L386" s="86"/>
      <c r="M386" s="86"/>
      <c r="N386" s="86"/>
    </row>
    <row r="387" spans="1:14">
      <c r="A387" s="86"/>
      <c r="B387" s="86"/>
      <c r="C387" s="86"/>
      <c r="D387" s="86"/>
      <c r="E387" s="86"/>
      <c r="F387" s="86"/>
      <c r="G387" s="86"/>
      <c r="H387" s="86"/>
      <c r="I387" s="86"/>
      <c r="J387" s="86"/>
      <c r="K387" s="86"/>
      <c r="L387" s="86"/>
      <c r="M387" s="86"/>
      <c r="N387" s="86"/>
    </row>
    <row r="388" spans="1:14">
      <c r="A388" s="86"/>
      <c r="B388" s="86"/>
      <c r="C388" s="86"/>
      <c r="D388" s="86"/>
      <c r="E388" s="86"/>
      <c r="F388" s="86"/>
      <c r="G388" s="86"/>
      <c r="H388" s="86"/>
      <c r="I388" s="86"/>
      <c r="J388" s="86"/>
      <c r="K388" s="86"/>
      <c r="L388" s="86"/>
      <c r="M388" s="86"/>
      <c r="N388" s="86"/>
    </row>
    <row r="389" spans="1:14">
      <c r="A389" s="86"/>
      <c r="B389" s="86"/>
      <c r="C389" s="86"/>
      <c r="D389" s="86"/>
      <c r="E389" s="86"/>
      <c r="F389" s="86"/>
      <c r="G389" s="86"/>
      <c r="H389" s="86"/>
      <c r="I389" s="86"/>
      <c r="J389" s="86"/>
      <c r="K389" s="86"/>
      <c r="L389" s="86"/>
      <c r="M389" s="86"/>
      <c r="N389" s="86"/>
    </row>
    <row r="390" spans="1:14">
      <c r="A390" s="86"/>
      <c r="B390" s="86"/>
      <c r="C390" s="86"/>
      <c r="D390" s="86"/>
      <c r="E390" s="86"/>
      <c r="F390" s="86"/>
      <c r="G390" s="86"/>
      <c r="H390" s="86"/>
      <c r="I390" s="86"/>
      <c r="J390" s="86"/>
      <c r="K390" s="86"/>
      <c r="L390" s="86"/>
      <c r="M390" s="86"/>
      <c r="N390" s="86"/>
    </row>
    <row r="391" spans="1:14">
      <c r="A391" s="86"/>
      <c r="B391" s="86"/>
      <c r="C391" s="86"/>
      <c r="D391" s="86"/>
      <c r="E391" s="86"/>
      <c r="F391" s="86"/>
      <c r="G391" s="86"/>
      <c r="H391" s="86"/>
      <c r="I391" s="86"/>
      <c r="J391" s="86"/>
      <c r="K391" s="86"/>
      <c r="L391" s="86"/>
      <c r="M391" s="86"/>
      <c r="N391" s="86"/>
    </row>
    <row r="392" spans="1:14">
      <c r="A392" s="86"/>
      <c r="B392" s="86"/>
      <c r="C392" s="86"/>
      <c r="D392" s="86"/>
      <c r="E392" s="86"/>
      <c r="F392" s="86"/>
      <c r="G392" s="86"/>
      <c r="H392" s="86"/>
      <c r="I392" s="86"/>
      <c r="J392" s="86"/>
      <c r="K392" s="86"/>
      <c r="L392" s="86"/>
      <c r="M392" s="86"/>
      <c r="N392" s="86"/>
    </row>
    <row r="393" spans="1:14">
      <c r="A393" s="86"/>
      <c r="B393" s="86"/>
      <c r="C393" s="86"/>
      <c r="D393" s="86"/>
      <c r="E393" s="86"/>
      <c r="F393" s="86"/>
      <c r="G393" s="86"/>
      <c r="H393" s="86"/>
      <c r="I393" s="86"/>
      <c r="J393" s="86"/>
      <c r="K393" s="86"/>
      <c r="L393" s="86"/>
      <c r="M393" s="86"/>
      <c r="N393" s="86"/>
    </row>
    <row r="394" spans="1:14">
      <c r="A394" s="86"/>
      <c r="B394" s="86"/>
      <c r="C394" s="86"/>
      <c r="D394" s="86"/>
      <c r="E394" s="86"/>
      <c r="F394" s="86"/>
      <c r="G394" s="86"/>
      <c r="H394" s="86"/>
      <c r="I394" s="86"/>
      <c r="J394" s="86"/>
      <c r="K394" s="86"/>
      <c r="L394" s="86"/>
      <c r="M394" s="86"/>
      <c r="N394" s="86"/>
    </row>
    <row r="395" spans="1:14">
      <c r="A395" s="86"/>
      <c r="B395" s="86"/>
      <c r="C395" s="86"/>
      <c r="D395" s="86"/>
      <c r="E395" s="86"/>
      <c r="F395" s="86"/>
      <c r="G395" s="86"/>
      <c r="H395" s="86"/>
      <c r="I395" s="86"/>
      <c r="J395" s="86"/>
      <c r="K395" s="86"/>
      <c r="L395" s="86"/>
      <c r="M395" s="86"/>
      <c r="N395" s="86"/>
    </row>
    <row r="396" spans="1:14">
      <c r="A396" s="86"/>
      <c r="B396" s="86"/>
      <c r="C396" s="86"/>
      <c r="D396" s="86"/>
      <c r="E396" s="86"/>
      <c r="F396" s="86"/>
      <c r="G396" s="86"/>
      <c r="H396" s="86"/>
      <c r="I396" s="86"/>
      <c r="J396" s="86"/>
      <c r="K396" s="86"/>
      <c r="L396" s="86"/>
      <c r="M396" s="86"/>
      <c r="N396" s="86"/>
    </row>
    <row r="397" spans="1:14">
      <c r="A397" s="86"/>
      <c r="B397" s="86"/>
      <c r="C397" s="86"/>
      <c r="D397" s="86"/>
      <c r="E397" s="86"/>
      <c r="F397" s="86"/>
      <c r="G397" s="86"/>
      <c r="H397" s="86"/>
      <c r="I397" s="86"/>
      <c r="J397" s="86"/>
      <c r="K397" s="86"/>
      <c r="L397" s="86"/>
      <c r="M397" s="86"/>
      <c r="N397" s="86"/>
    </row>
    <row r="398" spans="1:14">
      <c r="A398" s="86"/>
      <c r="B398" s="86"/>
      <c r="C398" s="86"/>
      <c r="D398" s="86"/>
      <c r="E398" s="86"/>
      <c r="F398" s="86"/>
      <c r="G398" s="86"/>
      <c r="H398" s="86"/>
      <c r="I398" s="86"/>
      <c r="J398" s="86"/>
      <c r="K398" s="86"/>
      <c r="L398" s="86"/>
      <c r="M398" s="86"/>
      <c r="N398" s="86"/>
    </row>
    <row r="399" spans="1:14">
      <c r="A399" s="86"/>
      <c r="B399" s="86"/>
      <c r="C399" s="86"/>
      <c r="D399" s="86"/>
      <c r="E399" s="86"/>
      <c r="F399" s="86"/>
      <c r="G399" s="86"/>
      <c r="H399" s="86"/>
      <c r="I399" s="86"/>
      <c r="J399" s="86"/>
      <c r="K399" s="86"/>
      <c r="L399" s="86"/>
      <c r="M399" s="86"/>
      <c r="N399" s="86"/>
    </row>
    <row r="400" spans="1:14">
      <c r="A400" s="86"/>
      <c r="B400" s="86"/>
      <c r="C400" s="86"/>
      <c r="D400" s="86"/>
      <c r="E400" s="86"/>
      <c r="F400" s="86"/>
      <c r="G400" s="86"/>
      <c r="H400" s="86"/>
      <c r="I400" s="86"/>
      <c r="J400" s="86"/>
      <c r="K400" s="86"/>
      <c r="L400" s="86"/>
      <c r="M400" s="86"/>
      <c r="N400" s="86"/>
    </row>
    <row r="401" spans="1:14">
      <c r="A401" s="86"/>
      <c r="B401" s="86"/>
      <c r="C401" s="86"/>
      <c r="D401" s="86"/>
      <c r="E401" s="86"/>
      <c r="F401" s="86"/>
      <c r="G401" s="86"/>
      <c r="H401" s="86"/>
      <c r="I401" s="86"/>
      <c r="J401" s="86"/>
      <c r="K401" s="86"/>
      <c r="L401" s="86"/>
      <c r="M401" s="86"/>
      <c r="N401" s="86"/>
    </row>
    <row r="402" spans="1:14">
      <c r="A402" s="86"/>
      <c r="B402" s="86"/>
      <c r="C402" s="86"/>
      <c r="D402" s="86"/>
      <c r="E402" s="86"/>
      <c r="F402" s="86"/>
      <c r="G402" s="86"/>
      <c r="H402" s="86"/>
      <c r="I402" s="86"/>
      <c r="J402" s="86"/>
      <c r="K402" s="86"/>
      <c r="L402" s="86"/>
      <c r="M402" s="86"/>
      <c r="N402" s="86"/>
    </row>
    <row r="403" spans="1:14">
      <c r="A403" s="86"/>
      <c r="B403" s="86"/>
      <c r="C403" s="86"/>
      <c r="D403" s="86"/>
      <c r="E403" s="86"/>
      <c r="F403" s="86"/>
      <c r="G403" s="86"/>
      <c r="H403" s="86"/>
      <c r="I403" s="86"/>
      <c r="J403" s="86"/>
      <c r="K403" s="86"/>
      <c r="L403" s="86"/>
      <c r="M403" s="86"/>
      <c r="N403" s="86"/>
    </row>
    <row r="404" spans="1:14">
      <c r="A404" s="86"/>
      <c r="B404" s="86"/>
      <c r="C404" s="86"/>
      <c r="D404" s="86"/>
      <c r="E404" s="86"/>
      <c r="F404" s="86"/>
      <c r="G404" s="86"/>
      <c r="H404" s="86"/>
      <c r="I404" s="86"/>
      <c r="J404" s="86"/>
      <c r="K404" s="86"/>
      <c r="L404" s="86"/>
      <c r="M404" s="86"/>
      <c r="N404" s="86"/>
    </row>
    <row r="405" spans="1:14">
      <c r="A405" s="86"/>
      <c r="B405" s="86"/>
      <c r="C405" s="86"/>
      <c r="D405" s="86"/>
      <c r="E405" s="86"/>
      <c r="F405" s="86"/>
      <c r="G405" s="86"/>
      <c r="H405" s="86"/>
      <c r="I405" s="86"/>
      <c r="J405" s="86"/>
      <c r="K405" s="86"/>
      <c r="L405" s="86"/>
      <c r="M405" s="86"/>
      <c r="N405" s="86"/>
    </row>
    <row r="406" spans="1:14">
      <c r="A406" s="86"/>
      <c r="B406" s="86"/>
      <c r="C406" s="86"/>
      <c r="D406" s="86"/>
      <c r="E406" s="86"/>
      <c r="F406" s="86"/>
      <c r="G406" s="86"/>
      <c r="H406" s="86"/>
      <c r="I406" s="86"/>
      <c r="J406" s="86"/>
      <c r="K406" s="86"/>
      <c r="L406" s="86"/>
      <c r="M406" s="86"/>
      <c r="N406" s="86"/>
    </row>
    <row r="407" spans="1:14">
      <c r="A407" s="86"/>
      <c r="B407" s="86"/>
      <c r="C407" s="86"/>
      <c r="D407" s="86"/>
      <c r="E407" s="86"/>
      <c r="F407" s="86"/>
      <c r="G407" s="86"/>
      <c r="H407" s="86"/>
      <c r="I407" s="86"/>
      <c r="J407" s="86"/>
      <c r="K407" s="86"/>
      <c r="L407" s="86"/>
      <c r="M407" s="86"/>
      <c r="N407" s="86"/>
    </row>
    <row r="408" spans="1:14">
      <c r="A408" s="86"/>
      <c r="B408" s="86"/>
      <c r="C408" s="86"/>
      <c r="D408" s="86"/>
      <c r="E408" s="86"/>
      <c r="F408" s="86"/>
      <c r="G408" s="86"/>
      <c r="H408" s="86"/>
      <c r="I408" s="86"/>
      <c r="J408" s="86"/>
      <c r="K408" s="86"/>
      <c r="L408" s="86"/>
      <c r="M408" s="86"/>
      <c r="N408" s="86"/>
    </row>
    <row r="409" spans="1:14">
      <c r="A409" s="86"/>
      <c r="B409" s="86"/>
      <c r="C409" s="86"/>
      <c r="D409" s="86"/>
      <c r="E409" s="86"/>
      <c r="F409" s="86"/>
      <c r="G409" s="86"/>
      <c r="H409" s="86"/>
      <c r="I409" s="86"/>
      <c r="J409" s="86"/>
      <c r="K409" s="86"/>
      <c r="L409" s="86"/>
      <c r="M409" s="86"/>
      <c r="N409" s="86"/>
    </row>
    <row r="410" spans="1:14">
      <c r="A410" s="86"/>
      <c r="B410" s="86"/>
      <c r="C410" s="86"/>
      <c r="D410" s="86"/>
      <c r="E410" s="86"/>
      <c r="F410" s="86"/>
      <c r="G410" s="86"/>
      <c r="H410" s="86"/>
      <c r="I410" s="86"/>
      <c r="J410" s="86"/>
      <c r="K410" s="86"/>
      <c r="L410" s="86"/>
      <c r="M410" s="86"/>
      <c r="N410" s="86"/>
    </row>
    <row r="411" spans="1:14">
      <c r="A411" s="86"/>
      <c r="B411" s="86"/>
      <c r="C411" s="86"/>
      <c r="D411" s="86"/>
      <c r="E411" s="86"/>
      <c r="F411" s="86"/>
      <c r="G411" s="86"/>
      <c r="H411" s="86"/>
      <c r="I411" s="86"/>
      <c r="J411" s="86"/>
      <c r="K411" s="86"/>
      <c r="L411" s="86"/>
      <c r="M411" s="86"/>
      <c r="N411" s="86"/>
    </row>
    <row r="412" spans="1:14">
      <c r="A412" s="86"/>
      <c r="B412" s="86"/>
      <c r="C412" s="86"/>
      <c r="D412" s="86"/>
      <c r="E412" s="86"/>
      <c r="F412" s="86"/>
      <c r="G412" s="86"/>
      <c r="H412" s="86"/>
      <c r="I412" s="86"/>
      <c r="J412" s="86"/>
      <c r="K412" s="86"/>
      <c r="L412" s="86"/>
      <c r="M412" s="86"/>
      <c r="N412" s="86"/>
    </row>
    <row r="413" spans="1:14">
      <c r="A413" s="86"/>
      <c r="B413" s="86"/>
      <c r="C413" s="86"/>
      <c r="D413" s="86"/>
      <c r="E413" s="86"/>
      <c r="F413" s="86"/>
      <c r="G413" s="86"/>
      <c r="H413" s="86"/>
      <c r="I413" s="86"/>
      <c r="J413" s="86"/>
      <c r="K413" s="86"/>
      <c r="L413" s="86"/>
      <c r="M413" s="86"/>
      <c r="N413" s="86"/>
    </row>
    <row r="414" spans="1:14">
      <c r="A414" s="86"/>
      <c r="B414" s="86"/>
      <c r="C414" s="86"/>
      <c r="D414" s="86"/>
      <c r="E414" s="86"/>
      <c r="F414" s="86"/>
      <c r="G414" s="86"/>
      <c r="H414" s="86"/>
      <c r="I414" s="86"/>
      <c r="J414" s="86"/>
      <c r="K414" s="86"/>
      <c r="L414" s="86"/>
      <c r="M414" s="86"/>
      <c r="N414" s="86"/>
    </row>
    <row r="415" spans="1:14">
      <c r="A415" s="86"/>
      <c r="B415" s="86"/>
      <c r="C415" s="86"/>
      <c r="D415" s="86"/>
      <c r="E415" s="86"/>
      <c r="F415" s="86"/>
      <c r="G415" s="86"/>
      <c r="H415" s="86"/>
      <c r="I415" s="86"/>
      <c r="J415" s="86"/>
      <c r="K415" s="86"/>
      <c r="L415" s="86"/>
      <c r="M415" s="86"/>
      <c r="N415" s="86"/>
    </row>
  </sheetData>
  <mergeCells count="4">
    <mergeCell ref="F13:H13"/>
    <mergeCell ref="F14:H14"/>
    <mergeCell ref="F15:H15"/>
    <mergeCell ref="F16:H16"/>
  </mergeCells>
  <phoneticPr fontId="0" type="noConversion"/>
  <printOptions horizontalCentered="1" verticalCentered="1"/>
  <pageMargins left="0.4" right="0.4" top="0.3" bottom="0.3" header="0" footer="0"/>
  <pageSetup scale="68" fitToWidth="2" orientation="portrait" r:id="rId1"/>
  <headerFooter alignWithMargins="0"/>
  <colBreaks count="1" manualBreakCount="1">
    <brk id="5"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ransitionEvaluation="1" codeName="Sheet42">
    <pageSetUpPr fitToPage="1"/>
  </sheetPr>
  <dimension ref="A1:F121"/>
  <sheetViews>
    <sheetView defaultGridColor="0" colorId="22" zoomScaleNormal="100" workbookViewId="0">
      <selection activeCell="C46" sqref="C46"/>
    </sheetView>
  </sheetViews>
  <sheetFormatPr defaultColWidth="9.77734375" defaultRowHeight="15"/>
  <cols>
    <col min="1" max="1" width="4.77734375" customWidth="1"/>
    <col min="2" max="2" width="30.77734375" customWidth="1"/>
    <col min="3" max="3" width="20.6640625" customWidth="1"/>
    <col min="4" max="4" width="22.77734375" customWidth="1"/>
    <col min="5" max="5" width="27.109375" customWidth="1"/>
  </cols>
  <sheetData>
    <row r="1" spans="1:5" ht="15.75" thickBot="1">
      <c r="A1" s="86" t="str">
        <f>'Data sheet'!A59</f>
        <v>Annual Report of Veolia Water New York, Inc.                                                             Year Ended  December 31, 2023</v>
      </c>
      <c r="B1" s="86"/>
      <c r="C1" s="86"/>
      <c r="D1" s="86"/>
      <c r="E1" s="86"/>
    </row>
    <row r="2" spans="1:5">
      <c r="A2" s="129"/>
      <c r="B2" s="130"/>
      <c r="C2" s="130"/>
      <c r="D2" s="130"/>
      <c r="E2" s="131"/>
    </row>
    <row r="3" spans="1:5" ht="15.75">
      <c r="A3" s="118" t="s">
        <v>3981</v>
      </c>
      <c r="B3" s="5"/>
      <c r="C3" s="5"/>
      <c r="D3" s="5"/>
      <c r="E3" s="132"/>
    </row>
    <row r="4" spans="1:5" ht="15.75">
      <c r="A4" s="118" t="s">
        <v>3982</v>
      </c>
      <c r="B4" s="5"/>
      <c r="C4" s="5"/>
      <c r="D4" s="5"/>
      <c r="E4" s="132"/>
    </row>
    <row r="5" spans="1:5">
      <c r="A5" s="488" t="s">
        <v>3983</v>
      </c>
      <c r="B5" s="5"/>
      <c r="C5" s="5"/>
      <c r="D5" s="5"/>
      <c r="E5" s="132"/>
    </row>
    <row r="6" spans="1:5">
      <c r="A6" s="499"/>
      <c r="B6" s="133"/>
      <c r="C6" s="133"/>
      <c r="D6" s="133"/>
      <c r="E6" s="500"/>
    </row>
    <row r="7" spans="1:5">
      <c r="A7" s="1112" t="s">
        <v>3984</v>
      </c>
      <c r="B7" s="90"/>
      <c r="C7" s="90"/>
      <c r="D7" s="1113" t="s">
        <v>2487</v>
      </c>
      <c r="E7" s="93"/>
    </row>
    <row r="8" spans="1:5">
      <c r="A8" s="1114" t="s">
        <v>1065</v>
      </c>
      <c r="B8" s="86"/>
      <c r="C8" s="86"/>
      <c r="D8" s="108" t="s">
        <v>1560</v>
      </c>
      <c r="E8" s="87"/>
    </row>
    <row r="9" spans="1:5">
      <c r="A9" s="1114" t="s">
        <v>2668</v>
      </c>
      <c r="B9" s="86"/>
      <c r="C9" s="86"/>
      <c r="D9" s="108" t="s">
        <v>2669</v>
      </c>
      <c r="E9" s="87"/>
    </row>
    <row r="10" spans="1:5">
      <c r="A10" s="1114" t="s">
        <v>2670</v>
      </c>
      <c r="B10" s="86"/>
      <c r="C10" s="86"/>
      <c r="D10" s="108" t="s">
        <v>2671</v>
      </c>
      <c r="E10" s="87"/>
    </row>
    <row r="11" spans="1:5">
      <c r="A11" s="1114" t="s">
        <v>2672</v>
      </c>
      <c r="B11" s="86"/>
      <c r="C11" s="86"/>
      <c r="D11" s="108" t="s">
        <v>2673</v>
      </c>
      <c r="E11" s="87"/>
    </row>
    <row r="12" spans="1:5">
      <c r="A12" s="1114" t="s">
        <v>2674</v>
      </c>
      <c r="B12" s="86"/>
      <c r="C12" s="86"/>
      <c r="D12" s="108" t="s">
        <v>2675</v>
      </c>
      <c r="E12" s="87"/>
    </row>
    <row r="13" spans="1:5">
      <c r="A13" s="1115" t="s">
        <v>2676</v>
      </c>
      <c r="B13" s="98"/>
      <c r="C13" s="98"/>
      <c r="D13" s="781" t="s">
        <v>2677</v>
      </c>
      <c r="E13" s="101"/>
    </row>
    <row r="14" spans="1:5">
      <c r="A14" s="480" t="s">
        <v>1727</v>
      </c>
      <c r="B14" s="90" t="s">
        <v>2678</v>
      </c>
      <c r="C14" s="90"/>
      <c r="D14" s="995" t="s">
        <v>2679</v>
      </c>
      <c r="E14" s="719" t="s">
        <v>1291</v>
      </c>
    </row>
    <row r="15" spans="1:5">
      <c r="A15" s="240" t="s">
        <v>1739</v>
      </c>
      <c r="B15" s="98" t="s">
        <v>2680</v>
      </c>
      <c r="C15" s="98"/>
      <c r="D15" s="997" t="s">
        <v>3280</v>
      </c>
      <c r="E15" s="424" t="s">
        <v>3281</v>
      </c>
    </row>
    <row r="16" spans="1:5">
      <c r="A16" s="480">
        <v>1</v>
      </c>
      <c r="B16" s="239" t="s">
        <v>2688</v>
      </c>
      <c r="C16" s="86"/>
      <c r="D16" s="508"/>
      <c r="E16" s="427"/>
    </row>
    <row r="17" spans="1:5">
      <c r="A17" s="237">
        <v>2</v>
      </c>
      <c r="B17" s="86"/>
      <c r="C17" s="86"/>
      <c r="D17" s="508"/>
      <c r="E17" s="435"/>
    </row>
    <row r="18" spans="1:5">
      <c r="A18" s="237">
        <v>3</v>
      </c>
      <c r="B18" s="86"/>
      <c r="C18" s="86"/>
      <c r="D18" s="508"/>
      <c r="E18" s="427"/>
    </row>
    <row r="19" spans="1:5">
      <c r="A19" s="237">
        <v>4</v>
      </c>
      <c r="B19" s="86"/>
      <c r="C19" s="86"/>
      <c r="D19" s="508"/>
      <c r="E19" s="427"/>
    </row>
    <row r="20" spans="1:5">
      <c r="A20" s="237">
        <v>5</v>
      </c>
      <c r="B20" s="86"/>
      <c r="C20" s="86"/>
      <c r="D20" s="508"/>
      <c r="E20" s="427"/>
    </row>
    <row r="21" spans="1:5">
      <c r="A21" s="237">
        <v>6</v>
      </c>
      <c r="B21" s="94" t="s">
        <v>1672</v>
      </c>
      <c r="C21" s="86"/>
      <c r="D21" s="382">
        <f>SUM(D17:D20)</f>
        <v>0</v>
      </c>
      <c r="E21" s="379">
        <f>SUM(E17:E20)</f>
        <v>0</v>
      </c>
    </row>
    <row r="22" spans="1:5">
      <c r="A22" s="237">
        <v>7</v>
      </c>
      <c r="B22" s="86"/>
      <c r="C22" s="86"/>
      <c r="D22" s="508"/>
      <c r="E22" s="427"/>
    </row>
    <row r="23" spans="1:5">
      <c r="A23" s="237">
        <v>8</v>
      </c>
      <c r="B23" s="239" t="s">
        <v>468</v>
      </c>
      <c r="C23" s="86"/>
      <c r="D23" s="508"/>
      <c r="E23" s="427"/>
    </row>
    <row r="24" spans="1:5">
      <c r="A24" s="237">
        <v>9</v>
      </c>
      <c r="B24" s="86"/>
      <c r="C24" s="86"/>
      <c r="D24" s="508"/>
      <c r="E24" s="435"/>
    </row>
    <row r="25" spans="1:5">
      <c r="A25" s="237">
        <v>10</v>
      </c>
      <c r="B25" s="86"/>
      <c r="C25" s="86"/>
      <c r="D25" s="508"/>
      <c r="E25" s="427"/>
    </row>
    <row r="26" spans="1:5">
      <c r="A26" s="237">
        <v>11</v>
      </c>
      <c r="B26" s="86"/>
      <c r="C26" s="86"/>
      <c r="D26" s="508"/>
      <c r="E26" s="427"/>
    </row>
    <row r="27" spans="1:5">
      <c r="A27" s="237">
        <v>12</v>
      </c>
      <c r="B27" s="86"/>
      <c r="C27" s="86"/>
      <c r="D27" s="508"/>
      <c r="E27" s="427"/>
    </row>
    <row r="28" spans="1:5">
      <c r="A28" s="237">
        <v>13</v>
      </c>
      <c r="B28" s="94" t="s">
        <v>1672</v>
      </c>
      <c r="C28" s="86"/>
      <c r="D28" s="382">
        <f>SUM(D24:D27)</f>
        <v>0</v>
      </c>
      <c r="E28" s="379">
        <f>SUM(E24:E27)</f>
        <v>0</v>
      </c>
    </row>
    <row r="29" spans="1:5">
      <c r="A29" s="237">
        <v>14</v>
      </c>
      <c r="B29" s="86"/>
      <c r="C29" s="86"/>
      <c r="D29" s="508"/>
      <c r="E29" s="427"/>
    </row>
    <row r="30" spans="1:5">
      <c r="A30" s="237">
        <v>15</v>
      </c>
      <c r="B30" s="239" t="s">
        <v>469</v>
      </c>
      <c r="C30" s="86"/>
      <c r="D30" s="508"/>
      <c r="E30" s="427"/>
    </row>
    <row r="31" spans="1:5">
      <c r="A31" s="237">
        <v>16</v>
      </c>
      <c r="B31" s="86"/>
      <c r="C31" s="86"/>
      <c r="D31" s="508"/>
      <c r="E31" s="435"/>
    </row>
    <row r="32" spans="1:5">
      <c r="A32" s="237">
        <v>17</v>
      </c>
      <c r="B32" s="86"/>
      <c r="C32" s="86"/>
      <c r="D32" s="508"/>
      <c r="E32" s="427"/>
    </row>
    <row r="33" spans="1:5">
      <c r="A33" s="237">
        <v>18</v>
      </c>
      <c r="B33" s="86"/>
      <c r="C33" s="86"/>
      <c r="D33" s="508"/>
      <c r="E33" s="427"/>
    </row>
    <row r="34" spans="1:5">
      <c r="A34" s="237">
        <v>19</v>
      </c>
      <c r="B34" s="86"/>
      <c r="C34" s="86"/>
      <c r="D34" s="508"/>
      <c r="E34" s="427"/>
    </row>
    <row r="35" spans="1:5">
      <c r="A35" s="237">
        <v>20</v>
      </c>
      <c r="B35" s="94" t="s">
        <v>1672</v>
      </c>
      <c r="C35" s="86"/>
      <c r="D35" s="382">
        <f>SUM(D31:D34)</f>
        <v>0</v>
      </c>
      <c r="E35" s="379">
        <f>SUM(E31:E34)</f>
        <v>0</v>
      </c>
    </row>
    <row r="36" spans="1:5">
      <c r="A36" s="237">
        <v>21</v>
      </c>
      <c r="B36" s="86"/>
      <c r="C36" s="86"/>
      <c r="D36" s="508"/>
      <c r="E36" s="427"/>
    </row>
    <row r="37" spans="1:5">
      <c r="A37" s="237">
        <v>22</v>
      </c>
      <c r="B37" s="239" t="s">
        <v>1861</v>
      </c>
      <c r="C37" s="86"/>
      <c r="D37" s="508"/>
      <c r="E37" s="427"/>
    </row>
    <row r="38" spans="1:5">
      <c r="A38" s="237">
        <v>23</v>
      </c>
      <c r="B38" s="86"/>
      <c r="C38" s="86"/>
      <c r="D38" s="508"/>
      <c r="E38" s="435"/>
    </row>
    <row r="39" spans="1:5">
      <c r="A39" s="237">
        <v>24</v>
      </c>
      <c r="B39" s="86"/>
      <c r="C39" s="86"/>
      <c r="D39" s="508"/>
      <c r="E39" s="427"/>
    </row>
    <row r="40" spans="1:5">
      <c r="A40" s="237">
        <v>25</v>
      </c>
      <c r="B40" s="86"/>
      <c r="C40" s="86"/>
      <c r="D40" s="508"/>
      <c r="E40" s="427"/>
    </row>
    <row r="41" spans="1:5">
      <c r="A41" s="237">
        <v>26</v>
      </c>
      <c r="B41" s="86"/>
      <c r="C41" s="86"/>
      <c r="D41" s="508"/>
      <c r="E41" s="427"/>
    </row>
    <row r="42" spans="1:5">
      <c r="A42" s="237">
        <v>27</v>
      </c>
      <c r="B42" s="94" t="s">
        <v>1672</v>
      </c>
      <c r="C42" s="86"/>
      <c r="D42" s="382">
        <f>SUM(D38:D41)</f>
        <v>0</v>
      </c>
      <c r="E42" s="379">
        <f>SUM(E38:E41)</f>
        <v>0</v>
      </c>
    </row>
    <row r="43" spans="1:5">
      <c r="A43" s="237">
        <v>28</v>
      </c>
      <c r="B43" s="86"/>
      <c r="C43" s="86"/>
      <c r="D43" s="508"/>
      <c r="E43" s="427"/>
    </row>
    <row r="44" spans="1:5">
      <c r="A44" s="237">
        <v>29</v>
      </c>
      <c r="B44" s="239" t="s">
        <v>1862</v>
      </c>
      <c r="C44" s="86"/>
      <c r="D44" s="508"/>
      <c r="E44" s="427"/>
    </row>
    <row r="45" spans="1:5">
      <c r="A45" s="237">
        <v>30</v>
      </c>
      <c r="B45" s="86"/>
      <c r="C45" s="86"/>
      <c r="D45" s="508"/>
      <c r="E45" s="435"/>
    </row>
    <row r="46" spans="1:5">
      <c r="A46" s="237">
        <v>31</v>
      </c>
      <c r="B46" s="86"/>
      <c r="C46" s="86"/>
      <c r="D46" s="508"/>
      <c r="E46" s="427"/>
    </row>
    <row r="47" spans="1:5">
      <c r="A47" s="237">
        <v>32</v>
      </c>
      <c r="B47" s="94" t="s">
        <v>2152</v>
      </c>
      <c r="C47" s="86"/>
      <c r="D47" s="1532">
        <v>47781</v>
      </c>
      <c r="E47" s="1531">
        <v>6286958</v>
      </c>
    </row>
    <row r="48" spans="1:5">
      <c r="A48" s="237">
        <v>33</v>
      </c>
      <c r="B48" s="86"/>
      <c r="C48" s="86"/>
      <c r="D48" s="508"/>
      <c r="E48" s="427"/>
    </row>
    <row r="49" spans="1:6">
      <c r="A49" s="237">
        <v>34</v>
      </c>
      <c r="B49" s="86"/>
      <c r="C49" s="86"/>
      <c r="D49" s="508"/>
      <c r="E49" s="427"/>
    </row>
    <row r="50" spans="1:6">
      <c r="A50" s="237">
        <v>35</v>
      </c>
      <c r="B50" s="86"/>
      <c r="C50" s="86"/>
      <c r="D50" s="508"/>
      <c r="E50" s="427"/>
    </row>
    <row r="51" spans="1:6">
      <c r="A51" s="237">
        <v>36</v>
      </c>
      <c r="B51" s="94" t="s">
        <v>1672</v>
      </c>
      <c r="C51" s="86"/>
      <c r="D51" s="382">
        <f>SUM(D45:D50)</f>
        <v>47781</v>
      </c>
      <c r="E51" s="379">
        <f>SUM(E45:E50)</f>
        <v>6286958</v>
      </c>
      <c r="F51" t="str">
        <f>IF(E51='114115'!F71,"ok","error")</f>
        <v>ok</v>
      </c>
    </row>
    <row r="52" spans="1:6">
      <c r="A52" s="237">
        <v>37</v>
      </c>
      <c r="B52" s="86"/>
      <c r="C52" s="86"/>
      <c r="D52" s="508"/>
      <c r="E52" s="427"/>
    </row>
    <row r="53" spans="1:6">
      <c r="A53" s="237">
        <v>38</v>
      </c>
      <c r="B53" s="239" t="s">
        <v>1863</v>
      </c>
      <c r="C53" s="86"/>
      <c r="D53" s="508"/>
      <c r="E53" s="427"/>
    </row>
    <row r="54" spans="1:6">
      <c r="A54" s="237">
        <v>39</v>
      </c>
      <c r="B54" s="86"/>
      <c r="C54" s="86"/>
      <c r="D54" s="508"/>
      <c r="E54" s="435"/>
    </row>
    <row r="55" spans="1:6">
      <c r="A55" s="237">
        <v>40</v>
      </c>
      <c r="B55" s="86"/>
      <c r="C55" s="86"/>
      <c r="D55" s="508"/>
      <c r="E55" s="427"/>
    </row>
    <row r="56" spans="1:6">
      <c r="A56" s="237">
        <v>41</v>
      </c>
      <c r="B56" s="86"/>
      <c r="C56" s="86"/>
      <c r="D56" s="508"/>
      <c r="E56" s="427"/>
    </row>
    <row r="57" spans="1:6">
      <c r="A57" s="237">
        <v>42</v>
      </c>
      <c r="B57" s="86"/>
      <c r="C57" s="86"/>
      <c r="D57" s="508"/>
      <c r="E57" s="427" t="s">
        <v>218</v>
      </c>
    </row>
    <row r="58" spans="1:6">
      <c r="A58" s="237">
        <v>43</v>
      </c>
      <c r="B58" s="86"/>
      <c r="C58" s="86"/>
      <c r="D58" s="508"/>
      <c r="E58" s="427"/>
    </row>
    <row r="59" spans="1:6">
      <c r="A59" s="237">
        <v>44</v>
      </c>
      <c r="B59" s="86"/>
      <c r="C59" s="86"/>
      <c r="D59" s="508"/>
      <c r="E59" s="427"/>
    </row>
    <row r="60" spans="1:6">
      <c r="A60" s="240">
        <v>45</v>
      </c>
      <c r="B60" s="86"/>
      <c r="C60" s="86"/>
      <c r="D60" s="508"/>
      <c r="E60" s="427"/>
    </row>
    <row r="61" spans="1:6" ht="15.75" thickBot="1">
      <c r="A61" s="443">
        <v>46</v>
      </c>
      <c r="B61" s="1116" t="s">
        <v>1864</v>
      </c>
      <c r="C61" s="113"/>
      <c r="D61" s="722">
        <f>SUM(D54:D60)</f>
        <v>0</v>
      </c>
      <c r="E61" s="401">
        <f>SUM(E54:E60)</f>
        <v>0</v>
      </c>
    </row>
    <row r="62" spans="1:6">
      <c r="A62" s="86" t="s">
        <v>2024</v>
      </c>
      <c r="B62" s="86"/>
      <c r="C62" s="86"/>
      <c r="D62" s="86"/>
      <c r="E62" s="86"/>
    </row>
    <row r="63" spans="1:6">
      <c r="A63" s="5" t="s">
        <v>1865</v>
      </c>
      <c r="B63" s="5"/>
      <c r="C63" s="5"/>
      <c r="D63" s="5"/>
      <c r="E63" s="5"/>
    </row>
    <row r="64" spans="1:6">
      <c r="A64" s="86"/>
      <c r="B64" s="86"/>
      <c r="C64" s="86"/>
      <c r="D64" s="86"/>
      <c r="E64" s="86"/>
    </row>
    <row r="65" spans="1:5">
      <c r="A65" s="86"/>
      <c r="B65" s="86"/>
      <c r="C65" s="86"/>
      <c r="D65" s="86"/>
      <c r="E65" s="86"/>
    </row>
    <row r="66" spans="1:5">
      <c r="A66" s="86"/>
      <c r="B66" s="86"/>
      <c r="C66" s="86"/>
      <c r="D66" s="86"/>
      <c r="E66" s="86"/>
    </row>
    <row r="67" spans="1:5">
      <c r="A67" s="86"/>
      <c r="B67" s="86"/>
      <c r="C67" s="86"/>
      <c r="D67" s="86"/>
      <c r="E67" s="86"/>
    </row>
    <row r="68" spans="1:5">
      <c r="A68" s="86"/>
      <c r="B68" s="86"/>
      <c r="C68" s="86"/>
      <c r="D68" s="86"/>
      <c r="E68" s="86"/>
    </row>
    <row r="69" spans="1:5">
      <c r="A69" s="86"/>
      <c r="B69" s="86"/>
      <c r="C69" s="86"/>
      <c r="D69" s="86"/>
      <c r="E69" s="86"/>
    </row>
    <row r="70" spans="1:5">
      <c r="A70" s="86"/>
      <c r="B70" s="86"/>
      <c r="C70" s="86"/>
      <c r="D70" s="86"/>
      <c r="E70" s="86"/>
    </row>
    <row r="71" spans="1:5">
      <c r="A71" s="86"/>
      <c r="B71" s="86"/>
      <c r="C71" s="86"/>
      <c r="D71" s="86"/>
      <c r="E71" s="86"/>
    </row>
    <row r="72" spans="1:5">
      <c r="A72" s="86"/>
      <c r="B72" s="86"/>
      <c r="C72" s="86"/>
      <c r="D72" s="86"/>
      <c r="E72" s="86"/>
    </row>
    <row r="73" spans="1:5">
      <c r="A73" s="86"/>
      <c r="B73" s="86"/>
      <c r="C73" s="86"/>
      <c r="D73" s="86"/>
      <c r="E73" s="86"/>
    </row>
    <row r="74" spans="1:5">
      <c r="A74" s="86"/>
      <c r="B74" s="86"/>
      <c r="C74" s="86"/>
      <c r="D74" s="86"/>
      <c r="E74" s="86"/>
    </row>
    <row r="75" spans="1:5">
      <c r="A75" s="86"/>
      <c r="B75" s="86"/>
      <c r="C75" s="86"/>
      <c r="D75" s="86"/>
      <c r="E75" s="86"/>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6"/>
      <c r="B84" s="86"/>
      <c r="C84" s="86"/>
      <c r="D84" s="86"/>
      <c r="E84" s="86"/>
    </row>
    <row r="85" spans="1:5">
      <c r="A85" s="86"/>
      <c r="B85" s="86"/>
      <c r="C85" s="86"/>
      <c r="D85" s="86"/>
      <c r="E85" s="86"/>
    </row>
    <row r="86" spans="1:5">
      <c r="A86" s="86"/>
      <c r="B86" s="86"/>
      <c r="C86" s="86"/>
      <c r="D86" s="86"/>
      <c r="E86" s="86"/>
    </row>
    <row r="87" spans="1:5">
      <c r="A87" s="86"/>
      <c r="B87" s="86"/>
      <c r="C87" s="86"/>
      <c r="D87" s="86"/>
      <c r="E87" s="86"/>
    </row>
    <row r="88" spans="1:5">
      <c r="A88" s="86"/>
      <c r="B88" s="86"/>
      <c r="C88" s="86"/>
      <c r="D88" s="86"/>
      <c r="E88" s="86"/>
    </row>
    <row r="89" spans="1:5">
      <c r="A89" s="86"/>
      <c r="B89" s="86"/>
      <c r="C89" s="86"/>
      <c r="D89" s="86"/>
      <c r="E89" s="86"/>
    </row>
    <row r="90" spans="1:5">
      <c r="A90" s="86"/>
      <c r="B90" s="86"/>
      <c r="C90" s="86"/>
      <c r="D90" s="86"/>
      <c r="E90" s="86"/>
    </row>
    <row r="91" spans="1:5">
      <c r="A91" s="86"/>
      <c r="B91" s="86"/>
      <c r="C91" s="86"/>
      <c r="D91" s="86"/>
      <c r="E91" s="86"/>
    </row>
    <row r="92" spans="1:5">
      <c r="A92" s="86"/>
      <c r="B92" s="86"/>
      <c r="C92" s="86"/>
      <c r="D92" s="86"/>
      <c r="E92" s="86"/>
    </row>
    <row r="93" spans="1:5">
      <c r="A93" s="86"/>
      <c r="B93" s="86"/>
      <c r="C93" s="86"/>
      <c r="D93" s="86"/>
      <c r="E93" s="86"/>
    </row>
    <row r="94" spans="1:5">
      <c r="A94" s="86"/>
      <c r="B94" s="86"/>
      <c r="C94" s="86"/>
      <c r="D94" s="86"/>
      <c r="E94" s="86"/>
    </row>
    <row r="95" spans="1:5">
      <c r="A95" s="86"/>
      <c r="B95" s="86"/>
      <c r="C95" s="86"/>
      <c r="D95" s="86"/>
      <c r="E95" s="86"/>
    </row>
    <row r="96" spans="1:5">
      <c r="A96" s="86"/>
      <c r="B96" s="86"/>
      <c r="C96" s="86"/>
      <c r="D96" s="86"/>
      <c r="E96" s="86"/>
    </row>
    <row r="97" spans="1:5">
      <c r="A97" s="86"/>
      <c r="B97" s="86"/>
      <c r="C97" s="86"/>
      <c r="D97" s="86"/>
      <c r="E97" s="86"/>
    </row>
    <row r="98" spans="1:5">
      <c r="A98" s="86"/>
      <c r="B98" s="86"/>
      <c r="C98" s="86"/>
      <c r="D98" s="86"/>
      <c r="E98" s="86"/>
    </row>
    <row r="99" spans="1:5">
      <c r="A99" s="86"/>
      <c r="B99" s="86"/>
      <c r="C99" s="86"/>
      <c r="D99" s="86"/>
      <c r="E99" s="86"/>
    </row>
    <row r="100" spans="1:5">
      <c r="A100" s="86"/>
      <c r="B100" s="86"/>
      <c r="C100" s="86"/>
      <c r="D100" s="86"/>
      <c r="E100" s="86"/>
    </row>
    <row r="101" spans="1:5">
      <c r="A101" s="86"/>
      <c r="B101" s="86"/>
      <c r="C101" s="86"/>
      <c r="D101" s="86"/>
      <c r="E101" s="86"/>
    </row>
    <row r="102" spans="1:5">
      <c r="A102" s="86"/>
      <c r="B102" s="86"/>
      <c r="C102" s="86"/>
      <c r="D102" s="86"/>
      <c r="E102" s="86"/>
    </row>
    <row r="103" spans="1:5">
      <c r="A103" s="86"/>
      <c r="B103" s="86"/>
      <c r="C103" s="86"/>
      <c r="D103" s="86"/>
      <c r="E103" s="86"/>
    </row>
    <row r="104" spans="1:5">
      <c r="A104" s="86"/>
      <c r="B104" s="86"/>
      <c r="C104" s="86"/>
      <c r="D104" s="86"/>
      <c r="E104" s="86"/>
    </row>
    <row r="105" spans="1:5">
      <c r="A105" s="86"/>
      <c r="B105" s="86"/>
      <c r="C105" s="86"/>
      <c r="D105" s="86"/>
      <c r="E105" s="86"/>
    </row>
    <row r="106" spans="1:5">
      <c r="A106" s="86"/>
      <c r="B106" s="86"/>
      <c r="C106" s="86"/>
      <c r="D106" s="86"/>
      <c r="E106" s="86"/>
    </row>
    <row r="107" spans="1:5">
      <c r="A107" s="86"/>
      <c r="B107" s="86"/>
      <c r="C107" s="86"/>
      <c r="D107" s="86"/>
      <c r="E107" s="86"/>
    </row>
    <row r="108" spans="1:5">
      <c r="A108" s="86"/>
      <c r="B108" s="86"/>
      <c r="C108" s="86"/>
      <c r="D108" s="86"/>
      <c r="E108" s="86"/>
    </row>
    <row r="109" spans="1:5">
      <c r="A109" s="86"/>
      <c r="B109" s="86"/>
      <c r="C109" s="86"/>
      <c r="D109" s="86"/>
      <c r="E109" s="86"/>
    </row>
    <row r="110" spans="1:5">
      <c r="A110" s="86"/>
      <c r="B110" s="86"/>
      <c r="C110" s="86"/>
      <c r="D110" s="86"/>
      <c r="E110" s="86"/>
    </row>
    <row r="111" spans="1:5">
      <c r="A111" s="86"/>
      <c r="B111" s="86"/>
      <c r="C111" s="86"/>
      <c r="D111" s="86"/>
      <c r="E111" s="86"/>
    </row>
    <row r="112" spans="1:5">
      <c r="A112" s="86"/>
      <c r="B112" s="86"/>
      <c r="C112" s="86"/>
      <c r="D112" s="86"/>
      <c r="E112" s="86"/>
    </row>
    <row r="113" spans="1:5">
      <c r="A113" s="86"/>
      <c r="B113" s="86"/>
      <c r="C113" s="86"/>
      <c r="D113" s="86"/>
      <c r="E113" s="86"/>
    </row>
    <row r="114" spans="1:5">
      <c r="A114" s="86"/>
      <c r="B114" s="86"/>
      <c r="C114" s="86"/>
      <c r="D114" s="86"/>
      <c r="E114" s="86"/>
    </row>
    <row r="115" spans="1:5">
      <c r="A115" s="86"/>
      <c r="B115" s="86"/>
      <c r="C115" s="86"/>
      <c r="D115" s="86"/>
      <c r="E115" s="86"/>
    </row>
    <row r="116" spans="1:5">
      <c r="A116" s="86"/>
      <c r="B116" s="86"/>
      <c r="C116" s="86"/>
      <c r="D116" s="86"/>
      <c r="E116" s="86"/>
    </row>
    <row r="117" spans="1:5">
      <c r="A117" s="86"/>
      <c r="B117" s="86"/>
      <c r="C117" s="86"/>
      <c r="D117" s="86"/>
      <c r="E117" s="86"/>
    </row>
    <row r="118" spans="1:5">
      <c r="A118" s="86"/>
      <c r="B118" s="86"/>
      <c r="C118" s="86"/>
      <c r="D118" s="86"/>
      <c r="E118" s="86"/>
    </row>
    <row r="119" spans="1:5">
      <c r="A119" s="86"/>
      <c r="B119" s="86"/>
      <c r="C119" s="86"/>
      <c r="D119" s="86"/>
      <c r="E119" s="86"/>
    </row>
    <row r="120" spans="1:5">
      <c r="A120" s="86"/>
      <c r="B120" s="86"/>
      <c r="C120" s="86"/>
      <c r="D120" s="86"/>
      <c r="E120" s="86"/>
    </row>
    <row r="121" spans="1:5">
      <c r="A121" s="86"/>
      <c r="B121" s="86"/>
      <c r="C121" s="86"/>
      <c r="D121" s="86"/>
      <c r="E121" s="86"/>
    </row>
  </sheetData>
  <phoneticPr fontId="0" type="noConversion"/>
  <pageMargins left="0.4" right="0.4" top="0.3" bottom="0.3" header="0.5" footer="0.5"/>
  <pageSetup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4"/>
  <dimension ref="A1:E71"/>
  <sheetViews>
    <sheetView defaultGridColor="0" topLeftCell="A34" colorId="22" zoomScaleNormal="100" workbookViewId="0">
      <selection activeCell="R36" sqref="R36"/>
    </sheetView>
  </sheetViews>
  <sheetFormatPr defaultColWidth="9.77734375" defaultRowHeight="15"/>
  <cols>
    <col min="1" max="1" width="2.77734375" customWidth="1"/>
    <col min="2" max="2" width="2.77734375" style="1989" customWidth="1"/>
    <col min="3" max="3" width="69.6640625" style="1989" customWidth="1"/>
    <col min="4" max="5" width="9.77734375" style="1989"/>
  </cols>
  <sheetData>
    <row r="1" spans="1:5" ht="15.75" thickBot="1">
      <c r="B1" s="1989" t="s">
        <v>218</v>
      </c>
      <c r="C1" s="2001"/>
      <c r="D1" s="1996" t="s">
        <v>218</v>
      </c>
    </row>
    <row r="2" spans="1:5">
      <c r="B2" s="2002"/>
      <c r="C2" s="2003"/>
      <c r="D2" s="2003"/>
      <c r="E2" s="2004"/>
    </row>
    <row r="3" spans="1:5">
      <c r="A3" t="s">
        <v>218</v>
      </c>
      <c r="B3" s="2005" t="s">
        <v>218</v>
      </c>
      <c r="C3" s="1989" t="s">
        <v>218</v>
      </c>
      <c r="E3" s="2006"/>
    </row>
    <row r="4" spans="1:5" ht="15.75">
      <c r="B4" s="2849" t="s">
        <v>2025</v>
      </c>
      <c r="C4" s="2850"/>
      <c r="D4" s="2850"/>
      <c r="E4" s="2851"/>
    </row>
    <row r="5" spans="1:5">
      <c r="B5" s="2005"/>
      <c r="E5" s="2006"/>
    </row>
    <row r="6" spans="1:5" ht="15.75" thickBot="1">
      <c r="B6" s="2007"/>
      <c r="C6" s="2008"/>
      <c r="D6" s="2008"/>
      <c r="E6" s="2009"/>
    </row>
    <row r="7" spans="1:5">
      <c r="B7" s="2002"/>
      <c r="C7" s="2003"/>
      <c r="D7" s="2003"/>
      <c r="E7" s="2004"/>
    </row>
    <row r="8" spans="1:5">
      <c r="A8" s="86"/>
      <c r="B8" s="2005" t="s">
        <v>2026</v>
      </c>
      <c r="E8" s="2006"/>
    </row>
    <row r="9" spans="1:5">
      <c r="A9" s="86"/>
      <c r="B9" s="2005"/>
      <c r="C9" s="1989" t="s">
        <v>1220</v>
      </c>
      <c r="E9" s="2006"/>
    </row>
    <row r="10" spans="1:5">
      <c r="A10" s="86"/>
      <c r="B10" s="2005"/>
      <c r="C10" s="1989" t="s">
        <v>1221</v>
      </c>
      <c r="E10" s="2006"/>
    </row>
    <row r="11" spans="1:5">
      <c r="A11" s="86"/>
      <c r="B11" s="2005"/>
      <c r="C11" s="1989" t="s">
        <v>1222</v>
      </c>
      <c r="E11" s="2006"/>
    </row>
    <row r="12" spans="1:5">
      <c r="A12" s="86"/>
      <c r="B12" s="2005"/>
      <c r="E12" s="2006"/>
    </row>
    <row r="13" spans="1:5">
      <c r="A13" s="86"/>
      <c r="B13" s="2005" t="s">
        <v>1223</v>
      </c>
      <c r="E13" s="2006"/>
    </row>
    <row r="14" spans="1:5">
      <c r="A14" s="86"/>
      <c r="B14" s="2005"/>
      <c r="C14" s="1989" t="s">
        <v>2360</v>
      </c>
      <c r="E14" s="2006"/>
    </row>
    <row r="15" spans="1:5">
      <c r="A15" s="86"/>
      <c r="B15" s="2005"/>
      <c r="C15" s="1989" t="s">
        <v>1172</v>
      </c>
      <c r="E15" s="2006"/>
    </row>
    <row r="16" spans="1:5">
      <c r="A16" s="86"/>
      <c r="B16" s="2005"/>
      <c r="C16" s="1989" t="s">
        <v>3192</v>
      </c>
      <c r="E16" s="2006"/>
    </row>
    <row r="17" spans="1:5">
      <c r="A17" s="86"/>
      <c r="B17" s="2005"/>
      <c r="E17" s="2006"/>
    </row>
    <row r="18" spans="1:5">
      <c r="A18" s="86"/>
      <c r="B18" s="2005" t="s">
        <v>3964</v>
      </c>
      <c r="E18" s="2006"/>
    </row>
    <row r="19" spans="1:5">
      <c r="A19" s="86"/>
      <c r="B19" s="2005"/>
      <c r="C19" s="1989" t="s">
        <v>2666</v>
      </c>
      <c r="E19" s="2006"/>
    </row>
    <row r="20" spans="1:5">
      <c r="A20" s="86"/>
      <c r="B20" s="2005"/>
      <c r="C20" s="1989" t="s">
        <v>3595</v>
      </c>
      <c r="E20" s="2006"/>
    </row>
    <row r="21" spans="1:5">
      <c r="A21" s="86"/>
      <c r="B21" s="2005"/>
      <c r="E21" s="2006"/>
    </row>
    <row r="22" spans="1:5">
      <c r="A22" s="86"/>
      <c r="B22" s="2005" t="s">
        <v>3596</v>
      </c>
      <c r="E22" s="2006"/>
    </row>
    <row r="23" spans="1:5">
      <c r="A23" s="86"/>
      <c r="B23" s="2005"/>
      <c r="C23" s="1989" t="s">
        <v>3597</v>
      </c>
      <c r="E23" s="2006"/>
    </row>
    <row r="24" spans="1:5">
      <c r="A24" s="86"/>
      <c r="B24" s="2005"/>
      <c r="C24" s="1989" t="s">
        <v>3835</v>
      </c>
      <c r="E24" s="2006"/>
    </row>
    <row r="25" spans="1:5">
      <c r="A25" s="86"/>
      <c r="B25" s="2005"/>
      <c r="C25" s="1989" t="s">
        <v>19</v>
      </c>
      <c r="E25" s="2006"/>
    </row>
    <row r="26" spans="1:5">
      <c r="A26" s="86"/>
      <c r="B26" s="2005"/>
      <c r="C26" s="1989" t="s">
        <v>20</v>
      </c>
      <c r="E26" s="2006"/>
    </row>
    <row r="27" spans="1:5">
      <c r="A27" s="86"/>
      <c r="B27" s="2005"/>
      <c r="C27" s="1989" t="s">
        <v>21</v>
      </c>
      <c r="E27" s="2006"/>
    </row>
    <row r="28" spans="1:5">
      <c r="A28" s="86"/>
      <c r="B28" s="2005"/>
      <c r="C28" s="1989" t="s">
        <v>22</v>
      </c>
      <c r="E28" s="2006"/>
    </row>
    <row r="29" spans="1:5">
      <c r="A29" s="86"/>
      <c r="B29" s="2005"/>
      <c r="E29" s="2006"/>
    </row>
    <row r="30" spans="1:5">
      <c r="A30" s="86"/>
      <c r="B30" s="2005" t="s">
        <v>23</v>
      </c>
      <c r="E30" s="2006"/>
    </row>
    <row r="31" spans="1:5">
      <c r="A31" s="86"/>
      <c r="B31" s="2005"/>
      <c r="C31" s="1989" t="s">
        <v>3985</v>
      </c>
      <c r="E31" s="2006"/>
    </row>
    <row r="32" spans="1:5">
      <c r="A32" s="86"/>
      <c r="B32" s="2005"/>
      <c r="C32" s="1989" t="s">
        <v>3986</v>
      </c>
      <c r="E32" s="2006"/>
    </row>
    <row r="33" spans="1:5">
      <c r="A33" s="86"/>
      <c r="B33" s="2005"/>
      <c r="C33" s="1989" t="s">
        <v>3987</v>
      </c>
      <c r="E33" s="2006"/>
    </row>
    <row r="34" spans="1:5">
      <c r="A34" s="86"/>
      <c r="B34" s="2005"/>
      <c r="E34" s="2006"/>
    </row>
    <row r="35" spans="1:5">
      <c r="A35" s="86"/>
      <c r="B35" s="2005" t="s">
        <v>3988</v>
      </c>
      <c r="E35" s="2006"/>
    </row>
    <row r="36" spans="1:5">
      <c r="A36" s="86"/>
      <c r="B36" s="2005"/>
      <c r="C36" s="1989" t="s">
        <v>905</v>
      </c>
      <c r="E36" s="2006"/>
    </row>
    <row r="37" spans="1:5">
      <c r="A37" s="86"/>
      <c r="B37" s="2005"/>
      <c r="C37" s="1989" t="s">
        <v>906</v>
      </c>
      <c r="E37" s="2006"/>
    </row>
    <row r="38" spans="1:5">
      <c r="A38" s="86"/>
      <c r="B38" s="2005"/>
      <c r="E38" s="2006"/>
    </row>
    <row r="39" spans="1:5">
      <c r="A39" s="86"/>
      <c r="B39" s="2005" t="s">
        <v>2735</v>
      </c>
      <c r="E39" s="2006"/>
    </row>
    <row r="40" spans="1:5">
      <c r="A40" s="86"/>
      <c r="B40" s="2005"/>
      <c r="C40" s="1989" t="s">
        <v>2736</v>
      </c>
      <c r="E40" s="2006"/>
    </row>
    <row r="41" spans="1:5">
      <c r="A41" s="86"/>
      <c r="B41" s="2005"/>
      <c r="C41" s="1989" t="s">
        <v>4342</v>
      </c>
      <c r="E41" s="2006"/>
    </row>
    <row r="42" spans="1:5">
      <c r="A42" s="86"/>
      <c r="B42" s="2005"/>
      <c r="C42" s="1989" t="s">
        <v>4343</v>
      </c>
      <c r="E42" s="2006"/>
    </row>
    <row r="43" spans="1:5">
      <c r="A43" s="86"/>
      <c r="B43" s="2005"/>
      <c r="E43" s="2006"/>
    </row>
    <row r="44" spans="1:5">
      <c r="A44" s="86"/>
      <c r="B44" s="2005" t="s">
        <v>4344</v>
      </c>
      <c r="E44" s="2006"/>
    </row>
    <row r="45" spans="1:5">
      <c r="A45" s="86"/>
      <c r="B45" s="2005"/>
      <c r="C45" s="1989" t="s">
        <v>2583</v>
      </c>
      <c r="E45" s="2006"/>
    </row>
    <row r="46" spans="1:5">
      <c r="A46" s="86"/>
      <c r="B46" s="2005"/>
      <c r="C46" s="1989" t="s">
        <v>2584</v>
      </c>
      <c r="E46" s="2006"/>
    </row>
    <row r="47" spans="1:5">
      <c r="A47" s="86"/>
      <c r="B47" s="2005"/>
      <c r="E47" s="2006"/>
    </row>
    <row r="48" spans="1:5">
      <c r="A48" s="86"/>
      <c r="B48" s="2005" t="s">
        <v>2585</v>
      </c>
      <c r="E48" s="2006"/>
    </row>
    <row r="49" spans="1:5">
      <c r="A49" s="86"/>
      <c r="B49" s="2005"/>
      <c r="C49" s="1989" t="s">
        <v>2586</v>
      </c>
      <c r="E49" s="2006"/>
    </row>
    <row r="50" spans="1:5">
      <c r="A50" s="86"/>
      <c r="B50" s="2005"/>
      <c r="E50" s="2006"/>
    </row>
    <row r="51" spans="1:5">
      <c r="A51" s="86"/>
      <c r="B51" s="2005" t="s">
        <v>2235</v>
      </c>
      <c r="E51" s="2006"/>
    </row>
    <row r="52" spans="1:5">
      <c r="A52" s="86"/>
      <c r="B52" s="2005"/>
      <c r="C52" s="1989" t="s">
        <v>3231</v>
      </c>
      <c r="E52" s="2006"/>
    </row>
    <row r="53" spans="1:5">
      <c r="A53" s="86"/>
      <c r="B53" s="2005"/>
      <c r="C53" s="1989" t="s">
        <v>3232</v>
      </c>
      <c r="E53" s="2006"/>
    </row>
    <row r="54" spans="1:5">
      <c r="A54" s="86"/>
      <c r="B54" s="2005"/>
      <c r="E54" s="2006"/>
    </row>
    <row r="55" spans="1:5">
      <c r="A55" s="86"/>
      <c r="B55" s="2005"/>
      <c r="E55" s="2006"/>
    </row>
    <row r="56" spans="1:5" ht="15.75" thickBot="1">
      <c r="A56" s="86"/>
      <c r="B56" s="2007"/>
      <c r="C56" s="2008"/>
      <c r="D56" s="2008"/>
      <c r="E56" s="2009"/>
    </row>
    <row r="57" spans="1:5">
      <c r="A57" s="86"/>
      <c r="D57" s="2001" t="s">
        <v>3233</v>
      </c>
    </row>
    <row r="58" spans="1:5">
      <c r="A58" s="40"/>
      <c r="B58" s="2010"/>
      <c r="C58" s="2010"/>
    </row>
    <row r="63" spans="1:5" ht="18">
      <c r="C63" s="2011"/>
    </row>
    <row r="64" spans="1:5" ht="18">
      <c r="C64" s="2011"/>
    </row>
    <row r="65" spans="3:3" ht="18">
      <c r="C65" s="2011"/>
    </row>
    <row r="66" spans="3:3" ht="18">
      <c r="C66" s="2011"/>
    </row>
    <row r="67" spans="3:3" ht="18">
      <c r="C67" s="2011"/>
    </row>
    <row r="68" spans="3:3" ht="18">
      <c r="C68" s="2011"/>
    </row>
    <row r="69" spans="3:3" ht="18">
      <c r="C69" s="2011"/>
    </row>
    <row r="70" spans="3:3" ht="18">
      <c r="C70" s="2011"/>
    </row>
    <row r="71" spans="3:3" ht="18">
      <c r="C71" s="2011"/>
    </row>
  </sheetData>
  <mergeCells count="1">
    <mergeCell ref="B4:E4"/>
  </mergeCells>
  <phoneticPr fontId="0" type="noConversion"/>
  <pageMargins left="0.4" right="0.4" top="0.3" bottom="0.3" header="0.5" footer="0.5"/>
  <pageSetup scale="82"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ransitionEvaluation="1" codeName="Sheet43">
    <pageSetUpPr fitToPage="1"/>
  </sheetPr>
  <dimension ref="A1:F80"/>
  <sheetViews>
    <sheetView defaultGridColor="0" colorId="22" zoomScaleNormal="100" workbookViewId="0">
      <selection activeCell="B44" sqref="B44"/>
    </sheetView>
  </sheetViews>
  <sheetFormatPr defaultColWidth="9.77734375" defaultRowHeight="15"/>
  <cols>
    <col min="1" max="1" width="4.77734375" customWidth="1"/>
    <col min="2" max="2" width="32.44140625" customWidth="1"/>
    <col min="3" max="3" width="20" customWidth="1"/>
    <col min="4" max="4" width="20.77734375" customWidth="1"/>
    <col min="5" max="5" width="15.77734375" customWidth="1"/>
    <col min="6" max="6" width="10.6640625" bestFit="1" customWidth="1"/>
    <col min="7" max="7" width="11.33203125" bestFit="1" customWidth="1"/>
  </cols>
  <sheetData>
    <row r="1" spans="1:5" ht="15.75" thickBot="1">
      <c r="A1" t="str">
        <f>'Data sheet'!A57</f>
        <v>Annual Report of Veolia Water New York, Inc.                                              Year Ended  December 31, 2023</v>
      </c>
    </row>
    <row r="2" spans="1:5">
      <c r="A2" s="80"/>
      <c r="B2" s="81"/>
      <c r="C2" s="81"/>
      <c r="D2" s="81"/>
      <c r="E2" s="82"/>
    </row>
    <row r="3" spans="1:5" ht="15.75">
      <c r="A3" s="118" t="s">
        <v>1866</v>
      </c>
      <c r="B3" s="4"/>
      <c r="C3" s="4"/>
      <c r="D3" s="4"/>
      <c r="E3" s="119"/>
    </row>
    <row r="4" spans="1:5">
      <c r="A4" s="123"/>
      <c r="B4" s="224"/>
      <c r="C4" s="224"/>
      <c r="D4" s="128"/>
      <c r="E4" s="225"/>
    </row>
    <row r="5" spans="1:5">
      <c r="A5" s="83"/>
      <c r="B5" t="s">
        <v>1867</v>
      </c>
      <c r="E5" s="214"/>
    </row>
    <row r="6" spans="1:5">
      <c r="A6" s="83"/>
      <c r="B6" t="s">
        <v>1868</v>
      </c>
      <c r="E6" s="214"/>
    </row>
    <row r="7" spans="1:5">
      <c r="A7" s="83"/>
      <c r="B7" t="s">
        <v>1869</v>
      </c>
      <c r="E7" s="214"/>
    </row>
    <row r="8" spans="1:5">
      <c r="A8" s="83"/>
      <c r="B8" t="s">
        <v>1870</v>
      </c>
      <c r="E8" s="214"/>
    </row>
    <row r="9" spans="1:5">
      <c r="A9" s="83"/>
      <c r="B9" t="s">
        <v>1871</v>
      </c>
      <c r="E9" s="214"/>
    </row>
    <row r="10" spans="1:5">
      <c r="A10" s="83"/>
      <c r="B10" t="s">
        <v>1402</v>
      </c>
      <c r="E10" s="214"/>
    </row>
    <row r="11" spans="1:5">
      <c r="A11" s="83"/>
      <c r="B11" t="s">
        <v>1403</v>
      </c>
      <c r="E11" s="214"/>
    </row>
    <row r="12" spans="1:5">
      <c r="A12" s="83"/>
      <c r="B12" t="s">
        <v>1404</v>
      </c>
      <c r="E12" s="214"/>
    </row>
    <row r="13" spans="1:5">
      <c r="A13" s="83"/>
      <c r="B13" t="s">
        <v>239</v>
      </c>
      <c r="E13" s="214"/>
    </row>
    <row r="14" spans="1:5">
      <c r="A14" s="83"/>
      <c r="B14" t="s">
        <v>240</v>
      </c>
      <c r="E14" s="214"/>
    </row>
    <row r="15" spans="1:5">
      <c r="A15" s="83"/>
      <c r="B15" t="s">
        <v>241</v>
      </c>
      <c r="E15" s="214"/>
    </row>
    <row r="16" spans="1:5">
      <c r="A16" s="83"/>
      <c r="B16" t="s">
        <v>2612</v>
      </c>
      <c r="E16" s="214"/>
    </row>
    <row r="17" spans="1:5">
      <c r="A17" s="83"/>
      <c r="B17" t="s">
        <v>2613</v>
      </c>
      <c r="E17" s="214"/>
    </row>
    <row r="18" spans="1:5">
      <c r="A18" s="83"/>
      <c r="B18" t="s">
        <v>2614</v>
      </c>
      <c r="E18" s="214"/>
    </row>
    <row r="19" spans="1:5">
      <c r="A19" s="83"/>
      <c r="B19" t="s">
        <v>2615</v>
      </c>
      <c r="E19" s="214"/>
    </row>
    <row r="20" spans="1:5">
      <c r="A20" s="83"/>
      <c r="B20" t="s">
        <v>2616</v>
      </c>
      <c r="E20" s="214"/>
    </row>
    <row r="21" spans="1:5">
      <c r="A21" s="83"/>
      <c r="E21" s="214"/>
    </row>
    <row r="22" spans="1:5">
      <c r="A22" s="456" t="s">
        <v>1727</v>
      </c>
      <c r="B22" s="586" t="s">
        <v>1290</v>
      </c>
      <c r="C22" s="322"/>
      <c r="D22" s="322"/>
      <c r="E22" s="791" t="s">
        <v>1291</v>
      </c>
    </row>
    <row r="23" spans="1:5">
      <c r="A23" s="123" t="s">
        <v>1739</v>
      </c>
      <c r="B23" s="587" t="s">
        <v>3279</v>
      </c>
      <c r="C23" s="121"/>
      <c r="D23" s="121"/>
      <c r="E23" s="792" t="s">
        <v>3280</v>
      </c>
    </row>
    <row r="24" spans="1:5">
      <c r="A24" s="234">
        <v>1</v>
      </c>
      <c r="B24" s="581" t="s">
        <v>3536</v>
      </c>
      <c r="E24" s="588"/>
    </row>
    <row r="25" spans="1:5">
      <c r="A25" s="234">
        <v>2</v>
      </c>
      <c r="E25" s="589"/>
    </row>
    <row r="26" spans="1:5">
      <c r="A26" s="234">
        <v>3</v>
      </c>
      <c r="B26" t="s">
        <v>2289</v>
      </c>
      <c r="E26" s="588"/>
    </row>
    <row r="27" spans="1:5">
      <c r="A27" s="234">
        <v>4</v>
      </c>
      <c r="D27" s="136"/>
      <c r="E27" s="588"/>
    </row>
    <row r="28" spans="1:5">
      <c r="A28" s="234">
        <v>5</v>
      </c>
      <c r="D28" s="140"/>
      <c r="E28" s="588"/>
    </row>
    <row r="29" spans="1:5">
      <c r="A29" s="234">
        <v>6</v>
      </c>
      <c r="D29" s="140"/>
      <c r="E29" s="588"/>
    </row>
    <row r="30" spans="1:5">
      <c r="A30" s="234">
        <v>7</v>
      </c>
      <c r="D30" s="140"/>
      <c r="E30" s="588"/>
    </row>
    <row r="31" spans="1:5">
      <c r="A31" s="234">
        <v>8</v>
      </c>
      <c r="C31" s="600" t="s">
        <v>3537</v>
      </c>
      <c r="D31" s="140"/>
      <c r="E31" s="590">
        <f>SUM(E25:E30)</f>
        <v>0</v>
      </c>
    </row>
    <row r="32" spans="1:5">
      <c r="A32" s="234">
        <v>9</v>
      </c>
      <c r="E32" s="588"/>
    </row>
    <row r="33" spans="1:5">
      <c r="A33" s="234">
        <v>10</v>
      </c>
      <c r="B33" s="581" t="s">
        <v>3538</v>
      </c>
      <c r="D33" s="140"/>
      <c r="E33" s="588"/>
    </row>
    <row r="34" spans="1:5">
      <c r="A34" s="234">
        <v>11</v>
      </c>
      <c r="D34" s="140"/>
      <c r="E34" s="589"/>
    </row>
    <row r="35" spans="1:5">
      <c r="A35" s="234">
        <v>12</v>
      </c>
      <c r="B35" t="s">
        <v>2289</v>
      </c>
      <c r="D35" s="140"/>
      <c r="E35" s="588"/>
    </row>
    <row r="36" spans="1:5">
      <c r="A36" s="234">
        <v>13</v>
      </c>
      <c r="D36" s="140"/>
      <c r="E36" s="588"/>
    </row>
    <row r="37" spans="1:5">
      <c r="A37" s="234">
        <v>14</v>
      </c>
      <c r="D37" s="140"/>
      <c r="E37" s="588"/>
    </row>
    <row r="38" spans="1:5">
      <c r="A38" s="234">
        <v>15</v>
      </c>
      <c r="D38" s="140"/>
      <c r="E38" s="588"/>
    </row>
    <row r="39" spans="1:5">
      <c r="A39" s="234">
        <v>16</v>
      </c>
      <c r="D39" s="140"/>
      <c r="E39" s="588"/>
    </row>
    <row r="40" spans="1:5">
      <c r="A40" s="234">
        <v>17</v>
      </c>
      <c r="C40" s="600" t="s">
        <v>3537</v>
      </c>
      <c r="D40" s="140"/>
      <c r="E40" s="590">
        <f>SUM(E34:E39)</f>
        <v>0</v>
      </c>
    </row>
    <row r="41" spans="1:5">
      <c r="A41" s="234">
        <v>18</v>
      </c>
      <c r="D41" s="140"/>
      <c r="E41" s="588"/>
    </row>
    <row r="42" spans="1:5">
      <c r="A42" s="234">
        <v>19</v>
      </c>
      <c r="B42" s="581" t="s">
        <v>3539</v>
      </c>
      <c r="D42" s="140"/>
      <c r="E42" s="588"/>
    </row>
    <row r="43" spans="1:5">
      <c r="A43" s="234">
        <v>20</v>
      </c>
      <c r="D43" s="140"/>
      <c r="E43" s="589"/>
    </row>
    <row r="44" spans="1:5">
      <c r="A44" s="234">
        <v>21</v>
      </c>
      <c r="B44" t="s">
        <v>2289</v>
      </c>
      <c r="D44" s="140"/>
      <c r="E44" s="588"/>
    </row>
    <row r="45" spans="1:5">
      <c r="A45" s="234">
        <v>22</v>
      </c>
      <c r="D45" s="140"/>
      <c r="E45" s="588"/>
    </row>
    <row r="46" spans="1:5">
      <c r="A46" s="234">
        <v>23</v>
      </c>
      <c r="D46" s="140"/>
      <c r="E46" s="588"/>
    </row>
    <row r="47" spans="1:5">
      <c r="A47" s="234">
        <v>24</v>
      </c>
      <c r="D47" s="140"/>
      <c r="E47" s="588"/>
    </row>
    <row r="48" spans="1:5">
      <c r="A48" s="234">
        <v>25</v>
      </c>
      <c r="D48" s="140"/>
      <c r="E48" s="588"/>
    </row>
    <row r="49" spans="1:6">
      <c r="A49" s="234">
        <v>26</v>
      </c>
      <c r="C49" s="600" t="s">
        <v>3537</v>
      </c>
      <c r="D49" s="140"/>
      <c r="E49" s="590">
        <f>SUM(E43:E48)</f>
        <v>0</v>
      </c>
    </row>
    <row r="50" spans="1:6">
      <c r="A50" s="234">
        <v>27</v>
      </c>
      <c r="D50" s="140"/>
      <c r="E50" s="588"/>
    </row>
    <row r="51" spans="1:6">
      <c r="A51" s="234">
        <v>28</v>
      </c>
      <c r="B51" s="581" t="s">
        <v>1997</v>
      </c>
      <c r="D51" s="140"/>
      <c r="E51" s="588"/>
    </row>
    <row r="52" spans="1:6">
      <c r="A52" s="234">
        <v>29</v>
      </c>
      <c r="D52" s="140"/>
      <c r="E52" s="589"/>
    </row>
    <row r="53" spans="1:6">
      <c r="A53" s="234">
        <v>30</v>
      </c>
      <c r="B53" s="977" t="s">
        <v>5075</v>
      </c>
      <c r="D53" s="140"/>
      <c r="E53" s="589">
        <v>400054252</v>
      </c>
    </row>
    <row r="54" spans="1:6">
      <c r="A54" s="234">
        <v>31</v>
      </c>
      <c r="B54" s="977"/>
      <c r="E54" s="588"/>
    </row>
    <row r="55" spans="1:6">
      <c r="A55" s="234">
        <v>32</v>
      </c>
      <c r="B55" s="977"/>
      <c r="E55" s="588"/>
    </row>
    <row r="56" spans="1:6">
      <c r="A56" s="234">
        <v>33</v>
      </c>
      <c r="E56" s="588"/>
    </row>
    <row r="57" spans="1:6">
      <c r="A57" s="234">
        <v>34</v>
      </c>
      <c r="E57" s="588"/>
    </row>
    <row r="58" spans="1:6">
      <c r="A58" s="234">
        <v>35</v>
      </c>
      <c r="C58" s="600" t="s">
        <v>3537</v>
      </c>
      <c r="E58" s="590">
        <f>SUM(E52:E57)</f>
        <v>400054252</v>
      </c>
    </row>
    <row r="59" spans="1:6">
      <c r="A59" s="234">
        <v>36</v>
      </c>
      <c r="E59" s="588"/>
    </row>
    <row r="60" spans="1:6">
      <c r="A60" s="234">
        <v>37</v>
      </c>
      <c r="E60" s="588"/>
    </row>
    <row r="61" spans="1:6">
      <c r="A61" s="234">
        <v>38</v>
      </c>
      <c r="E61" s="588"/>
    </row>
    <row r="62" spans="1:6">
      <c r="A62" s="234">
        <v>39</v>
      </c>
      <c r="E62" s="588"/>
    </row>
    <row r="63" spans="1:6" ht="15.75" thickBot="1">
      <c r="A63" s="535">
        <v>40</v>
      </c>
      <c r="B63" s="591" t="s">
        <v>4311</v>
      </c>
      <c r="C63" s="591"/>
      <c r="D63" s="592"/>
      <c r="E63" s="585">
        <f>E31+E40+E49+E58</f>
        <v>400054252</v>
      </c>
      <c r="F63" t="str">
        <f>IF(ROUND(E63, 2)='114115'!F72,"ok","error")</f>
        <v>ok</v>
      </c>
    </row>
    <row r="64" spans="1:6">
      <c r="E64" t="s">
        <v>2024</v>
      </c>
    </row>
    <row r="65" spans="1:5">
      <c r="A65" s="4" t="s">
        <v>1998</v>
      </c>
      <c r="B65" s="4"/>
      <c r="C65" s="4"/>
      <c r="D65" s="4"/>
      <c r="E65" s="4"/>
    </row>
    <row r="72" spans="1:5">
      <c r="B72" s="86"/>
    </row>
    <row r="73" spans="1:5">
      <c r="B73" s="86"/>
    </row>
    <row r="74" spans="1:5">
      <c r="B74" s="86"/>
    </row>
    <row r="75" spans="1:5">
      <c r="B75" s="86"/>
    </row>
    <row r="76" spans="1:5">
      <c r="B76" s="86"/>
    </row>
    <row r="77" spans="1:5">
      <c r="B77" s="86"/>
    </row>
    <row r="78" spans="1:5">
      <c r="B78" s="86"/>
    </row>
    <row r="79" spans="1:5">
      <c r="B79" s="86"/>
    </row>
    <row r="80" spans="1:5">
      <c r="B80" s="86"/>
    </row>
  </sheetData>
  <phoneticPr fontId="0" type="noConversion"/>
  <printOptions horizontalCentered="1" verticalCentered="1"/>
  <pageMargins left="0.4" right="0.4" top="0.3" bottom="0.3" header="0" footer="0"/>
  <pageSetup scale="77"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ransitionEvaluation="1" codeName="Sheet44">
    <pageSetUpPr fitToPage="1"/>
  </sheetPr>
  <dimension ref="A1:E125"/>
  <sheetViews>
    <sheetView defaultGridColor="0" colorId="22" zoomScale="87" zoomScaleNormal="87" workbookViewId="0">
      <selection activeCell="R36" sqref="R36"/>
    </sheetView>
  </sheetViews>
  <sheetFormatPr defaultColWidth="9.77734375" defaultRowHeight="15"/>
  <cols>
    <col min="1" max="1" width="4.77734375" customWidth="1"/>
    <col min="2" max="2" width="35.77734375" customWidth="1"/>
    <col min="3" max="3" width="20.77734375" customWidth="1"/>
    <col min="4" max="4" width="22.33203125" customWidth="1"/>
    <col min="5" max="5" width="20.6640625" customWidth="1"/>
  </cols>
  <sheetData>
    <row r="1" spans="1:5" ht="15.75" thickBot="1">
      <c r="A1" t="str">
        <f>'Data sheet'!A57</f>
        <v>Annual Report of Veolia Water New York, Inc.                                              Year Ended  December 31, 2023</v>
      </c>
    </row>
    <row r="2" spans="1:5">
      <c r="A2" s="129"/>
      <c r="B2" s="130"/>
      <c r="C2" s="130"/>
      <c r="D2" s="130"/>
      <c r="E2" s="131"/>
    </row>
    <row r="3" spans="1:5" ht="15.75">
      <c r="A3" s="118" t="s">
        <v>1203</v>
      </c>
      <c r="B3" s="3"/>
      <c r="C3" s="3"/>
      <c r="D3" s="3"/>
      <c r="E3" s="84"/>
    </row>
    <row r="4" spans="1:5">
      <c r="A4" s="97"/>
      <c r="B4" s="98"/>
      <c r="C4" s="98"/>
      <c r="D4" s="128"/>
      <c r="E4" s="225"/>
    </row>
    <row r="5" spans="1:5">
      <c r="A5" s="358" t="s">
        <v>2788</v>
      </c>
      <c r="B5" s="359"/>
      <c r="C5" s="359"/>
      <c r="D5" s="359"/>
      <c r="E5" s="360"/>
    </row>
    <row r="6" spans="1:5">
      <c r="A6" s="358" t="s">
        <v>2031</v>
      </c>
      <c r="B6" s="359"/>
      <c r="C6" s="359"/>
      <c r="D6" s="359"/>
      <c r="E6" s="360"/>
    </row>
    <row r="7" spans="1:5">
      <c r="A7" s="358" t="s">
        <v>3112</v>
      </c>
      <c r="B7" s="359"/>
      <c r="C7" s="359"/>
      <c r="D7" s="359"/>
      <c r="E7" s="360"/>
    </row>
    <row r="8" spans="1:5">
      <c r="A8" s="85"/>
      <c r="B8" s="86"/>
      <c r="C8" s="86"/>
      <c r="D8" s="86"/>
      <c r="E8" s="87"/>
    </row>
    <row r="9" spans="1:5">
      <c r="A9" s="88"/>
      <c r="B9" s="137"/>
      <c r="C9" s="90"/>
      <c r="D9" s="90"/>
      <c r="E9" s="593" t="s">
        <v>1625</v>
      </c>
    </row>
    <row r="10" spans="1:5">
      <c r="A10" s="110" t="s">
        <v>1727</v>
      </c>
      <c r="B10" s="134" t="s">
        <v>3113</v>
      </c>
      <c r="C10" s="4"/>
      <c r="D10" s="5"/>
      <c r="E10" s="363" t="s">
        <v>1627</v>
      </c>
    </row>
    <row r="11" spans="1:5">
      <c r="A11" s="364" t="s">
        <v>1739</v>
      </c>
      <c r="B11" s="365" t="s">
        <v>3279</v>
      </c>
      <c r="C11" s="4"/>
      <c r="D11" s="133"/>
      <c r="E11" s="367" t="s">
        <v>3280</v>
      </c>
    </row>
    <row r="12" spans="1:5">
      <c r="A12" s="480">
        <v>1</v>
      </c>
      <c r="B12" s="90"/>
      <c r="C12" s="90"/>
      <c r="D12" s="90"/>
      <c r="E12" s="496"/>
    </row>
    <row r="13" spans="1:5">
      <c r="A13" s="237">
        <v>2</v>
      </c>
      <c r="B13" s="94" t="s">
        <v>2289</v>
      </c>
      <c r="C13" s="86"/>
      <c r="D13" s="86"/>
      <c r="E13" s="442"/>
    </row>
    <row r="14" spans="1:5">
      <c r="A14" s="237">
        <v>3</v>
      </c>
      <c r="B14" s="86"/>
      <c r="C14" s="86"/>
      <c r="D14" s="86"/>
      <c r="E14" s="442"/>
    </row>
    <row r="15" spans="1:5">
      <c r="A15" s="237">
        <v>4</v>
      </c>
      <c r="B15" s="86"/>
      <c r="C15" s="86"/>
      <c r="D15" s="86"/>
      <c r="E15" s="442"/>
    </row>
    <row r="16" spans="1:5">
      <c r="A16" s="237">
        <v>5</v>
      </c>
      <c r="B16" s="86"/>
      <c r="C16" s="86"/>
      <c r="D16" s="86"/>
      <c r="E16" s="442"/>
    </row>
    <row r="17" spans="1:5">
      <c r="A17" s="237">
        <v>6</v>
      </c>
      <c r="B17" s="86"/>
      <c r="C17" s="86"/>
      <c r="D17" s="86"/>
      <c r="E17" s="442"/>
    </row>
    <row r="18" spans="1:5">
      <c r="A18" s="237">
        <v>7</v>
      </c>
      <c r="B18" s="86"/>
      <c r="C18" s="86"/>
      <c r="D18" s="86"/>
      <c r="E18" s="442"/>
    </row>
    <row r="19" spans="1:5">
      <c r="A19" s="237">
        <v>8</v>
      </c>
      <c r="B19" s="86"/>
      <c r="C19" s="86"/>
      <c r="D19" s="86"/>
      <c r="E19" s="442"/>
    </row>
    <row r="20" spans="1:5">
      <c r="A20" s="237">
        <v>9</v>
      </c>
      <c r="B20" s="86"/>
      <c r="C20" s="86"/>
      <c r="D20" s="86"/>
      <c r="E20" s="442"/>
    </row>
    <row r="21" spans="1:5">
      <c r="A21" s="237">
        <v>10</v>
      </c>
      <c r="B21" s="86"/>
      <c r="C21" s="86"/>
      <c r="D21" s="86"/>
      <c r="E21" s="442"/>
    </row>
    <row r="22" spans="1:5">
      <c r="A22" s="237">
        <v>11</v>
      </c>
      <c r="B22" s="86"/>
      <c r="C22" s="86"/>
      <c r="D22" s="86"/>
      <c r="E22" s="442"/>
    </row>
    <row r="23" spans="1:5">
      <c r="A23" s="237">
        <v>12</v>
      </c>
      <c r="B23" s="86"/>
      <c r="C23" s="86"/>
      <c r="D23" s="86"/>
      <c r="E23" s="442"/>
    </row>
    <row r="24" spans="1:5">
      <c r="A24" s="237">
        <v>13</v>
      </c>
      <c r="B24" s="86"/>
      <c r="C24" s="86"/>
      <c r="D24" s="86"/>
      <c r="E24" s="442"/>
    </row>
    <row r="25" spans="1:5">
      <c r="A25" s="237">
        <v>14</v>
      </c>
      <c r="B25" s="86"/>
      <c r="C25" s="86"/>
      <c r="D25" s="86"/>
      <c r="E25" s="442"/>
    </row>
    <row r="26" spans="1:5">
      <c r="A26" s="237">
        <v>15</v>
      </c>
      <c r="B26" s="86"/>
      <c r="C26" s="86"/>
      <c r="D26" s="86"/>
      <c r="E26" s="442"/>
    </row>
    <row r="27" spans="1:5">
      <c r="A27" s="237">
        <v>16</v>
      </c>
      <c r="B27" s="86"/>
      <c r="C27" s="86"/>
      <c r="D27" s="86"/>
      <c r="E27" s="442"/>
    </row>
    <row r="28" spans="1:5">
      <c r="A28" s="237">
        <v>17</v>
      </c>
      <c r="B28" s="86"/>
      <c r="C28" s="86"/>
      <c r="D28" s="86"/>
      <c r="E28" s="442"/>
    </row>
    <row r="29" spans="1:5">
      <c r="A29" s="237">
        <v>18</v>
      </c>
      <c r="B29" s="86"/>
      <c r="C29" s="86"/>
      <c r="D29" s="86"/>
      <c r="E29" s="442"/>
    </row>
    <row r="30" spans="1:5">
      <c r="A30" s="237">
        <v>19</v>
      </c>
      <c r="B30" s="86"/>
      <c r="C30" s="86"/>
      <c r="D30" s="86"/>
      <c r="E30" s="442"/>
    </row>
    <row r="31" spans="1:5">
      <c r="A31" s="237">
        <v>20</v>
      </c>
      <c r="B31" s="86"/>
      <c r="C31" s="86"/>
      <c r="D31" s="86"/>
      <c r="E31" s="442"/>
    </row>
    <row r="32" spans="1:5">
      <c r="A32" s="237">
        <v>21</v>
      </c>
      <c r="B32" s="142"/>
      <c r="C32" s="86"/>
      <c r="D32" s="86"/>
      <c r="E32" s="441"/>
    </row>
    <row r="33" spans="1:5">
      <c r="A33" s="237">
        <v>22</v>
      </c>
      <c r="B33" s="142"/>
      <c r="C33" s="86"/>
      <c r="D33" s="86"/>
      <c r="E33" s="442"/>
    </row>
    <row r="34" spans="1:5">
      <c r="A34" s="237">
        <v>23</v>
      </c>
      <c r="B34" s="142"/>
      <c r="C34" s="86"/>
      <c r="D34" s="86"/>
      <c r="E34" s="442"/>
    </row>
    <row r="35" spans="1:5">
      <c r="A35" s="237">
        <v>24</v>
      </c>
      <c r="B35" s="142"/>
      <c r="C35" s="86"/>
      <c r="D35" s="86"/>
      <c r="E35" s="442"/>
    </row>
    <row r="36" spans="1:5">
      <c r="A36" s="237">
        <v>25</v>
      </c>
      <c r="B36" s="142"/>
      <c r="C36" s="86"/>
      <c r="D36" s="86"/>
      <c r="E36" s="442"/>
    </row>
    <row r="37" spans="1:5">
      <c r="A37" s="237">
        <v>26</v>
      </c>
      <c r="B37" s="142"/>
      <c r="C37" s="86"/>
      <c r="D37" s="86"/>
      <c r="E37" s="442"/>
    </row>
    <row r="38" spans="1:5">
      <c r="A38" s="237">
        <v>27</v>
      </c>
      <c r="B38" s="142"/>
      <c r="C38" s="86"/>
      <c r="D38" s="86"/>
      <c r="E38" s="442"/>
    </row>
    <row r="39" spans="1:5">
      <c r="A39" s="237">
        <v>28</v>
      </c>
      <c r="B39" s="142"/>
      <c r="C39" s="86"/>
      <c r="D39" s="86"/>
      <c r="E39" s="442"/>
    </row>
    <row r="40" spans="1:5">
      <c r="A40" s="237">
        <v>29</v>
      </c>
      <c r="B40" s="142"/>
      <c r="C40" s="86"/>
      <c r="D40" s="86"/>
      <c r="E40" s="442"/>
    </row>
    <row r="41" spans="1:5">
      <c r="A41" s="237">
        <v>30</v>
      </c>
      <c r="B41" s="142"/>
      <c r="C41" s="86"/>
      <c r="D41" s="86"/>
      <c r="E41" s="442"/>
    </row>
    <row r="42" spans="1:5">
      <c r="A42" s="237">
        <v>31</v>
      </c>
      <c r="B42" s="142"/>
      <c r="C42" s="86"/>
      <c r="D42" s="86"/>
      <c r="E42" s="442"/>
    </row>
    <row r="43" spans="1:5">
      <c r="A43" s="237">
        <v>32</v>
      </c>
      <c r="B43" s="142"/>
      <c r="C43" s="86"/>
      <c r="D43" s="86"/>
      <c r="E43" s="442"/>
    </row>
    <row r="44" spans="1:5">
      <c r="A44" s="237">
        <v>33</v>
      </c>
      <c r="B44" s="142"/>
      <c r="C44" s="86"/>
      <c r="D44" s="86"/>
      <c r="E44" s="442"/>
    </row>
    <row r="45" spans="1:5">
      <c r="A45" s="237">
        <v>34</v>
      </c>
      <c r="B45" s="142"/>
      <c r="C45" s="86"/>
      <c r="D45" s="86"/>
      <c r="E45" s="442"/>
    </row>
    <row r="46" spans="1:5">
      <c r="A46" s="237">
        <v>35</v>
      </c>
      <c r="B46" s="142"/>
      <c r="C46" s="86"/>
      <c r="D46" s="86"/>
      <c r="E46" s="442"/>
    </row>
    <row r="47" spans="1:5">
      <c r="A47" s="237">
        <v>31</v>
      </c>
      <c r="B47" s="142"/>
      <c r="C47" s="86"/>
      <c r="D47" s="86"/>
      <c r="E47" s="442"/>
    </row>
    <row r="48" spans="1:5">
      <c r="A48" s="237">
        <v>32</v>
      </c>
      <c r="B48" s="142"/>
      <c r="C48" s="86"/>
      <c r="D48" s="86"/>
      <c r="E48" s="442"/>
    </row>
    <row r="49" spans="1:5">
      <c r="A49" s="237">
        <v>33</v>
      </c>
      <c r="B49" s="142"/>
      <c r="C49" s="86"/>
      <c r="D49" s="86"/>
      <c r="E49" s="442"/>
    </row>
    <row r="50" spans="1:5">
      <c r="A50" s="237">
        <v>34</v>
      </c>
      <c r="B50" s="142"/>
      <c r="C50" s="86"/>
      <c r="D50" s="86"/>
      <c r="E50" s="442"/>
    </row>
    <row r="51" spans="1:5">
      <c r="A51" s="237">
        <v>35</v>
      </c>
      <c r="B51" s="142"/>
      <c r="C51" s="86"/>
      <c r="D51" s="86"/>
      <c r="E51" s="442"/>
    </row>
    <row r="52" spans="1:5">
      <c r="A52" s="237">
        <v>36</v>
      </c>
      <c r="B52" s="142"/>
      <c r="C52" s="86"/>
      <c r="D52" s="86"/>
      <c r="E52" s="442"/>
    </row>
    <row r="53" spans="1:5">
      <c r="A53" s="237">
        <v>32</v>
      </c>
      <c r="B53" s="142"/>
      <c r="C53" s="86"/>
      <c r="D53" s="86"/>
      <c r="E53" s="442"/>
    </row>
    <row r="54" spans="1:5">
      <c r="A54" s="237">
        <v>33</v>
      </c>
      <c r="B54" s="142"/>
      <c r="C54" s="86"/>
      <c r="D54" s="86"/>
      <c r="E54" s="442"/>
    </row>
    <row r="55" spans="1:5">
      <c r="A55" s="237">
        <v>34</v>
      </c>
      <c r="B55" s="142"/>
      <c r="C55" s="86"/>
      <c r="D55" s="86"/>
      <c r="E55" s="442"/>
    </row>
    <row r="56" spans="1:5">
      <c r="A56" s="237">
        <v>35</v>
      </c>
      <c r="B56" s="142"/>
      <c r="C56" s="86"/>
      <c r="D56" s="86"/>
      <c r="E56" s="442"/>
    </row>
    <row r="57" spans="1:5">
      <c r="A57" s="237">
        <v>36</v>
      </c>
      <c r="B57" s="142"/>
      <c r="C57" s="86"/>
      <c r="D57" s="86"/>
      <c r="E57" s="442"/>
    </row>
    <row r="58" spans="1:5" ht="15.75" thickBot="1">
      <c r="A58" s="443">
        <v>37</v>
      </c>
      <c r="B58" s="594" t="s">
        <v>4311</v>
      </c>
      <c r="C58" s="485"/>
      <c r="D58" s="485"/>
      <c r="E58" s="401">
        <f>SUM(E12:E57)</f>
        <v>0</v>
      </c>
    </row>
    <row r="59" spans="1:5">
      <c r="A59" s="86" t="s">
        <v>2024</v>
      </c>
      <c r="B59" s="86"/>
      <c r="C59" s="86"/>
      <c r="D59" s="86"/>
      <c r="E59" s="86"/>
    </row>
    <row r="60" spans="1:5">
      <c r="A60" s="5" t="s">
        <v>3114</v>
      </c>
      <c r="B60" s="5"/>
      <c r="C60" s="5"/>
      <c r="D60" s="5"/>
      <c r="E60" s="406"/>
    </row>
    <row r="61" spans="1:5">
      <c r="A61" s="5"/>
      <c r="B61" s="5"/>
      <c r="C61" s="5"/>
      <c r="D61" s="5"/>
      <c r="E61" s="406"/>
    </row>
    <row r="62" spans="1:5">
      <c r="A62" s="5"/>
      <c r="B62" s="5"/>
      <c r="C62" s="5"/>
      <c r="D62" s="5"/>
      <c r="E62" s="406"/>
    </row>
    <row r="63" spans="1:5">
      <c r="A63" s="5"/>
      <c r="B63" s="5"/>
      <c r="C63" s="5"/>
      <c r="D63" s="5"/>
      <c r="E63" s="406"/>
    </row>
    <row r="64" spans="1:5">
      <c r="A64" s="5"/>
      <c r="B64" s="5"/>
      <c r="C64" s="5"/>
      <c r="D64" s="5"/>
      <c r="E64" s="406"/>
    </row>
    <row r="65" spans="1:5">
      <c r="A65" s="5"/>
      <c r="B65" s="5"/>
      <c r="C65" s="5"/>
      <c r="D65" s="5"/>
      <c r="E65" s="406"/>
    </row>
    <row r="66" spans="1:5">
      <c r="A66" s="5"/>
      <c r="B66" s="5"/>
      <c r="C66" s="5"/>
      <c r="D66" s="5"/>
      <c r="E66" s="406"/>
    </row>
    <row r="67" spans="1:5">
      <c r="B67" s="86"/>
      <c r="D67" s="86"/>
      <c r="E67" s="86"/>
    </row>
    <row r="68" spans="1:5">
      <c r="A68" s="86"/>
      <c r="B68" s="86"/>
      <c r="C68" s="86"/>
      <c r="D68" s="86"/>
      <c r="E68" s="86"/>
    </row>
    <row r="69" spans="1:5">
      <c r="A69" s="86"/>
      <c r="B69" s="86"/>
      <c r="C69" s="86"/>
      <c r="D69" s="86"/>
      <c r="E69" s="86"/>
    </row>
    <row r="70" spans="1:5">
      <c r="A70" s="86"/>
      <c r="B70" s="86"/>
      <c r="C70" s="86"/>
      <c r="D70" s="86"/>
      <c r="E70" s="86"/>
    </row>
    <row r="71" spans="1:5">
      <c r="A71" s="86"/>
      <c r="B71" s="86"/>
      <c r="C71" s="86"/>
      <c r="D71" s="86"/>
      <c r="E71" s="86"/>
    </row>
    <row r="72" spans="1:5">
      <c r="A72" s="86"/>
      <c r="B72" s="86"/>
      <c r="C72" s="86"/>
      <c r="D72" s="86"/>
      <c r="E72" s="86"/>
    </row>
    <row r="73" spans="1:5">
      <c r="A73" s="86"/>
      <c r="B73" s="86"/>
      <c r="C73" s="86"/>
      <c r="D73" s="86"/>
      <c r="E73" s="86"/>
    </row>
    <row r="74" spans="1:5">
      <c r="A74" s="86"/>
      <c r="B74" s="86"/>
      <c r="C74" s="86"/>
      <c r="D74" s="86"/>
      <c r="E74" s="86"/>
    </row>
    <row r="75" spans="1:5">
      <c r="A75" s="86"/>
      <c r="B75" s="86"/>
      <c r="C75" s="86"/>
      <c r="D75" s="86"/>
      <c r="E75" s="86"/>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98" spans="1:5">
      <c r="A98" s="86"/>
      <c r="B98" s="86"/>
      <c r="C98" s="86"/>
      <c r="D98" s="86"/>
      <c r="E98" s="86"/>
    </row>
    <row r="99" spans="1:5">
      <c r="A99" s="86"/>
      <c r="B99" s="86"/>
      <c r="C99" s="86"/>
      <c r="D99" s="86"/>
      <c r="E99" s="86"/>
    </row>
    <row r="100" spans="1:5">
      <c r="A100" s="86"/>
      <c r="B100" s="86"/>
      <c r="C100" s="86"/>
      <c r="D100" s="86"/>
      <c r="E100" s="86"/>
    </row>
    <row r="101" spans="1:5">
      <c r="A101" s="86"/>
      <c r="B101" s="86"/>
      <c r="C101" s="86"/>
      <c r="D101" s="86"/>
      <c r="E101" s="86"/>
    </row>
    <row r="102" spans="1:5">
      <c r="A102" s="86"/>
      <c r="B102" s="86"/>
      <c r="C102" s="86"/>
      <c r="D102" s="86"/>
      <c r="E102" s="86"/>
    </row>
    <row r="103" spans="1:5">
      <c r="A103" s="86"/>
      <c r="B103" s="86"/>
      <c r="C103" s="86"/>
      <c r="D103" s="86"/>
      <c r="E103" s="86"/>
    </row>
    <row r="104" spans="1:5">
      <c r="A104" s="86"/>
      <c r="B104" s="86"/>
      <c r="C104" s="86"/>
      <c r="D104" s="86"/>
      <c r="E104" s="86"/>
    </row>
    <row r="105" spans="1:5">
      <c r="A105" s="86"/>
      <c r="B105" s="86"/>
      <c r="C105" s="86"/>
      <c r="D105" s="86"/>
      <c r="E105" s="86"/>
    </row>
    <row r="106" spans="1:5">
      <c r="A106" s="86"/>
      <c r="B106" s="86"/>
      <c r="C106" s="86"/>
      <c r="D106" s="86"/>
      <c r="E106" s="86"/>
    </row>
    <row r="107" spans="1:5">
      <c r="A107" s="86"/>
      <c r="B107" s="86"/>
      <c r="C107" s="86"/>
      <c r="D107" s="86"/>
      <c r="E107" s="86"/>
    </row>
    <row r="108" spans="1:5">
      <c r="A108" s="86"/>
      <c r="B108" s="86"/>
      <c r="C108" s="86"/>
      <c r="D108" s="86"/>
      <c r="E108" s="86"/>
    </row>
    <row r="109" spans="1:5">
      <c r="A109" s="86"/>
      <c r="B109" s="86"/>
      <c r="C109" s="86"/>
      <c r="D109" s="86"/>
      <c r="E109" s="86"/>
    </row>
    <row r="110" spans="1:5">
      <c r="A110" s="86"/>
      <c r="B110" s="86"/>
      <c r="C110" s="86"/>
      <c r="D110" s="86"/>
      <c r="E110" s="86"/>
    </row>
    <row r="111" spans="1:5">
      <c r="A111" s="86"/>
      <c r="B111" s="86"/>
      <c r="C111" s="86"/>
      <c r="D111" s="86"/>
      <c r="E111" s="86"/>
    </row>
    <row r="112" spans="1:5">
      <c r="A112" s="86"/>
      <c r="B112" s="86"/>
      <c r="C112" s="86"/>
      <c r="D112" s="86"/>
      <c r="E112" s="86"/>
    </row>
    <row r="113" spans="1:5">
      <c r="A113" s="86"/>
      <c r="B113" s="86"/>
      <c r="C113" s="86"/>
      <c r="D113" s="86"/>
      <c r="E113" s="86"/>
    </row>
    <row r="114" spans="1:5">
      <c r="A114" s="86"/>
      <c r="B114" s="86"/>
      <c r="C114" s="86"/>
      <c r="D114" s="86"/>
      <c r="E114" s="86"/>
    </row>
    <row r="115" spans="1:5">
      <c r="A115" s="86"/>
      <c r="B115" s="86"/>
      <c r="C115" s="86"/>
      <c r="D115" s="86"/>
      <c r="E115" s="86"/>
    </row>
    <row r="116" spans="1:5">
      <c r="A116" s="86"/>
      <c r="B116" s="86"/>
      <c r="C116" s="86"/>
      <c r="D116" s="86"/>
      <c r="E116" s="86"/>
    </row>
    <row r="117" spans="1:5">
      <c r="A117" s="86"/>
      <c r="B117" s="86"/>
      <c r="C117" s="86"/>
      <c r="D117" s="86"/>
      <c r="E117" s="86"/>
    </row>
    <row r="118" spans="1:5">
      <c r="A118" s="86"/>
      <c r="B118" s="86"/>
      <c r="C118" s="86"/>
      <c r="D118" s="86"/>
      <c r="E118" s="86"/>
    </row>
    <row r="119" spans="1:5">
      <c r="A119" s="86"/>
      <c r="B119" s="86"/>
      <c r="C119" s="86"/>
      <c r="D119" s="86"/>
      <c r="E119" s="86"/>
    </row>
    <row r="120" spans="1:5">
      <c r="A120" s="86"/>
      <c r="B120" s="86"/>
      <c r="C120" s="86"/>
      <c r="D120" s="86"/>
      <c r="E120" s="86"/>
    </row>
    <row r="121" spans="1:5">
      <c r="A121" s="86"/>
      <c r="B121" s="86"/>
      <c r="C121" s="86"/>
      <c r="D121" s="86"/>
      <c r="E121" s="86"/>
    </row>
    <row r="122" spans="1:5">
      <c r="A122" s="86"/>
      <c r="B122" s="86"/>
      <c r="C122" s="86"/>
      <c r="D122" s="86"/>
      <c r="E122" s="86"/>
    </row>
    <row r="123" spans="1:5">
      <c r="A123" s="86"/>
      <c r="B123" s="86"/>
      <c r="C123" s="86"/>
      <c r="D123" s="86"/>
      <c r="E123" s="86"/>
    </row>
    <row r="124" spans="1:5">
      <c r="A124" s="86"/>
      <c r="B124" s="86"/>
      <c r="C124" s="86"/>
      <c r="D124" s="86"/>
      <c r="E124" s="86"/>
    </row>
    <row r="125" spans="1:5">
      <c r="A125" s="86"/>
      <c r="B125" s="86"/>
      <c r="C125" s="86"/>
      <c r="D125" s="86"/>
      <c r="E125" s="86"/>
    </row>
  </sheetData>
  <phoneticPr fontId="0" type="noConversion"/>
  <printOptions horizontalCentered="1" verticalCentered="1"/>
  <pageMargins left="0.25" right="0.25" top="0.25" bottom="0.25" header="0" footer="0"/>
  <pageSetup scale="81"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ransitionEvaluation="1" codeName="Sheet45">
    <pageSetUpPr fitToPage="1"/>
  </sheetPr>
  <dimension ref="A1:H88"/>
  <sheetViews>
    <sheetView defaultGridColor="0" topLeftCell="A42" colorId="22" zoomScaleNormal="100" workbookViewId="0">
      <selection activeCell="E73" sqref="E73"/>
    </sheetView>
  </sheetViews>
  <sheetFormatPr defaultColWidth="9.77734375" defaultRowHeight="15"/>
  <cols>
    <col min="1" max="1" width="4.77734375" customWidth="1"/>
    <col min="2" max="2" width="42.5546875" customWidth="1"/>
    <col min="3" max="3" width="12.77734375" customWidth="1"/>
    <col min="4" max="5" width="12.44140625" bestFit="1" customWidth="1"/>
    <col min="6" max="6" width="12.77734375" customWidth="1"/>
    <col min="7" max="7" width="10.6640625" bestFit="1" customWidth="1"/>
    <col min="9" max="9" width="11.33203125" bestFit="1" customWidth="1"/>
    <col min="10" max="10" width="11.5546875" bestFit="1" customWidth="1"/>
  </cols>
  <sheetData>
    <row r="1" spans="1:8" ht="15.75" thickBot="1">
      <c r="A1" s="14" t="str">
        <f>'Data sheet'!A63</f>
        <v>Annual Report of Veolia Water New York, Inc.                                                                             Year Ended  December 31, 2023</v>
      </c>
      <c r="F1" s="16"/>
      <c r="G1" s="4"/>
    </row>
    <row r="2" spans="1:8">
      <c r="A2" s="80"/>
      <c r="B2" s="81"/>
      <c r="C2" s="81"/>
      <c r="D2" s="81"/>
      <c r="E2" s="81"/>
      <c r="F2" s="81"/>
      <c r="G2" s="82"/>
    </row>
    <row r="3" spans="1:8" ht="15.75">
      <c r="A3" s="118" t="s">
        <v>3115</v>
      </c>
      <c r="B3" s="3"/>
      <c r="C3" s="4"/>
      <c r="D3" s="4"/>
      <c r="E3" s="4"/>
      <c r="F3" s="4"/>
      <c r="G3" s="119"/>
    </row>
    <row r="4" spans="1:8">
      <c r="A4" s="83"/>
      <c r="G4" s="214"/>
    </row>
    <row r="5" spans="1:8">
      <c r="A5" s="595" t="s">
        <v>284</v>
      </c>
      <c r="B5" t="s">
        <v>3116</v>
      </c>
      <c r="G5" s="214"/>
    </row>
    <row r="6" spans="1:8">
      <c r="A6" s="595" t="s">
        <v>1687</v>
      </c>
      <c r="B6" t="s">
        <v>3117</v>
      </c>
      <c r="G6" s="214"/>
    </row>
    <row r="7" spans="1:8">
      <c r="A7" s="595" t="s">
        <v>3053</v>
      </c>
      <c r="B7" t="s">
        <v>3118</v>
      </c>
      <c r="G7" s="214"/>
    </row>
    <row r="8" spans="1:8">
      <c r="A8" s="595" t="s">
        <v>2364</v>
      </c>
      <c r="B8" t="s">
        <v>4129</v>
      </c>
      <c r="G8" s="214"/>
    </row>
    <row r="9" spans="1:8">
      <c r="A9" s="595" t="s">
        <v>2366</v>
      </c>
      <c r="B9" t="s">
        <v>2340</v>
      </c>
      <c r="G9" s="214"/>
    </row>
    <row r="10" spans="1:8">
      <c r="A10" s="595" t="s">
        <v>198</v>
      </c>
      <c r="B10" t="s">
        <v>2341</v>
      </c>
      <c r="G10" s="214"/>
    </row>
    <row r="11" spans="1:8">
      <c r="A11" s="596"/>
      <c r="B11" s="224"/>
      <c r="C11" s="224"/>
      <c r="D11" s="224"/>
      <c r="E11" s="224"/>
      <c r="F11" s="224"/>
      <c r="G11" s="225"/>
    </row>
    <row r="12" spans="1:8">
      <c r="A12" s="595"/>
      <c r="B12" s="713" t="s">
        <v>2342</v>
      </c>
      <c r="C12" s="714" t="s">
        <v>2343</v>
      </c>
      <c r="E12" s="714" t="s">
        <v>2344</v>
      </c>
      <c r="F12" s="121" t="s">
        <v>2345</v>
      </c>
      <c r="G12" s="122"/>
    </row>
    <row r="13" spans="1:8">
      <c r="A13" s="595" t="s">
        <v>1727</v>
      </c>
      <c r="B13" s="713" t="s">
        <v>2346</v>
      </c>
      <c r="C13" s="714" t="s">
        <v>236</v>
      </c>
      <c r="D13" s="600" t="s">
        <v>2347</v>
      </c>
      <c r="E13" s="714" t="s">
        <v>2348</v>
      </c>
      <c r="G13" s="523"/>
    </row>
    <row r="14" spans="1:8">
      <c r="A14" s="595" t="s">
        <v>1739</v>
      </c>
      <c r="B14" s="713" t="s">
        <v>2349</v>
      </c>
      <c r="C14" s="714" t="s">
        <v>2350</v>
      </c>
      <c r="D14" s="600" t="s">
        <v>2351</v>
      </c>
      <c r="E14" s="714" t="s">
        <v>712</v>
      </c>
      <c r="F14" s="600" t="s">
        <v>2352</v>
      </c>
      <c r="G14" s="796" t="s">
        <v>2353</v>
      </c>
    </row>
    <row r="15" spans="1:8">
      <c r="A15" s="596"/>
      <c r="B15" s="914" t="s">
        <v>3279</v>
      </c>
      <c r="C15" s="715" t="s">
        <v>3280</v>
      </c>
      <c r="D15" s="797" t="s">
        <v>3281</v>
      </c>
      <c r="E15" s="715" t="s">
        <v>3282</v>
      </c>
      <c r="F15" s="797" t="s">
        <v>721</v>
      </c>
      <c r="G15" s="792" t="s">
        <v>722</v>
      </c>
    </row>
    <row r="16" spans="1:8">
      <c r="A16" s="595">
        <v>1</v>
      </c>
      <c r="B16" s="1583"/>
      <c r="C16" s="1534"/>
      <c r="D16" s="1967"/>
      <c r="E16" s="241"/>
      <c r="F16" s="136"/>
      <c r="G16" s="589"/>
      <c r="H16" s="136"/>
    </row>
    <row r="17" spans="1:8">
      <c r="A17" s="595">
        <v>2</v>
      </c>
      <c r="B17" s="522" t="s">
        <v>4556</v>
      </c>
      <c r="C17" s="238"/>
      <c r="E17" s="582"/>
      <c r="F17" s="140"/>
      <c r="G17" s="588"/>
    </row>
    <row r="18" spans="1:8">
      <c r="A18" s="595">
        <v>3</v>
      </c>
      <c r="B18" s="522"/>
      <c r="C18" s="238"/>
      <c r="E18" s="582"/>
      <c r="F18" s="140"/>
      <c r="G18" s="588"/>
    </row>
    <row r="19" spans="1:8">
      <c r="A19" s="595">
        <v>4</v>
      </c>
      <c r="B19" s="1583"/>
      <c r="C19" s="1534"/>
      <c r="D19" s="1967"/>
      <c r="E19" s="582"/>
      <c r="F19" s="140"/>
      <c r="G19" s="588"/>
      <c r="H19" s="136"/>
    </row>
    <row r="20" spans="1:8">
      <c r="A20" s="595">
        <v>5</v>
      </c>
      <c r="B20" s="522"/>
      <c r="C20" s="238"/>
      <c r="E20" s="582"/>
      <c r="F20" s="140"/>
      <c r="G20" s="588"/>
    </row>
    <row r="21" spans="1:8">
      <c r="A21" s="595">
        <v>6</v>
      </c>
      <c r="B21" s="522"/>
      <c r="C21" s="238"/>
      <c r="E21" s="582"/>
      <c r="F21" s="140"/>
      <c r="G21" s="588"/>
    </row>
    <row r="22" spans="1:8">
      <c r="A22" s="595">
        <v>7</v>
      </c>
      <c r="B22" s="522"/>
      <c r="C22" s="1534"/>
      <c r="D22" s="1534"/>
      <c r="E22" s="582"/>
      <c r="F22" s="140"/>
      <c r="G22" s="588"/>
      <c r="H22" s="136"/>
    </row>
    <row r="23" spans="1:8">
      <c r="A23" s="595">
        <v>8</v>
      </c>
      <c r="B23" s="522"/>
      <c r="C23" s="1534"/>
      <c r="D23" s="1535"/>
      <c r="E23" s="582" t="s">
        <v>218</v>
      </c>
      <c r="F23" s="140" t="s">
        <v>218</v>
      </c>
      <c r="G23" s="588" t="s">
        <v>218</v>
      </c>
    </row>
    <row r="24" spans="1:8">
      <c r="A24" s="595">
        <v>9</v>
      </c>
      <c r="B24" s="522" t="s">
        <v>218</v>
      </c>
      <c r="C24" s="238"/>
      <c r="E24" s="582"/>
      <c r="F24" s="140"/>
      <c r="G24" s="588"/>
    </row>
    <row r="25" spans="1:8">
      <c r="A25" s="595">
        <v>10</v>
      </c>
      <c r="B25" s="522"/>
      <c r="C25" s="1534"/>
      <c r="D25" s="1535"/>
      <c r="E25" s="582"/>
      <c r="F25" s="140"/>
      <c r="G25" s="588"/>
      <c r="H25" s="136"/>
    </row>
    <row r="26" spans="1:8">
      <c r="A26" s="595">
        <v>11</v>
      </c>
      <c r="B26" s="522"/>
      <c r="C26" s="238"/>
      <c r="D26" s="238"/>
      <c r="E26" s="582"/>
      <c r="F26" s="140" t="s">
        <v>218</v>
      </c>
      <c r="G26" s="588" t="s">
        <v>218</v>
      </c>
    </row>
    <row r="27" spans="1:8">
      <c r="A27" s="595">
        <v>12</v>
      </c>
      <c r="B27" s="522" t="s">
        <v>218</v>
      </c>
      <c r="C27" s="238"/>
      <c r="E27" s="582"/>
      <c r="F27" s="140"/>
      <c r="G27" s="588"/>
    </row>
    <row r="28" spans="1:8">
      <c r="A28" s="595">
        <v>13</v>
      </c>
      <c r="B28" s="522"/>
      <c r="C28" s="1534"/>
      <c r="D28" s="1535"/>
      <c r="E28" s="582"/>
      <c r="F28" s="140"/>
      <c r="G28" s="588"/>
      <c r="H28" s="136"/>
    </row>
    <row r="29" spans="1:8">
      <c r="A29" s="595">
        <v>14</v>
      </c>
      <c r="B29" s="522"/>
      <c r="C29" s="238"/>
      <c r="D29" s="238"/>
      <c r="E29" s="582"/>
      <c r="F29" s="140"/>
      <c r="G29" s="588"/>
    </row>
    <row r="30" spans="1:8">
      <c r="A30" s="595">
        <v>15</v>
      </c>
      <c r="B30" s="522"/>
      <c r="C30" s="238"/>
      <c r="D30" s="238"/>
      <c r="E30" s="582"/>
      <c r="F30" s="140"/>
      <c r="G30" s="588"/>
    </row>
    <row r="31" spans="1:8">
      <c r="A31" s="595">
        <v>16</v>
      </c>
      <c r="B31" s="1987"/>
      <c r="C31" s="1534"/>
      <c r="D31" s="1534"/>
      <c r="E31" s="582"/>
      <c r="F31" s="140"/>
      <c r="G31" s="588"/>
      <c r="H31" s="136"/>
    </row>
    <row r="32" spans="1:8">
      <c r="A32" s="595">
        <v>17</v>
      </c>
      <c r="B32" s="522"/>
      <c r="C32" s="238"/>
      <c r="E32" s="582"/>
      <c r="F32" s="140"/>
      <c r="G32" s="588"/>
    </row>
    <row r="33" spans="1:8">
      <c r="A33" s="595">
        <v>18</v>
      </c>
      <c r="B33" s="522"/>
      <c r="C33" s="238"/>
      <c r="E33" s="582"/>
      <c r="F33" s="140"/>
      <c r="G33" s="588"/>
    </row>
    <row r="34" spans="1:8">
      <c r="A34" s="595">
        <v>19</v>
      </c>
      <c r="B34" s="522"/>
      <c r="C34" s="238"/>
      <c r="E34" s="582"/>
      <c r="F34" s="140"/>
      <c r="G34" s="588"/>
    </row>
    <row r="35" spans="1:8">
      <c r="A35" s="596">
        <v>20</v>
      </c>
      <c r="B35" s="915" t="s">
        <v>1672</v>
      </c>
      <c r="C35" s="598"/>
      <c r="D35" s="599"/>
      <c r="E35" s="531">
        <f>SUM(E16:E34)</f>
        <v>0</v>
      </c>
      <c r="F35" s="531">
        <f>SUM(F16:F34)</f>
        <v>0</v>
      </c>
      <c r="G35" s="590">
        <f>SUM(G16:G34)</f>
        <v>0</v>
      </c>
    </row>
    <row r="36" spans="1:8">
      <c r="A36" s="595"/>
      <c r="G36" s="214"/>
    </row>
    <row r="37" spans="1:8" ht="15.75">
      <c r="A37" s="2127" t="s">
        <v>2354</v>
      </c>
      <c r="B37" s="2130"/>
      <c r="C37" s="4"/>
      <c r="D37" s="4"/>
      <c r="E37" s="4"/>
      <c r="F37" s="4"/>
      <c r="G37" s="119"/>
      <c r="H37" s="136"/>
    </row>
    <row r="38" spans="1:8">
      <c r="A38" s="595"/>
      <c r="G38" s="214"/>
    </row>
    <row r="39" spans="1:8">
      <c r="A39" s="595" t="s">
        <v>284</v>
      </c>
      <c r="B39" t="s">
        <v>2355</v>
      </c>
      <c r="G39" s="214"/>
    </row>
    <row r="40" spans="1:8">
      <c r="A40" s="595" t="s">
        <v>1687</v>
      </c>
      <c r="B40" t="s">
        <v>2356</v>
      </c>
      <c r="G40" s="214"/>
    </row>
    <row r="41" spans="1:8">
      <c r="A41" s="595"/>
      <c r="B41" t="s">
        <v>2357</v>
      </c>
      <c r="G41" s="214"/>
    </row>
    <row r="42" spans="1:8">
      <c r="A42" s="595" t="s">
        <v>3053</v>
      </c>
      <c r="B42" t="s">
        <v>2775</v>
      </c>
      <c r="G42" s="214"/>
    </row>
    <row r="43" spans="1:8">
      <c r="A43" s="595"/>
      <c r="B43" t="s">
        <v>2776</v>
      </c>
      <c r="G43" s="214"/>
    </row>
    <row r="44" spans="1:8">
      <c r="A44" s="595" t="s">
        <v>2364</v>
      </c>
      <c r="B44" t="s">
        <v>2777</v>
      </c>
      <c r="G44" s="214"/>
    </row>
    <row r="45" spans="1:8">
      <c r="A45" s="595"/>
      <c r="B45" t="s">
        <v>1559</v>
      </c>
      <c r="G45" s="214"/>
    </row>
    <row r="46" spans="1:8">
      <c r="A46" s="595" t="s">
        <v>2366</v>
      </c>
      <c r="B46" t="s">
        <v>2108</v>
      </c>
      <c r="G46" s="214"/>
    </row>
    <row r="47" spans="1:8">
      <c r="A47" s="596"/>
      <c r="B47" s="224"/>
      <c r="C47" s="224"/>
      <c r="D47" s="224"/>
      <c r="E47" s="224"/>
      <c r="F47" s="224"/>
      <c r="G47" s="225"/>
    </row>
    <row r="48" spans="1:8">
      <c r="A48" s="595"/>
      <c r="B48" s="238"/>
      <c r="C48" s="600" t="s">
        <v>2109</v>
      </c>
      <c r="D48" s="587" t="s">
        <v>2110</v>
      </c>
      <c r="E48" s="121"/>
      <c r="F48" s="714" t="s">
        <v>2109</v>
      </c>
      <c r="G48" s="214"/>
    </row>
    <row r="49" spans="1:7">
      <c r="A49" s="595"/>
      <c r="B49" s="238"/>
      <c r="C49" s="600" t="s">
        <v>2111</v>
      </c>
      <c r="D49" s="522"/>
      <c r="E49" s="522"/>
      <c r="F49" s="714" t="s">
        <v>2112</v>
      </c>
      <c r="G49" s="727" t="s">
        <v>2113</v>
      </c>
    </row>
    <row r="50" spans="1:7">
      <c r="A50" s="595" t="s">
        <v>1727</v>
      </c>
      <c r="B50" s="714" t="s">
        <v>2114</v>
      </c>
      <c r="C50" s="600" t="s">
        <v>2115</v>
      </c>
      <c r="D50" s="713" t="s">
        <v>2116</v>
      </c>
      <c r="E50" s="713" t="s">
        <v>2117</v>
      </c>
      <c r="F50" s="714" t="s">
        <v>2118</v>
      </c>
      <c r="G50" s="727" t="s">
        <v>2119</v>
      </c>
    </row>
    <row r="51" spans="1:7">
      <c r="A51" s="596" t="s">
        <v>1739</v>
      </c>
      <c r="B51" s="715" t="s">
        <v>3279</v>
      </c>
      <c r="C51" s="797" t="s">
        <v>3280</v>
      </c>
      <c r="D51" s="914" t="s">
        <v>3281</v>
      </c>
      <c r="E51" s="914" t="s">
        <v>3282</v>
      </c>
      <c r="F51" s="715" t="s">
        <v>721</v>
      </c>
      <c r="G51" s="823" t="s">
        <v>722</v>
      </c>
    </row>
    <row r="52" spans="1:7">
      <c r="A52" s="595">
        <v>1</v>
      </c>
      <c r="B52" s="238"/>
      <c r="C52" s="241">
        <v>0</v>
      </c>
      <c r="D52" s="601"/>
      <c r="E52" s="601"/>
      <c r="F52" s="241">
        <f>C52-D52+E52</f>
        <v>0</v>
      </c>
      <c r="G52" s="232"/>
    </row>
    <row r="53" spans="1:7">
      <c r="A53" s="595">
        <v>2</v>
      </c>
      <c r="B53" s="238" t="s">
        <v>4556</v>
      </c>
      <c r="C53" s="2252">
        <v>0</v>
      </c>
      <c r="D53" s="2253"/>
      <c r="E53" s="2252"/>
      <c r="F53" s="2252">
        <f>C53-D53+E53</f>
        <v>0</v>
      </c>
      <c r="G53" s="245"/>
    </row>
    <row r="54" spans="1:7">
      <c r="A54" s="595">
        <v>3</v>
      </c>
      <c r="B54" s="238"/>
      <c r="C54" s="2252">
        <v>0</v>
      </c>
      <c r="D54" s="2253"/>
      <c r="E54" s="2252"/>
      <c r="F54" s="2252">
        <f>C54-D54+E54</f>
        <v>0</v>
      </c>
      <c r="G54" s="245"/>
    </row>
    <row r="55" spans="1:7">
      <c r="A55" s="595">
        <v>4</v>
      </c>
      <c r="B55" s="1020" t="s">
        <v>2120</v>
      </c>
      <c r="C55" s="465">
        <f>SUM(C52:C54)</f>
        <v>0</v>
      </c>
      <c r="D55" s="465">
        <f>SUM(D52:D54)</f>
        <v>0</v>
      </c>
      <c r="E55" s="465">
        <f>SUM(E52:E54)</f>
        <v>0</v>
      </c>
      <c r="F55" s="465">
        <f>SUM(F52:F54)</f>
        <v>0</v>
      </c>
      <c r="G55" s="602">
        <f>SUM(G52:G54)</f>
        <v>0</v>
      </c>
    </row>
    <row r="56" spans="1:7">
      <c r="A56" s="595">
        <v>5</v>
      </c>
      <c r="B56" s="641"/>
      <c r="C56" s="2250">
        <v>0</v>
      </c>
      <c r="D56" s="2250"/>
      <c r="E56" s="2251"/>
      <c r="F56" s="2252">
        <f t="shared" ref="F56:F69" si="0">C56-D56+E56</f>
        <v>0</v>
      </c>
      <c r="G56" s="245"/>
    </row>
    <row r="57" spans="1:7">
      <c r="A57" s="595">
        <v>6</v>
      </c>
      <c r="B57" s="1595"/>
      <c r="C57" s="2252">
        <v>0</v>
      </c>
      <c r="D57" s="2252"/>
      <c r="E57" s="2252"/>
      <c r="F57" s="2252">
        <f t="shared" si="0"/>
        <v>0</v>
      </c>
      <c r="G57" s="245"/>
    </row>
    <row r="58" spans="1:7">
      <c r="A58" s="595">
        <v>7</v>
      </c>
      <c r="B58" s="238"/>
      <c r="C58" s="2252">
        <v>0</v>
      </c>
      <c r="D58" s="2253"/>
      <c r="E58" s="2252"/>
      <c r="F58" s="2252">
        <f t="shared" si="0"/>
        <v>0</v>
      </c>
      <c r="G58" s="245"/>
    </row>
    <row r="59" spans="1:7">
      <c r="A59" s="595">
        <v>8</v>
      </c>
      <c r="B59" s="238"/>
      <c r="C59" s="2252">
        <v>0</v>
      </c>
      <c r="D59" s="2253"/>
      <c r="E59" s="2252"/>
      <c r="F59" s="2252">
        <f t="shared" si="0"/>
        <v>0</v>
      </c>
      <c r="G59" s="245"/>
    </row>
    <row r="60" spans="1:7">
      <c r="A60" s="595">
        <v>9</v>
      </c>
      <c r="B60" s="96"/>
      <c r="C60" s="2252">
        <v>0</v>
      </c>
      <c r="D60" s="2253"/>
      <c r="E60" s="2252"/>
      <c r="F60" s="2252">
        <f>C60-D60+E60</f>
        <v>0</v>
      </c>
      <c r="G60" s="245"/>
    </row>
    <row r="61" spans="1:7">
      <c r="A61" s="595">
        <v>10</v>
      </c>
      <c r="B61" s="238"/>
      <c r="C61" s="2252">
        <v>0</v>
      </c>
      <c r="D61" s="2253"/>
      <c r="E61" s="2252"/>
      <c r="F61" s="2252">
        <f t="shared" si="0"/>
        <v>0</v>
      </c>
      <c r="G61" s="245"/>
    </row>
    <row r="62" spans="1:7">
      <c r="A62" s="595">
        <v>11</v>
      </c>
      <c r="B62" s="238"/>
      <c r="C62" s="2252">
        <v>0</v>
      </c>
      <c r="D62" s="2253"/>
      <c r="E62" s="2252"/>
      <c r="F62" s="2252">
        <f t="shared" si="0"/>
        <v>0</v>
      </c>
      <c r="G62" s="245"/>
    </row>
    <row r="63" spans="1:7">
      <c r="A63" s="595">
        <v>12</v>
      </c>
      <c r="B63" s="96"/>
      <c r="C63" s="2252">
        <v>0</v>
      </c>
      <c r="D63" s="2253"/>
      <c r="E63" s="2252"/>
      <c r="F63" s="2252">
        <f t="shared" si="0"/>
        <v>0</v>
      </c>
      <c r="G63" s="245"/>
    </row>
    <row r="64" spans="1:7">
      <c r="A64" s="595">
        <v>13</v>
      </c>
      <c r="B64" s="96"/>
      <c r="C64" s="2252">
        <v>0</v>
      </c>
      <c r="D64" s="2253"/>
      <c r="E64" s="2252"/>
      <c r="F64" s="2252">
        <f t="shared" si="0"/>
        <v>0</v>
      </c>
      <c r="G64" s="245"/>
    </row>
    <row r="65" spans="1:8">
      <c r="A65" s="595">
        <v>14</v>
      </c>
      <c r="B65" s="96"/>
      <c r="C65" s="2252">
        <v>0</v>
      </c>
      <c r="D65" s="2253"/>
      <c r="E65" s="2252"/>
      <c r="F65" s="2252">
        <f t="shared" si="0"/>
        <v>0</v>
      </c>
      <c r="G65" s="245"/>
    </row>
    <row r="66" spans="1:8">
      <c r="A66" s="595">
        <v>15</v>
      </c>
      <c r="B66" s="96"/>
      <c r="C66" s="2252">
        <v>0</v>
      </c>
      <c r="D66" s="2253"/>
      <c r="E66" s="2252"/>
      <c r="F66" s="2252">
        <f t="shared" si="0"/>
        <v>0</v>
      </c>
      <c r="G66" s="245"/>
    </row>
    <row r="67" spans="1:8">
      <c r="A67" s="595">
        <v>16</v>
      </c>
      <c r="B67" s="96"/>
      <c r="C67" s="2252">
        <v>0</v>
      </c>
      <c r="D67" s="2253"/>
      <c r="E67" s="2252"/>
      <c r="F67" s="2252">
        <f t="shared" si="0"/>
        <v>0</v>
      </c>
      <c r="G67" s="245"/>
    </row>
    <row r="68" spans="1:8">
      <c r="A68" s="595">
        <v>17</v>
      </c>
      <c r="B68" s="96"/>
      <c r="C68" s="2252">
        <v>0</v>
      </c>
      <c r="D68" s="2253"/>
      <c r="E68" s="2252"/>
      <c r="F68" s="2252">
        <f t="shared" si="0"/>
        <v>0</v>
      </c>
      <c r="G68" s="245"/>
    </row>
    <row r="69" spans="1:8">
      <c r="A69" s="595">
        <v>18</v>
      </c>
      <c r="B69" s="238"/>
      <c r="C69" s="2252"/>
      <c r="D69" s="2253"/>
      <c r="E69" s="2252"/>
      <c r="F69" s="2252">
        <f t="shared" si="0"/>
        <v>0</v>
      </c>
      <c r="G69" s="245"/>
    </row>
    <row r="70" spans="1:8" ht="15.75" thickBot="1">
      <c r="A70" s="595">
        <v>19</v>
      </c>
      <c r="B70" s="1021" t="s">
        <v>2121</v>
      </c>
      <c r="C70" s="537">
        <f>SUM(C56:C67)</f>
        <v>0</v>
      </c>
      <c r="D70" s="537">
        <f>SUM(D56:D69)</f>
        <v>0</v>
      </c>
      <c r="E70" s="537">
        <f>SUM(E56:E69)</f>
        <v>0</v>
      </c>
      <c r="F70" s="537">
        <f>SUM(F56:F67)</f>
        <v>0</v>
      </c>
      <c r="G70" s="585">
        <f>SUM(G56:G67)</f>
        <v>0</v>
      </c>
      <c r="H70" s="492" t="str">
        <f>IF(ROUND(F70-'255'!F71, 0)=ROUND(+'114115'!F98,0),"ok","error")</f>
        <v>ok</v>
      </c>
    </row>
    <row r="71" spans="1:8">
      <c r="F71" t="s">
        <v>2024</v>
      </c>
    </row>
    <row r="72" spans="1:8">
      <c r="A72" s="4" t="s">
        <v>2122</v>
      </c>
      <c r="B72" s="4"/>
      <c r="C72" s="4"/>
      <c r="D72" s="4"/>
      <c r="E72" s="4"/>
      <c r="F72" s="4"/>
      <c r="G72" s="4"/>
    </row>
    <row r="73" spans="1:8">
      <c r="D73" s="136"/>
    </row>
    <row r="74" spans="1:8">
      <c r="A74" s="22"/>
      <c r="B74" s="22"/>
      <c r="F74" s="140"/>
    </row>
    <row r="75" spans="1:8">
      <c r="A75" s="22"/>
      <c r="B75" s="22"/>
    </row>
    <row r="76" spans="1:8">
      <c r="A76" s="22"/>
      <c r="B76" s="22"/>
    </row>
    <row r="77" spans="1:8">
      <c r="A77" s="22"/>
      <c r="B77" s="22"/>
    </row>
    <row r="78" spans="1:8">
      <c r="A78" s="22"/>
      <c r="B78" s="108"/>
      <c r="F78" s="140"/>
    </row>
    <row r="79" spans="1:8">
      <c r="A79" s="22"/>
    </row>
    <row r="80" spans="1:8">
      <c r="A80" s="22"/>
      <c r="B80" s="86"/>
    </row>
    <row r="81" spans="1:2">
      <c r="A81" s="22"/>
      <c r="B81" s="108"/>
    </row>
    <row r="82" spans="1:2">
      <c r="A82" s="22"/>
      <c r="B82" s="108"/>
    </row>
    <row r="83" spans="1:2">
      <c r="A83" s="22"/>
      <c r="B83" s="108"/>
    </row>
    <row r="84" spans="1:2">
      <c r="A84" s="22"/>
      <c r="B84" s="108"/>
    </row>
    <row r="85" spans="1:2">
      <c r="A85" s="22"/>
      <c r="B85" s="86"/>
    </row>
    <row r="86" spans="1:2">
      <c r="A86" s="22"/>
      <c r="B86" s="108"/>
    </row>
    <row r="87" spans="1:2">
      <c r="A87" s="22"/>
    </row>
    <row r="88" spans="1:2">
      <c r="A88" s="22"/>
      <c r="B88" s="22"/>
    </row>
  </sheetData>
  <phoneticPr fontId="0" type="noConversion"/>
  <printOptions horizontalCentered="1" verticalCentered="1"/>
  <pageMargins left="0.4" right="0.4" top="0.3" bottom="0.3" header="0" footer="0"/>
  <pageSetup scale="7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ransitionEvaluation="1" codeName="Sheet46"/>
  <dimension ref="A1:P148"/>
  <sheetViews>
    <sheetView defaultGridColor="0" colorId="22" zoomScaleNormal="100" workbookViewId="0">
      <pane xSplit="1" ySplit="30" topLeftCell="B31" activePane="bottomRight" state="frozen"/>
      <selection activeCell="R36" sqref="R36"/>
      <selection pane="topRight" activeCell="R36" sqref="R36"/>
      <selection pane="bottomLeft" activeCell="R36" sqref="R36"/>
      <selection pane="bottomRight" activeCell="R36" sqref="R36"/>
    </sheetView>
  </sheetViews>
  <sheetFormatPr defaultColWidth="9.77734375" defaultRowHeight="15"/>
  <cols>
    <col min="1" max="1" width="4.77734375" customWidth="1"/>
    <col min="2" max="2" width="51.21875" customWidth="1"/>
    <col min="3" max="3" width="18.77734375" customWidth="1"/>
    <col min="4" max="4" width="16.77734375" customWidth="1"/>
    <col min="5" max="5" width="18.5546875" customWidth="1"/>
    <col min="6" max="6" width="16.77734375" customWidth="1"/>
    <col min="7" max="7" width="15.77734375" customWidth="1"/>
    <col min="8" max="8" width="18.77734375" customWidth="1"/>
    <col min="9" max="9" width="14.77734375" customWidth="1"/>
    <col min="10" max="10" width="18.77734375" customWidth="1"/>
    <col min="11" max="11" width="14.77734375" customWidth="1"/>
    <col min="12" max="12" width="4.77734375" customWidth="1"/>
    <col min="13" max="13" width="2.88671875" bestFit="1" customWidth="1"/>
  </cols>
  <sheetData>
    <row r="1" spans="1:12" ht="15.75" thickBot="1">
      <c r="A1" t="str">
        <f>'Data sheet'!A59</f>
        <v>Annual Report of Veolia Water New York, Inc.                                                             Year Ended  December 31, 2023</v>
      </c>
      <c r="F1" t="str">
        <f>'Data sheet'!A57</f>
        <v>Annual Report of Veolia Water New York, Inc.                                              Year Ended  December 31, 2023</v>
      </c>
    </row>
    <row r="2" spans="1:12">
      <c r="A2" s="129"/>
      <c r="B2" s="130"/>
      <c r="C2" s="130"/>
      <c r="D2" s="130"/>
      <c r="E2" s="131"/>
      <c r="F2" s="129"/>
      <c r="G2" s="130"/>
      <c r="H2" s="130"/>
      <c r="I2" s="130"/>
      <c r="J2" s="130"/>
      <c r="K2" s="130"/>
      <c r="L2" s="131"/>
    </row>
    <row r="3" spans="1:12" ht="15.75">
      <c r="A3" s="118" t="s">
        <v>4138</v>
      </c>
      <c r="B3" s="5"/>
      <c r="C3" s="5"/>
      <c r="D3" s="5"/>
      <c r="E3" s="132"/>
      <c r="F3" s="118" t="s">
        <v>218</v>
      </c>
      <c r="G3" s="1537" t="s">
        <v>2619</v>
      </c>
      <c r="H3" s="86"/>
      <c r="I3" s="86"/>
      <c r="J3" s="86"/>
      <c r="K3" s="86"/>
      <c r="L3" s="87"/>
    </row>
    <row r="4" spans="1:12">
      <c r="A4" s="97"/>
      <c r="B4" s="98"/>
      <c r="C4" s="98"/>
      <c r="D4" s="128"/>
      <c r="E4" s="225"/>
      <c r="F4" s="97"/>
      <c r="G4" s="98"/>
      <c r="H4" s="98"/>
      <c r="I4" s="128"/>
      <c r="J4" s="224"/>
      <c r="K4" s="98"/>
      <c r="L4" s="101"/>
    </row>
    <row r="5" spans="1:12" ht="15.75">
      <c r="A5" s="83"/>
      <c r="E5" s="604"/>
      <c r="F5" s="83"/>
      <c r="L5" s="214"/>
    </row>
    <row r="6" spans="1:12">
      <c r="A6" s="85"/>
      <c r="B6" s="86"/>
      <c r="C6" s="86"/>
      <c r="D6" s="86"/>
      <c r="E6" s="87"/>
      <c r="F6" s="85"/>
      <c r="G6" s="86"/>
      <c r="H6" s="86"/>
      <c r="I6" s="86"/>
      <c r="J6" s="86"/>
      <c r="K6" s="86"/>
      <c r="L6" s="87"/>
    </row>
    <row r="7" spans="1:12">
      <c r="A7" s="85" t="s">
        <v>4139</v>
      </c>
      <c r="B7" s="86"/>
      <c r="C7" s="86" t="s">
        <v>3426</v>
      </c>
      <c r="D7" s="86"/>
      <c r="E7" s="87"/>
      <c r="F7" s="85" t="s">
        <v>3427</v>
      </c>
      <c r="G7" s="86"/>
      <c r="H7" s="86"/>
      <c r="I7" s="86" t="s">
        <v>3806</v>
      </c>
      <c r="J7" s="86"/>
      <c r="K7" s="86"/>
      <c r="L7" s="87"/>
    </row>
    <row r="8" spans="1:12">
      <c r="A8" s="85" t="s">
        <v>3807</v>
      </c>
      <c r="B8" s="86"/>
      <c r="C8" s="86" t="s">
        <v>2955</v>
      </c>
      <c r="D8" s="86"/>
      <c r="E8" s="87"/>
      <c r="F8" s="85" t="s">
        <v>4183</v>
      </c>
      <c r="G8" s="86"/>
      <c r="H8" s="86"/>
      <c r="I8" s="86" t="s">
        <v>4184</v>
      </c>
      <c r="J8" s="86"/>
      <c r="K8" s="86"/>
      <c r="L8" s="87"/>
    </row>
    <row r="9" spans="1:12">
      <c r="A9" s="85" t="s">
        <v>4185</v>
      </c>
      <c r="B9" s="86"/>
      <c r="C9" s="86" t="s">
        <v>4186</v>
      </c>
      <c r="D9" s="86"/>
      <c r="E9" s="87"/>
      <c r="F9" s="85" t="s">
        <v>3347</v>
      </c>
      <c r="G9" s="86"/>
      <c r="H9" s="86"/>
      <c r="I9" s="86" t="s">
        <v>2972</v>
      </c>
      <c r="J9" s="86"/>
      <c r="K9" s="86"/>
      <c r="L9" s="87"/>
    </row>
    <row r="10" spans="1:12">
      <c r="A10" s="85" t="s">
        <v>2973</v>
      </c>
      <c r="B10" s="86"/>
      <c r="C10" s="86" t="s">
        <v>2974</v>
      </c>
      <c r="D10" s="86"/>
      <c r="E10" s="87"/>
      <c r="F10" s="85" t="s">
        <v>545</v>
      </c>
      <c r="G10" s="86"/>
      <c r="H10" s="86"/>
      <c r="I10" s="86" t="s">
        <v>1160</v>
      </c>
      <c r="J10" s="86"/>
      <c r="K10" s="86"/>
      <c r="L10" s="87"/>
    </row>
    <row r="11" spans="1:12">
      <c r="A11" s="85" t="s">
        <v>1161</v>
      </c>
      <c r="B11" s="86"/>
      <c r="C11" s="86" t="s">
        <v>1162</v>
      </c>
      <c r="D11" s="86"/>
      <c r="E11" s="87"/>
      <c r="F11" s="85" t="s">
        <v>739</v>
      </c>
      <c r="G11" s="86"/>
      <c r="H11" s="86"/>
      <c r="I11" s="86" t="s">
        <v>740</v>
      </c>
      <c r="J11" s="86"/>
      <c r="K11" s="86"/>
      <c r="L11" s="87"/>
    </row>
    <row r="12" spans="1:12">
      <c r="A12" s="85" t="s">
        <v>741</v>
      </c>
      <c r="B12" s="86"/>
      <c r="C12" s="86" t="s">
        <v>742</v>
      </c>
      <c r="D12" s="86"/>
      <c r="E12" s="87"/>
      <c r="F12" s="85" t="s">
        <v>743</v>
      </c>
      <c r="G12" s="86"/>
      <c r="H12" s="86"/>
      <c r="I12" s="86" t="s">
        <v>744</v>
      </c>
      <c r="J12" s="86"/>
      <c r="K12" s="86"/>
      <c r="L12" s="87"/>
    </row>
    <row r="13" spans="1:12">
      <c r="A13" s="85" t="s">
        <v>745</v>
      </c>
      <c r="B13" s="86"/>
      <c r="C13" s="86" t="s">
        <v>2771</v>
      </c>
      <c r="D13" s="86"/>
      <c r="E13" s="87"/>
      <c r="F13" s="85" t="s">
        <v>3777</v>
      </c>
      <c r="G13" s="86"/>
      <c r="H13" s="86"/>
      <c r="I13" s="86" t="s">
        <v>3778</v>
      </c>
      <c r="J13" s="86"/>
      <c r="K13" s="86"/>
      <c r="L13" s="87"/>
    </row>
    <row r="14" spans="1:12">
      <c r="A14" s="85" t="s">
        <v>1271</v>
      </c>
      <c r="B14" s="86"/>
      <c r="C14" s="86" t="s">
        <v>3186</v>
      </c>
      <c r="D14" s="86"/>
      <c r="E14" s="87"/>
      <c r="F14" s="85" t="s">
        <v>3187</v>
      </c>
      <c r="G14" s="86"/>
      <c r="H14" s="86"/>
      <c r="I14" s="86" t="s">
        <v>3188</v>
      </c>
      <c r="J14" s="86"/>
      <c r="K14" s="86"/>
      <c r="L14" s="87"/>
    </row>
    <row r="15" spans="1:12">
      <c r="A15" s="85" t="s">
        <v>3189</v>
      </c>
      <c r="B15" s="86"/>
      <c r="C15" s="86" t="s">
        <v>3190</v>
      </c>
      <c r="D15" s="86"/>
      <c r="E15" s="87"/>
      <c r="F15" s="85" t="s">
        <v>3191</v>
      </c>
      <c r="G15" s="86"/>
      <c r="H15" s="86"/>
      <c r="I15" s="86" t="s">
        <v>273</v>
      </c>
      <c r="J15" s="86"/>
      <c r="K15" s="86"/>
      <c r="L15" s="87"/>
    </row>
    <row r="16" spans="1:12">
      <c r="A16" s="85" t="s">
        <v>2529</v>
      </c>
      <c r="B16" s="86"/>
      <c r="C16" s="86" t="s">
        <v>2530</v>
      </c>
      <c r="D16" s="86"/>
      <c r="E16" s="87"/>
      <c r="F16" s="85" t="s">
        <v>2531</v>
      </c>
      <c r="G16" s="86"/>
      <c r="H16" s="86"/>
      <c r="I16" s="86" t="s">
        <v>2532</v>
      </c>
      <c r="J16" s="86"/>
      <c r="K16" s="86"/>
      <c r="L16" s="87"/>
    </row>
    <row r="17" spans="1:12">
      <c r="A17" s="85" t="s">
        <v>2533</v>
      </c>
      <c r="B17" s="86"/>
      <c r="C17" s="86" t="s">
        <v>1513</v>
      </c>
      <c r="D17" s="86"/>
      <c r="E17" s="87"/>
      <c r="F17" s="85" t="s">
        <v>2762</v>
      </c>
      <c r="G17" s="86"/>
      <c r="H17" s="86"/>
      <c r="I17" s="86" t="s">
        <v>2763</v>
      </c>
      <c r="J17" s="86"/>
      <c r="K17" s="86"/>
      <c r="L17" s="87"/>
    </row>
    <row r="18" spans="1:12">
      <c r="A18" s="85" t="s">
        <v>2764</v>
      </c>
      <c r="B18" s="86"/>
      <c r="C18" s="86" t="s">
        <v>2765</v>
      </c>
      <c r="D18" s="86"/>
      <c r="E18" s="87"/>
      <c r="F18" s="85" t="s">
        <v>1768</v>
      </c>
      <c r="G18" s="86"/>
      <c r="H18" s="86"/>
      <c r="I18" s="86" t="s">
        <v>1769</v>
      </c>
      <c r="J18" s="86"/>
      <c r="K18" s="86"/>
      <c r="L18" s="87"/>
    </row>
    <row r="19" spans="1:12">
      <c r="A19" s="85" t="s">
        <v>2504</v>
      </c>
      <c r="B19" s="86"/>
      <c r="C19" s="86" t="s">
        <v>2505</v>
      </c>
      <c r="D19" s="86"/>
      <c r="E19" s="87"/>
      <c r="F19" s="85" t="s">
        <v>2506</v>
      </c>
      <c r="G19" s="86"/>
      <c r="H19" s="86"/>
      <c r="I19" s="86" t="s">
        <v>2507</v>
      </c>
      <c r="J19" s="86"/>
      <c r="K19" s="86"/>
      <c r="L19" s="87"/>
    </row>
    <row r="20" spans="1:12">
      <c r="A20" s="85" t="s">
        <v>2136</v>
      </c>
      <c r="B20" s="86"/>
      <c r="C20" s="86" t="s">
        <v>2137</v>
      </c>
      <c r="D20" s="86"/>
      <c r="E20" s="87"/>
      <c r="F20" s="85" t="s">
        <v>2138</v>
      </c>
      <c r="G20" s="86"/>
      <c r="H20" s="86"/>
      <c r="I20" s="86" t="s">
        <v>2139</v>
      </c>
      <c r="J20" s="86"/>
      <c r="K20" s="86"/>
      <c r="L20" s="87"/>
    </row>
    <row r="21" spans="1:12">
      <c r="A21" s="85" t="s">
        <v>2140</v>
      </c>
      <c r="B21" s="86"/>
      <c r="C21" s="86" t="s">
        <v>2141</v>
      </c>
      <c r="D21" s="86"/>
      <c r="E21" s="87"/>
      <c r="F21" s="85"/>
      <c r="G21" s="86"/>
      <c r="H21" s="86"/>
      <c r="I21" s="86"/>
      <c r="J21" s="86"/>
      <c r="K21" s="86"/>
      <c r="L21" s="87"/>
    </row>
    <row r="22" spans="1:12">
      <c r="A22" s="85" t="s">
        <v>2142</v>
      </c>
      <c r="B22" s="86"/>
      <c r="C22" s="86" t="s">
        <v>2143</v>
      </c>
      <c r="D22" s="86"/>
      <c r="E22" s="87"/>
      <c r="F22" s="85"/>
      <c r="G22" s="86"/>
      <c r="H22" s="86"/>
      <c r="I22" s="86"/>
      <c r="J22" s="86"/>
      <c r="K22" s="86"/>
      <c r="L22" s="87"/>
    </row>
    <row r="23" spans="1:12">
      <c r="A23" s="85"/>
      <c r="B23" s="86"/>
      <c r="C23" s="86"/>
      <c r="D23" s="86"/>
      <c r="E23" s="87"/>
      <c r="F23" s="85"/>
      <c r="G23" s="86"/>
      <c r="H23" s="86"/>
      <c r="I23" s="86"/>
      <c r="J23" s="86"/>
      <c r="K23" s="86"/>
      <c r="L23" s="87"/>
    </row>
    <row r="24" spans="1:12">
      <c r="A24" s="501" t="s">
        <v>218</v>
      </c>
      <c r="B24" s="90" t="s">
        <v>218</v>
      </c>
      <c r="C24" s="91"/>
      <c r="D24" s="605"/>
      <c r="E24" s="243"/>
      <c r="F24" s="501" t="s">
        <v>218</v>
      </c>
      <c r="G24" s="91"/>
      <c r="H24" s="477" t="s">
        <v>2144</v>
      </c>
      <c r="I24" s="606"/>
      <c r="J24" s="1022" t="s">
        <v>2344</v>
      </c>
      <c r="K24" s="91"/>
      <c r="L24" s="138"/>
    </row>
    <row r="25" spans="1:12">
      <c r="A25" s="226" t="s">
        <v>218</v>
      </c>
      <c r="B25" s="86" t="s">
        <v>1876</v>
      </c>
      <c r="C25" s="95"/>
      <c r="D25" s="440" t="s">
        <v>1877</v>
      </c>
      <c r="E25" s="135" t="s">
        <v>1878</v>
      </c>
      <c r="F25" s="237" t="s">
        <v>1879</v>
      </c>
      <c r="G25" s="440" t="s">
        <v>186</v>
      </c>
      <c r="H25" s="95"/>
      <c r="I25" s="91"/>
      <c r="J25" s="440" t="s">
        <v>1880</v>
      </c>
      <c r="K25" s="440" t="s">
        <v>401</v>
      </c>
      <c r="L25" s="135"/>
    </row>
    <row r="26" spans="1:12">
      <c r="A26" s="237" t="s">
        <v>1727</v>
      </c>
      <c r="B26" s="86" t="s">
        <v>402</v>
      </c>
      <c r="C26" s="95"/>
      <c r="D26" s="440" t="s">
        <v>403</v>
      </c>
      <c r="E26" s="135" t="s">
        <v>404</v>
      </c>
      <c r="F26" s="237" t="s">
        <v>405</v>
      </c>
      <c r="G26" s="440" t="s">
        <v>2588</v>
      </c>
      <c r="H26" s="440" t="s">
        <v>406</v>
      </c>
      <c r="I26" s="440" t="s">
        <v>407</v>
      </c>
      <c r="J26" s="440" t="s">
        <v>408</v>
      </c>
      <c r="K26" s="440" t="s">
        <v>1291</v>
      </c>
      <c r="L26" s="363" t="s">
        <v>1727</v>
      </c>
    </row>
    <row r="27" spans="1:12">
      <c r="A27" s="237" t="s">
        <v>1739</v>
      </c>
      <c r="B27" s="86"/>
      <c r="C27" s="95"/>
      <c r="D27" s="440" t="s">
        <v>409</v>
      </c>
      <c r="E27" s="135" t="s">
        <v>410</v>
      </c>
      <c r="F27" s="226"/>
      <c r="G27" s="95"/>
      <c r="H27" s="95"/>
      <c r="I27" s="95"/>
      <c r="J27" s="440" t="s">
        <v>411</v>
      </c>
      <c r="K27" s="95"/>
      <c r="L27" s="363" t="s">
        <v>1739</v>
      </c>
    </row>
    <row r="28" spans="1:12">
      <c r="A28" s="226"/>
      <c r="B28" s="86"/>
      <c r="C28" s="95"/>
      <c r="D28" s="95"/>
      <c r="E28" s="135"/>
      <c r="F28" s="226"/>
      <c r="G28" s="95"/>
      <c r="H28" s="95"/>
      <c r="I28" s="95"/>
      <c r="J28" s="440" t="s">
        <v>412</v>
      </c>
      <c r="K28" s="95"/>
      <c r="L28" s="135"/>
    </row>
    <row r="29" spans="1:12">
      <c r="A29" s="226"/>
      <c r="B29" s="86"/>
      <c r="C29" s="95"/>
      <c r="D29" s="95"/>
      <c r="E29" s="135"/>
      <c r="F29" s="226"/>
      <c r="G29" s="95"/>
      <c r="H29" s="95"/>
      <c r="I29" s="95"/>
      <c r="J29" s="440" t="s">
        <v>413</v>
      </c>
      <c r="K29" s="95"/>
      <c r="L29" s="135"/>
    </row>
    <row r="30" spans="1:12">
      <c r="A30" s="226"/>
      <c r="B30" s="94" t="s">
        <v>414</v>
      </c>
      <c r="C30" s="99"/>
      <c r="D30" s="94" t="s">
        <v>3280</v>
      </c>
      <c r="E30" s="363" t="s">
        <v>3281</v>
      </c>
      <c r="F30" s="237" t="s">
        <v>3282</v>
      </c>
      <c r="G30" s="94" t="s">
        <v>721</v>
      </c>
      <c r="H30" s="109" t="s">
        <v>722</v>
      </c>
      <c r="I30" s="94" t="s">
        <v>723</v>
      </c>
      <c r="J30" s="109" t="s">
        <v>335</v>
      </c>
      <c r="K30" s="94" t="s">
        <v>336</v>
      </c>
      <c r="L30" s="153"/>
    </row>
    <row r="31" spans="1:12">
      <c r="A31" s="480" t="s">
        <v>340</v>
      </c>
      <c r="B31" s="607" t="s">
        <v>415</v>
      </c>
      <c r="C31" s="605"/>
      <c r="D31" s="91"/>
      <c r="E31" s="93"/>
      <c r="F31" s="501"/>
      <c r="G31" s="91"/>
      <c r="H31" s="91"/>
      <c r="I31" s="91"/>
      <c r="J31" s="90"/>
      <c r="K31" s="92"/>
      <c r="L31" s="593" t="s">
        <v>340</v>
      </c>
    </row>
    <row r="32" spans="1:12">
      <c r="A32" s="237" t="s">
        <v>341</v>
      </c>
      <c r="B32" s="86" t="s">
        <v>4974</v>
      </c>
      <c r="C32" s="227"/>
      <c r="D32" s="608"/>
      <c r="E32" s="435"/>
      <c r="F32" s="226"/>
      <c r="G32" s="95"/>
      <c r="H32" s="95"/>
      <c r="I32" s="608"/>
      <c r="J32" s="608"/>
      <c r="K32" s="554"/>
      <c r="L32" s="363" t="s">
        <v>341</v>
      </c>
    </row>
    <row r="33" spans="1:12">
      <c r="A33" s="237" t="s">
        <v>342</v>
      </c>
      <c r="B33" s="86"/>
      <c r="C33" s="227"/>
      <c r="D33" s="577"/>
      <c r="E33" s="427"/>
      <c r="F33" s="226"/>
      <c r="G33" s="95"/>
      <c r="H33" s="95"/>
      <c r="I33" s="95"/>
      <c r="J33" s="577"/>
      <c r="K33" s="508"/>
      <c r="L33" s="363" t="s">
        <v>342</v>
      </c>
    </row>
    <row r="34" spans="1:12">
      <c r="A34" s="237" t="s">
        <v>343</v>
      </c>
      <c r="B34" s="86"/>
      <c r="C34" s="227"/>
      <c r="D34" s="577"/>
      <c r="E34" s="427"/>
      <c r="F34" s="226"/>
      <c r="G34" s="95"/>
      <c r="H34" s="95"/>
      <c r="I34" s="95"/>
      <c r="J34" s="577"/>
      <c r="K34" s="508"/>
      <c r="L34" s="363" t="s">
        <v>343</v>
      </c>
    </row>
    <row r="35" spans="1:12">
      <c r="A35" s="237" t="s">
        <v>344</v>
      </c>
      <c r="B35" s="86"/>
      <c r="C35" s="227"/>
      <c r="D35" s="577"/>
      <c r="E35" s="427"/>
      <c r="F35" s="226"/>
      <c r="G35" s="95"/>
      <c r="H35" s="95"/>
      <c r="I35" s="577"/>
      <c r="J35" s="577"/>
      <c r="K35" s="508"/>
      <c r="L35" s="363" t="s">
        <v>344</v>
      </c>
    </row>
    <row r="36" spans="1:12">
      <c r="A36" s="237" t="s">
        <v>345</v>
      </c>
      <c r="B36" s="86"/>
      <c r="C36" s="227"/>
      <c r="D36" s="577"/>
      <c r="E36" s="427"/>
      <c r="F36" s="226"/>
      <c r="G36" s="95"/>
      <c r="H36" s="95"/>
      <c r="I36" s="95"/>
      <c r="J36" s="577"/>
      <c r="K36" s="508"/>
      <c r="L36" s="363" t="s">
        <v>345</v>
      </c>
    </row>
    <row r="37" spans="1:12">
      <c r="A37" s="237" t="s">
        <v>346</v>
      </c>
      <c r="B37" s="86"/>
      <c r="C37" s="227"/>
      <c r="D37" s="577"/>
      <c r="E37" s="427"/>
      <c r="F37" s="226"/>
      <c r="G37" s="95"/>
      <c r="H37" s="95"/>
      <c r="I37" s="95"/>
      <c r="J37" s="577"/>
      <c r="K37" s="508"/>
      <c r="L37" s="363" t="s">
        <v>346</v>
      </c>
    </row>
    <row r="38" spans="1:12">
      <c r="A38" s="237" t="s">
        <v>347</v>
      </c>
      <c r="B38" s="86"/>
      <c r="C38" s="227"/>
      <c r="D38" s="577"/>
      <c r="E38" s="427"/>
      <c r="F38" s="226"/>
      <c r="G38" s="95"/>
      <c r="H38" s="95"/>
      <c r="I38" s="95"/>
      <c r="J38" s="577"/>
      <c r="K38" s="508"/>
      <c r="L38" s="363" t="s">
        <v>347</v>
      </c>
    </row>
    <row r="39" spans="1:12">
      <c r="A39" s="237" t="s">
        <v>348</v>
      </c>
      <c r="B39" s="86"/>
      <c r="C39" s="227"/>
      <c r="D39" s="577"/>
      <c r="E39" s="427"/>
      <c r="F39" s="226"/>
      <c r="G39" s="95"/>
      <c r="H39" s="95"/>
      <c r="I39" s="95"/>
      <c r="J39" s="577"/>
      <c r="K39" s="508"/>
      <c r="L39" s="363" t="s">
        <v>348</v>
      </c>
    </row>
    <row r="40" spans="1:12">
      <c r="A40" s="237" t="s">
        <v>349</v>
      </c>
      <c r="B40" s="86"/>
      <c r="C40" s="227"/>
      <c r="D40" s="577"/>
      <c r="E40" s="427"/>
      <c r="F40" s="226"/>
      <c r="G40" s="95"/>
      <c r="H40" s="95"/>
      <c r="I40" s="95"/>
      <c r="J40" s="577"/>
      <c r="K40" s="508"/>
      <c r="L40" s="363" t="s">
        <v>349</v>
      </c>
    </row>
    <row r="41" spans="1:12">
      <c r="A41" s="237" t="s">
        <v>350</v>
      </c>
      <c r="B41" s="86"/>
      <c r="C41" s="227"/>
      <c r="D41" s="577"/>
      <c r="E41" s="427"/>
      <c r="F41" s="226"/>
      <c r="G41" s="95"/>
      <c r="H41" s="95"/>
      <c r="I41" s="95"/>
      <c r="J41" s="577"/>
      <c r="K41" s="508"/>
      <c r="L41" s="363" t="s">
        <v>350</v>
      </c>
    </row>
    <row r="42" spans="1:12">
      <c r="A42" s="237" t="s">
        <v>351</v>
      </c>
      <c r="B42" s="86"/>
      <c r="C42" s="227"/>
      <c r="D42" s="577"/>
      <c r="E42" s="427"/>
      <c r="F42" s="226"/>
      <c r="G42" s="95"/>
      <c r="H42" s="95"/>
      <c r="I42" s="95"/>
      <c r="J42" s="577"/>
      <c r="K42" s="508"/>
      <c r="L42" s="363" t="s">
        <v>351</v>
      </c>
    </row>
    <row r="43" spans="1:12">
      <c r="A43" s="237" t="s">
        <v>352</v>
      </c>
      <c r="B43" s="86"/>
      <c r="C43" s="227"/>
      <c r="D43" s="577"/>
      <c r="E43" s="427"/>
      <c r="F43" s="226"/>
      <c r="G43" s="95"/>
      <c r="H43" s="95"/>
      <c r="I43" s="95"/>
      <c r="J43" s="577"/>
      <c r="K43" s="508"/>
      <c r="L43" s="363" t="s">
        <v>352</v>
      </c>
    </row>
    <row r="44" spans="1:12">
      <c r="A44" s="237" t="s">
        <v>353</v>
      </c>
      <c r="B44" s="86"/>
      <c r="C44" s="227"/>
      <c r="D44" s="577"/>
      <c r="E44" s="427"/>
      <c r="F44" s="226"/>
      <c r="G44" s="95"/>
      <c r="H44" s="95"/>
      <c r="I44" s="95"/>
      <c r="J44" s="577"/>
      <c r="K44" s="508"/>
      <c r="L44" s="363" t="s">
        <v>353</v>
      </c>
    </row>
    <row r="45" spans="1:12">
      <c r="A45" s="237" t="s">
        <v>354</v>
      </c>
      <c r="B45" s="86"/>
      <c r="C45" s="227"/>
      <c r="D45" s="577"/>
      <c r="E45" s="427"/>
      <c r="F45" s="226"/>
      <c r="G45" s="95"/>
      <c r="H45" s="95"/>
      <c r="I45" s="95"/>
      <c r="J45" s="577"/>
      <c r="K45" s="508"/>
      <c r="L45" s="363" t="s">
        <v>354</v>
      </c>
    </row>
    <row r="46" spans="1:12">
      <c r="A46" s="237" t="s">
        <v>355</v>
      </c>
      <c r="B46" s="86"/>
      <c r="C46" s="227"/>
      <c r="D46" s="577"/>
      <c r="E46" s="427"/>
      <c r="F46" s="226"/>
      <c r="G46" s="95"/>
      <c r="H46" s="95"/>
      <c r="I46" s="95"/>
      <c r="J46" s="577"/>
      <c r="K46" s="508"/>
      <c r="L46" s="363" t="s">
        <v>355</v>
      </c>
    </row>
    <row r="47" spans="1:12">
      <c r="A47" s="237" t="s">
        <v>356</v>
      </c>
      <c r="B47" s="86"/>
      <c r="C47" s="227"/>
      <c r="D47" s="577"/>
      <c r="E47" s="427"/>
      <c r="F47" s="226"/>
      <c r="G47" s="95"/>
      <c r="H47" s="95"/>
      <c r="I47" s="95"/>
      <c r="J47" s="577"/>
      <c r="K47" s="508"/>
      <c r="L47" s="363" t="s">
        <v>356</v>
      </c>
    </row>
    <row r="48" spans="1:12">
      <c r="A48" s="237" t="s">
        <v>357</v>
      </c>
      <c r="B48" s="86"/>
      <c r="C48" s="227"/>
      <c r="D48" s="577"/>
      <c r="E48" s="427"/>
      <c r="F48" s="226"/>
      <c r="G48" s="95"/>
      <c r="H48" s="95"/>
      <c r="I48" s="95"/>
      <c r="J48" s="577"/>
      <c r="K48" s="508"/>
      <c r="L48" s="363" t="s">
        <v>357</v>
      </c>
    </row>
    <row r="49" spans="1:16">
      <c r="A49" s="237" t="s">
        <v>358</v>
      </c>
      <c r="B49" s="86"/>
      <c r="C49" s="227"/>
      <c r="D49" s="577"/>
      <c r="E49" s="427"/>
      <c r="F49" s="226"/>
      <c r="G49" s="95"/>
      <c r="H49" s="95"/>
      <c r="I49" s="95"/>
      <c r="J49" s="577"/>
      <c r="K49" s="508"/>
      <c r="L49" s="363" t="s">
        <v>358</v>
      </c>
    </row>
    <row r="50" spans="1:16">
      <c r="A50" s="237" t="s">
        <v>359</v>
      </c>
      <c r="B50" s="94" t="s">
        <v>3537</v>
      </c>
      <c r="C50" s="227"/>
      <c r="D50" s="381">
        <f>SUM(D32:D49)</f>
        <v>0</v>
      </c>
      <c r="E50" s="379">
        <f>SUM(E32:E49)</f>
        <v>0</v>
      </c>
      <c r="F50" s="226"/>
      <c r="G50" s="95"/>
      <c r="H50" s="95"/>
      <c r="I50" s="95"/>
      <c r="J50" s="381">
        <f>SUM(J32:J49)</f>
        <v>0</v>
      </c>
      <c r="K50" s="381">
        <f>SUM(K32:K49)</f>
        <v>0</v>
      </c>
      <c r="L50" s="363" t="s">
        <v>359</v>
      </c>
    </row>
    <row r="51" spans="1:16">
      <c r="A51" s="237" t="s">
        <v>360</v>
      </c>
      <c r="B51" s="86"/>
      <c r="C51" s="227"/>
      <c r="D51" s="95"/>
      <c r="E51" s="87"/>
      <c r="F51" s="226"/>
      <c r="G51" s="95"/>
      <c r="H51" s="95"/>
      <c r="I51" s="95"/>
      <c r="J51" s="95"/>
      <c r="K51" s="96"/>
      <c r="L51" s="363" t="s">
        <v>360</v>
      </c>
    </row>
    <row r="52" spans="1:16">
      <c r="A52" s="237" t="s">
        <v>361</v>
      </c>
      <c r="B52" s="239" t="s">
        <v>416</v>
      </c>
      <c r="C52" s="227"/>
      <c r="D52" s="95"/>
      <c r="E52" s="87"/>
      <c r="F52" s="226"/>
      <c r="G52" s="95"/>
      <c r="H52" s="95"/>
      <c r="I52" s="95"/>
      <c r="J52" s="95"/>
      <c r="K52" s="96"/>
      <c r="L52" s="363" t="s">
        <v>361</v>
      </c>
    </row>
    <row r="53" spans="1:16">
      <c r="A53" s="237" t="s">
        <v>362</v>
      </c>
      <c r="B53" s="86" t="s">
        <v>4974</v>
      </c>
      <c r="C53" s="227"/>
      <c r="D53" s="608"/>
      <c r="E53" s="435"/>
      <c r="F53" s="226"/>
      <c r="G53" s="95"/>
      <c r="H53" s="95"/>
      <c r="I53" s="95"/>
      <c r="J53" s="608"/>
      <c r="K53" s="554"/>
      <c r="L53" s="363" t="s">
        <v>362</v>
      </c>
    </row>
    <row r="54" spans="1:16">
      <c r="A54" s="237" t="s">
        <v>363</v>
      </c>
      <c r="B54" s="86"/>
      <c r="C54" s="227"/>
      <c r="D54" s="577"/>
      <c r="E54" s="427"/>
      <c r="F54" s="226"/>
      <c r="G54" s="95"/>
      <c r="H54" s="95"/>
      <c r="I54" s="95"/>
      <c r="J54" s="577"/>
      <c r="K54" s="508"/>
      <c r="L54" s="363" t="s">
        <v>363</v>
      </c>
    </row>
    <row r="55" spans="1:16">
      <c r="A55" s="237" t="s">
        <v>364</v>
      </c>
      <c r="B55" s="86"/>
      <c r="C55" s="227"/>
      <c r="D55" s="577"/>
      <c r="E55" s="427"/>
      <c r="F55" s="226"/>
      <c r="G55" s="95"/>
      <c r="H55" s="95"/>
      <c r="I55" s="95"/>
      <c r="J55" s="577"/>
      <c r="K55" s="508"/>
      <c r="L55" s="363" t="s">
        <v>364</v>
      </c>
    </row>
    <row r="56" spans="1:16">
      <c r="A56" s="237" t="s">
        <v>3238</v>
      </c>
      <c r="B56" s="86"/>
      <c r="C56" s="227"/>
      <c r="D56" s="577"/>
      <c r="E56" s="427"/>
      <c r="F56" s="226"/>
      <c r="G56" s="95"/>
      <c r="H56" s="95"/>
      <c r="I56" s="95"/>
      <c r="J56" s="577"/>
      <c r="K56" s="508"/>
      <c r="L56" s="363" t="s">
        <v>3238</v>
      </c>
    </row>
    <row r="57" spans="1:16">
      <c r="A57" s="237" t="s">
        <v>3239</v>
      </c>
      <c r="B57" s="86"/>
      <c r="C57" s="227"/>
      <c r="D57" s="577"/>
      <c r="E57" s="427"/>
      <c r="F57" s="226"/>
      <c r="G57" s="95"/>
      <c r="H57" s="95"/>
      <c r="I57" s="95"/>
      <c r="J57" s="577"/>
      <c r="K57" s="508"/>
      <c r="L57" s="363" t="s">
        <v>3239</v>
      </c>
    </row>
    <row r="58" spans="1:16">
      <c r="A58" s="237" t="s">
        <v>3240</v>
      </c>
      <c r="B58" s="94" t="s">
        <v>3537</v>
      </c>
      <c r="C58" s="227"/>
      <c r="D58" s="381">
        <f>SUM(D53:D57)</f>
        <v>0</v>
      </c>
      <c r="E58" s="379">
        <f>SUM(E53:E57)</f>
        <v>0</v>
      </c>
      <c r="F58" s="226"/>
      <c r="G58" s="95"/>
      <c r="H58" s="95"/>
      <c r="I58" s="95"/>
      <c r="J58" s="381">
        <f>SUM(J53:J57)</f>
        <v>0</v>
      </c>
      <c r="K58" s="381">
        <f>SUM(K53:K57)</f>
        <v>0</v>
      </c>
      <c r="L58" s="363" t="s">
        <v>3240</v>
      </c>
    </row>
    <row r="59" spans="1:16">
      <c r="A59" s="237" t="s">
        <v>3241</v>
      </c>
      <c r="B59" s="86"/>
      <c r="C59" s="227"/>
      <c r="D59" s="95"/>
      <c r="E59" s="87"/>
      <c r="F59" s="226"/>
      <c r="G59" s="95"/>
      <c r="H59" s="95"/>
      <c r="I59" s="95"/>
      <c r="J59" s="95"/>
      <c r="K59" s="96"/>
      <c r="L59" s="363" t="s">
        <v>3241</v>
      </c>
    </row>
    <row r="60" spans="1:16">
      <c r="A60" s="237" t="s">
        <v>3242</v>
      </c>
      <c r="B60" s="239" t="s">
        <v>417</v>
      </c>
      <c r="C60" s="227"/>
      <c r="D60" s="95"/>
      <c r="E60" s="87"/>
      <c r="F60" s="226"/>
      <c r="G60" s="95"/>
      <c r="H60" s="95"/>
      <c r="I60" s="95"/>
      <c r="J60" s="95"/>
      <c r="K60" s="96"/>
      <c r="L60" s="363" t="s">
        <v>3242</v>
      </c>
    </row>
    <row r="61" spans="1:16">
      <c r="A61" s="237" t="s">
        <v>3243</v>
      </c>
      <c r="B61" s="86" t="s">
        <v>418</v>
      </c>
      <c r="C61" s="227"/>
      <c r="D61" s="577">
        <f>D84</f>
        <v>0</v>
      </c>
      <c r="E61" s="427">
        <f>E84</f>
        <v>0</v>
      </c>
      <c r="F61" s="226"/>
      <c r="G61" s="95"/>
      <c r="H61" s="95"/>
      <c r="I61" s="95"/>
      <c r="J61" s="577">
        <f>J84</f>
        <v>0</v>
      </c>
      <c r="K61" s="508">
        <f>K84</f>
        <v>0</v>
      </c>
      <c r="L61" s="363" t="s">
        <v>3243</v>
      </c>
    </row>
    <row r="62" spans="1:16">
      <c r="A62" s="237" t="s">
        <v>3244</v>
      </c>
      <c r="B62" s="86" t="s">
        <v>419</v>
      </c>
      <c r="C62" s="228"/>
      <c r="D62" s="577">
        <v>0</v>
      </c>
      <c r="E62" s="427">
        <f>+'116119'!G99</f>
        <v>0</v>
      </c>
      <c r="F62" s="226"/>
      <c r="G62" s="95"/>
      <c r="H62" s="95"/>
      <c r="I62" s="95"/>
      <c r="J62" s="577">
        <f>J121</f>
        <v>0</v>
      </c>
      <c r="K62" s="508">
        <v>0</v>
      </c>
      <c r="L62" s="363" t="s">
        <v>3244</v>
      </c>
      <c r="N62" s="86"/>
    </row>
    <row r="63" spans="1:16" ht="15.75" thickBot="1">
      <c r="A63" s="443" t="s">
        <v>3245</v>
      </c>
      <c r="B63" s="485" t="s">
        <v>4311</v>
      </c>
      <c r="C63" s="125"/>
      <c r="D63" s="486">
        <f>D50+D58+D61+D62</f>
        <v>0</v>
      </c>
      <c r="E63" s="401">
        <f>E50+E58+E61+E62</f>
        <v>0</v>
      </c>
      <c r="F63" s="610"/>
      <c r="G63" s="611"/>
      <c r="H63" s="611"/>
      <c r="I63" s="612"/>
      <c r="J63" s="486">
        <f>J50+J58+J61+J62</f>
        <v>0</v>
      </c>
      <c r="K63" s="400">
        <f>K50+K58+K61+K62</f>
        <v>0</v>
      </c>
      <c r="L63" s="579" t="s">
        <v>3245</v>
      </c>
      <c r="M63" t="str">
        <f>IF(J63='114115'!F83,"ok","error")</f>
        <v>ok</v>
      </c>
      <c r="N63" t="s">
        <v>4658</v>
      </c>
    </row>
    <row r="64" spans="1:16">
      <c r="A64" t="s">
        <v>2024</v>
      </c>
      <c r="B64" s="86"/>
      <c r="G64" s="86"/>
      <c r="J64" s="86"/>
      <c r="K64" s="86" t="s">
        <v>2024</v>
      </c>
      <c r="L64" s="86"/>
      <c r="M64" t="str">
        <f>IF(ROUND(K63,0)=ROUND('116119'!G98,0),"ok","error")</f>
        <v>ok</v>
      </c>
      <c r="N64" t="s">
        <v>4656</v>
      </c>
      <c r="O64" s="140"/>
      <c r="P64" s="572"/>
    </row>
    <row r="65" spans="1:15">
      <c r="A65" s="5" t="s">
        <v>420</v>
      </c>
      <c r="B65" s="4"/>
      <c r="C65" s="5"/>
      <c r="D65" s="5"/>
      <c r="E65" s="5"/>
      <c r="F65" s="5" t="s">
        <v>421</v>
      </c>
      <c r="G65" s="5"/>
      <c r="H65" s="5"/>
      <c r="I65" s="5"/>
      <c r="J65" s="5"/>
      <c r="K65" s="5"/>
      <c r="L65" s="5"/>
      <c r="M65" t="str">
        <f>IF(ROUND(E63,0)=ROUND('116119'!G99,0),"ok","error")</f>
        <v>ok</v>
      </c>
      <c r="N65" t="s">
        <v>4657</v>
      </c>
      <c r="O65" s="140"/>
    </row>
    <row r="66" spans="1:15" ht="15.75" thickBot="1">
      <c r="A66" t="str">
        <f>'Data sheet'!A59</f>
        <v>Annual Report of Veolia Water New York, Inc.                                                             Year Ended  December 31, 2023</v>
      </c>
      <c r="C66" s="86"/>
      <c r="D66" s="128"/>
      <c r="F66" t="str">
        <f>'Data sheet'!A57</f>
        <v>Annual Report of Veolia Water New York, Inc.                                              Year Ended  December 31, 2023</v>
      </c>
      <c r="G66" s="86"/>
      <c r="H66" s="86"/>
      <c r="I66" s="128"/>
      <c r="K66" s="86"/>
      <c r="L66" s="86"/>
    </row>
    <row r="67" spans="1:15">
      <c r="A67" s="613"/>
      <c r="B67" s="614"/>
      <c r="C67" s="614"/>
      <c r="D67" s="614"/>
      <c r="E67" s="495"/>
      <c r="F67" s="613"/>
      <c r="G67" s="614"/>
      <c r="H67" s="614"/>
      <c r="I67" s="614"/>
      <c r="J67" s="614"/>
      <c r="K67" s="614"/>
      <c r="L67" s="495"/>
    </row>
    <row r="68" spans="1:15" ht="15.75">
      <c r="A68" s="118" t="s">
        <v>4138</v>
      </c>
      <c r="B68" s="5"/>
      <c r="C68" s="5"/>
      <c r="D68" s="5"/>
      <c r="E68" s="132"/>
      <c r="F68" s="118" t="s">
        <v>4138</v>
      </c>
      <c r="G68" s="5"/>
      <c r="H68" s="5"/>
      <c r="I68" s="5"/>
      <c r="J68" s="5"/>
      <c r="K68" s="5"/>
      <c r="L68" s="132"/>
    </row>
    <row r="69" spans="1:15">
      <c r="A69" s="85"/>
      <c r="B69" s="86"/>
      <c r="C69" s="86"/>
      <c r="D69" s="86"/>
      <c r="E69" s="615" t="s">
        <v>218</v>
      </c>
      <c r="F69" s="85"/>
      <c r="G69" s="86"/>
      <c r="H69" s="86"/>
      <c r="I69" s="86"/>
      <c r="J69" s="86"/>
      <c r="K69" s="86"/>
      <c r="L69" s="87"/>
    </row>
    <row r="70" spans="1:15">
      <c r="A70" s="501" t="s">
        <v>218</v>
      </c>
      <c r="B70" s="90" t="s">
        <v>218</v>
      </c>
      <c r="C70" s="91"/>
      <c r="D70" s="605"/>
      <c r="E70" s="243"/>
      <c r="F70" s="501" t="s">
        <v>218</v>
      </c>
      <c r="G70" s="91"/>
      <c r="H70" s="477" t="s">
        <v>2144</v>
      </c>
      <c r="I70" s="606"/>
      <c r="J70" s="1022" t="s">
        <v>2344</v>
      </c>
      <c r="K70" s="91"/>
      <c r="L70" s="138"/>
    </row>
    <row r="71" spans="1:15">
      <c r="A71" s="226" t="s">
        <v>218</v>
      </c>
      <c r="B71" s="86" t="s">
        <v>1876</v>
      </c>
      <c r="C71" s="95"/>
      <c r="D71" s="440" t="s">
        <v>1877</v>
      </c>
      <c r="E71" s="135" t="s">
        <v>1878</v>
      </c>
      <c r="F71" s="237" t="s">
        <v>1879</v>
      </c>
      <c r="G71" s="440" t="s">
        <v>186</v>
      </c>
      <c r="H71" s="95"/>
      <c r="I71" s="91"/>
      <c r="J71" s="440" t="s">
        <v>1880</v>
      </c>
      <c r="K71" s="440" t="s">
        <v>401</v>
      </c>
      <c r="L71" s="135"/>
    </row>
    <row r="72" spans="1:15">
      <c r="A72" s="237" t="s">
        <v>1727</v>
      </c>
      <c r="B72" s="86" t="s">
        <v>402</v>
      </c>
      <c r="C72" s="95"/>
      <c r="D72" s="440" t="s">
        <v>403</v>
      </c>
      <c r="E72" s="135" t="s">
        <v>404</v>
      </c>
      <c r="F72" s="237" t="s">
        <v>405</v>
      </c>
      <c r="G72" s="440" t="s">
        <v>2588</v>
      </c>
      <c r="H72" s="440" t="s">
        <v>406</v>
      </c>
      <c r="I72" s="440" t="s">
        <v>407</v>
      </c>
      <c r="J72" s="440" t="s">
        <v>408</v>
      </c>
      <c r="K72" s="440" t="s">
        <v>1291</v>
      </c>
      <c r="L72" s="363" t="s">
        <v>1727</v>
      </c>
    </row>
    <row r="73" spans="1:15">
      <c r="A73" s="237" t="s">
        <v>1739</v>
      </c>
      <c r="B73" s="86"/>
      <c r="C73" s="95"/>
      <c r="D73" s="440" t="s">
        <v>409</v>
      </c>
      <c r="E73" s="135" t="s">
        <v>410</v>
      </c>
      <c r="F73" s="226"/>
      <c r="G73" s="95"/>
      <c r="H73" s="95"/>
      <c r="I73" s="95"/>
      <c r="J73" s="440" t="s">
        <v>411</v>
      </c>
      <c r="K73" s="95"/>
      <c r="L73" s="363" t="s">
        <v>1739</v>
      </c>
    </row>
    <row r="74" spans="1:15">
      <c r="A74" s="226"/>
      <c r="B74" s="86"/>
      <c r="C74" s="95"/>
      <c r="D74" s="95"/>
      <c r="E74" s="135"/>
      <c r="F74" s="226"/>
      <c r="G74" s="95"/>
      <c r="H74" s="95"/>
      <c r="I74" s="95"/>
      <c r="J74" s="440" t="s">
        <v>412</v>
      </c>
      <c r="K74" s="95"/>
      <c r="L74" s="135"/>
    </row>
    <row r="75" spans="1:15">
      <c r="A75" s="226"/>
      <c r="B75" s="86"/>
      <c r="C75" s="95"/>
      <c r="D75" s="95"/>
      <c r="E75" s="135"/>
      <c r="F75" s="226"/>
      <c r="G75" s="95"/>
      <c r="H75" s="95"/>
      <c r="I75" s="95"/>
      <c r="J75" s="440" t="s">
        <v>413</v>
      </c>
      <c r="K75" s="95"/>
      <c r="L75" s="135"/>
    </row>
    <row r="76" spans="1:15">
      <c r="A76" s="226"/>
      <c r="B76" s="94" t="s">
        <v>414</v>
      </c>
      <c r="C76" s="99"/>
      <c r="D76" s="94" t="s">
        <v>3280</v>
      </c>
      <c r="E76" s="363" t="s">
        <v>3281</v>
      </c>
      <c r="F76" s="237" t="s">
        <v>3282</v>
      </c>
      <c r="G76" s="94" t="s">
        <v>721</v>
      </c>
      <c r="H76" s="109" t="s">
        <v>722</v>
      </c>
      <c r="I76" s="94" t="s">
        <v>723</v>
      </c>
      <c r="J76" s="109" t="s">
        <v>335</v>
      </c>
      <c r="K76" s="94" t="s">
        <v>336</v>
      </c>
      <c r="L76" s="153"/>
    </row>
    <row r="77" spans="1:15">
      <c r="A77" s="480" t="s">
        <v>340</v>
      </c>
      <c r="B77" s="607" t="s">
        <v>418</v>
      </c>
      <c r="C77" s="605"/>
      <c r="D77" s="91"/>
      <c r="E77" s="93"/>
      <c r="F77" s="501"/>
      <c r="G77" s="91"/>
      <c r="H77" s="91"/>
      <c r="I77" s="91"/>
      <c r="J77" s="90"/>
      <c r="K77" s="92"/>
      <c r="L77" s="1023" t="s">
        <v>340</v>
      </c>
    </row>
    <row r="78" spans="1:15">
      <c r="A78" s="237" t="s">
        <v>341</v>
      </c>
      <c r="B78" s="86" t="s">
        <v>4974</v>
      </c>
      <c r="C78" s="227"/>
      <c r="D78" s="608"/>
      <c r="E78" s="435"/>
      <c r="F78" s="226"/>
      <c r="G78" s="95"/>
      <c r="H78" s="95"/>
      <c r="I78" s="608"/>
      <c r="J78" s="608"/>
      <c r="K78" s="554"/>
      <c r="L78" s="616" t="s">
        <v>341</v>
      </c>
    </row>
    <row r="79" spans="1:15">
      <c r="A79" s="237" t="s">
        <v>342</v>
      </c>
      <c r="B79" s="86"/>
      <c r="C79" s="227"/>
      <c r="D79" s="577"/>
      <c r="E79" s="427"/>
      <c r="F79" s="226"/>
      <c r="G79" s="95"/>
      <c r="H79" s="95"/>
      <c r="I79" s="95"/>
      <c r="J79" s="577"/>
      <c r="K79" s="508"/>
      <c r="L79" s="616" t="s">
        <v>342</v>
      </c>
    </row>
    <row r="80" spans="1:15">
      <c r="A80" s="237" t="s">
        <v>343</v>
      </c>
      <c r="B80" s="86"/>
      <c r="C80" s="227"/>
      <c r="D80" s="577"/>
      <c r="E80" s="427"/>
      <c r="F80" s="226"/>
      <c r="G80" s="95"/>
      <c r="H80" s="95"/>
      <c r="I80" s="95"/>
      <c r="J80" s="577"/>
      <c r="K80" s="508"/>
      <c r="L80" s="616" t="s">
        <v>343</v>
      </c>
    </row>
    <row r="81" spans="1:14">
      <c r="A81" s="237" t="s">
        <v>344</v>
      </c>
      <c r="B81" s="86"/>
      <c r="C81" s="227"/>
      <c r="D81" s="577"/>
      <c r="E81" s="427"/>
      <c r="F81" s="226"/>
      <c r="G81" s="95"/>
      <c r="H81" s="95"/>
      <c r="I81" s="577"/>
      <c r="J81" s="577"/>
      <c r="K81" s="508"/>
      <c r="L81" s="616" t="s">
        <v>344</v>
      </c>
    </row>
    <row r="82" spans="1:14">
      <c r="A82" s="237" t="s">
        <v>345</v>
      </c>
      <c r="B82" s="86"/>
      <c r="C82" s="227"/>
      <c r="D82" s="577"/>
      <c r="E82" s="427"/>
      <c r="F82" s="226"/>
      <c r="G82" s="95"/>
      <c r="H82" s="95"/>
      <c r="I82" s="95"/>
      <c r="J82" s="577"/>
      <c r="K82" s="508"/>
      <c r="L82" s="616" t="s">
        <v>345</v>
      </c>
    </row>
    <row r="83" spans="1:14">
      <c r="A83" s="237" t="s">
        <v>346</v>
      </c>
      <c r="B83" s="86"/>
      <c r="C83" s="227"/>
      <c r="D83" s="577"/>
      <c r="E83" s="427"/>
      <c r="F83" s="226"/>
      <c r="G83" s="95"/>
      <c r="H83" s="95"/>
      <c r="I83" s="95"/>
      <c r="J83" s="577"/>
      <c r="K83" s="508"/>
      <c r="L83" s="616" t="s">
        <v>346</v>
      </c>
    </row>
    <row r="84" spans="1:14">
      <c r="A84" s="237" t="s">
        <v>347</v>
      </c>
      <c r="B84" s="94" t="s">
        <v>3537</v>
      </c>
      <c r="C84" s="227"/>
      <c r="D84" s="381">
        <f>SUM(D78:D83)</f>
        <v>0</v>
      </c>
      <c r="E84" s="379">
        <f>SUM(E78:E83)</f>
        <v>0</v>
      </c>
      <c r="F84" s="2021"/>
      <c r="G84" s="95"/>
      <c r="H84" s="95"/>
      <c r="I84" s="95"/>
      <c r="J84" s="381">
        <f>SUM(J78:J83)</f>
        <v>0</v>
      </c>
      <c r="K84" s="381">
        <f>SUM(K78:K83)</f>
        <v>0</v>
      </c>
      <c r="L84" s="616" t="s">
        <v>347</v>
      </c>
    </row>
    <row r="85" spans="1:14">
      <c r="A85" s="237" t="s">
        <v>348</v>
      </c>
      <c r="B85" s="86"/>
      <c r="C85" s="227"/>
      <c r="D85" s="95"/>
      <c r="E85" s="87"/>
      <c r="F85" s="226"/>
      <c r="G85" s="95"/>
      <c r="H85" s="95"/>
      <c r="I85" s="95"/>
      <c r="J85" s="95"/>
      <c r="K85" s="96"/>
      <c r="L85" s="616" t="s">
        <v>348</v>
      </c>
    </row>
    <row r="86" spans="1:14">
      <c r="A86" s="237" t="s">
        <v>349</v>
      </c>
      <c r="B86" s="239" t="s">
        <v>419</v>
      </c>
      <c r="C86" s="227"/>
      <c r="D86" s="95"/>
      <c r="E86" s="87"/>
      <c r="F86" s="226"/>
      <c r="G86" s="95"/>
      <c r="H86" s="95"/>
      <c r="I86" s="95"/>
      <c r="J86" s="95"/>
      <c r="K86" s="96"/>
      <c r="L86" s="616" t="s">
        <v>349</v>
      </c>
    </row>
    <row r="87" spans="1:14">
      <c r="A87" s="237" t="s">
        <v>350</v>
      </c>
      <c r="B87" s="2599" t="s">
        <v>4974</v>
      </c>
      <c r="C87" s="227"/>
      <c r="D87" s="608"/>
      <c r="E87" s="435"/>
      <c r="F87" s="226"/>
      <c r="G87" s="95"/>
      <c r="H87" s="95"/>
      <c r="I87" s="95"/>
      <c r="J87" s="608"/>
      <c r="K87" s="554"/>
      <c r="L87" s="616" t="s">
        <v>350</v>
      </c>
      <c r="N87" s="1576"/>
    </row>
    <row r="88" spans="1:14">
      <c r="A88" s="237" t="s">
        <v>351</v>
      </c>
      <c r="B88" s="86"/>
      <c r="C88" s="227"/>
      <c r="D88" s="577"/>
      <c r="E88" s="427"/>
      <c r="F88" s="1585"/>
      <c r="G88" s="1584"/>
      <c r="H88" s="440"/>
      <c r="I88" s="440"/>
      <c r="J88" s="577"/>
      <c r="K88" s="508"/>
      <c r="L88" s="616" t="s">
        <v>351</v>
      </c>
    </row>
    <row r="89" spans="1:14">
      <c r="A89" s="237" t="s">
        <v>352</v>
      </c>
      <c r="B89" s="86"/>
      <c r="C89" s="227"/>
      <c r="D89" s="577"/>
      <c r="E89" s="427"/>
      <c r="F89" s="226"/>
      <c r="G89" s="95"/>
      <c r="H89" s="95"/>
      <c r="I89" s="95"/>
      <c r="J89" s="577"/>
      <c r="K89" s="508"/>
      <c r="L89" s="616" t="s">
        <v>352</v>
      </c>
      <c r="N89" s="1576"/>
    </row>
    <row r="90" spans="1:14">
      <c r="A90" s="237" t="s">
        <v>353</v>
      </c>
      <c r="B90" s="86"/>
      <c r="C90" s="227"/>
      <c r="D90" s="577"/>
      <c r="E90" s="427"/>
      <c r="F90" s="1585"/>
      <c r="G90" s="1584"/>
      <c r="H90" s="440"/>
      <c r="I90" s="440"/>
      <c r="J90" s="577"/>
      <c r="K90" s="508"/>
      <c r="L90" s="616" t="s">
        <v>353</v>
      </c>
    </row>
    <row r="91" spans="1:14">
      <c r="A91" s="237" t="s">
        <v>354</v>
      </c>
      <c r="B91" s="86"/>
      <c r="C91" s="227"/>
      <c r="D91" s="577"/>
      <c r="E91" s="427"/>
      <c r="F91" s="226"/>
      <c r="G91" s="95"/>
      <c r="H91" s="95"/>
      <c r="I91" s="95"/>
      <c r="J91" s="577"/>
      <c r="K91" s="508"/>
      <c r="L91" s="616" t="s">
        <v>354</v>
      </c>
      <c r="N91" s="1576"/>
    </row>
    <row r="92" spans="1:14">
      <c r="A92" s="237" t="s">
        <v>355</v>
      </c>
      <c r="B92" s="86"/>
      <c r="C92" s="227"/>
      <c r="D92" s="577"/>
      <c r="E92" s="427"/>
      <c r="F92" s="1585"/>
      <c r="G92" s="1584"/>
      <c r="H92" s="440"/>
      <c r="I92" s="440"/>
      <c r="J92" s="577"/>
      <c r="K92" s="508"/>
      <c r="L92" s="616" t="s">
        <v>355</v>
      </c>
    </row>
    <row r="93" spans="1:14">
      <c r="A93" s="237" t="s">
        <v>356</v>
      </c>
      <c r="B93" s="86"/>
      <c r="C93" s="227"/>
      <c r="D93" s="577"/>
      <c r="E93" s="427"/>
      <c r="F93" s="226"/>
      <c r="G93" s="95"/>
      <c r="H93" s="95"/>
      <c r="I93" s="95"/>
      <c r="J93" s="577"/>
      <c r="K93" s="508"/>
      <c r="L93" s="616" t="s">
        <v>356</v>
      </c>
      <c r="N93" s="1576"/>
    </row>
    <row r="94" spans="1:14">
      <c r="A94" s="237" t="s">
        <v>357</v>
      </c>
      <c r="B94" s="86"/>
      <c r="C94" s="227"/>
      <c r="D94" s="577"/>
      <c r="E94" s="427"/>
      <c r="F94" s="1585"/>
      <c r="G94" s="1584"/>
      <c r="H94" s="440"/>
      <c r="I94" s="440"/>
      <c r="J94" s="577"/>
      <c r="K94" s="508"/>
      <c r="L94" s="616" t="s">
        <v>357</v>
      </c>
    </row>
    <row r="95" spans="1:14">
      <c r="A95" s="237" t="s">
        <v>358</v>
      </c>
      <c r="B95" s="86"/>
      <c r="C95" s="227"/>
      <c r="D95" s="577"/>
      <c r="E95" s="427"/>
      <c r="F95" s="226"/>
      <c r="G95" s="95"/>
      <c r="H95" s="95"/>
      <c r="I95" s="95"/>
      <c r="J95" s="577"/>
      <c r="K95" s="508"/>
      <c r="L95" s="616" t="s">
        <v>358</v>
      </c>
    </row>
    <row r="96" spans="1:14">
      <c r="A96" s="237" t="s">
        <v>359</v>
      </c>
      <c r="B96" s="86"/>
      <c r="C96" s="227"/>
      <c r="D96" s="577"/>
      <c r="E96" s="427"/>
      <c r="F96" s="1585"/>
      <c r="G96" s="1584"/>
      <c r="H96" s="440"/>
      <c r="I96" s="440"/>
      <c r="J96" s="577"/>
      <c r="K96" s="508"/>
      <c r="L96" s="616" t="s">
        <v>359</v>
      </c>
    </row>
    <row r="97" spans="1:12">
      <c r="A97" s="237" t="s">
        <v>360</v>
      </c>
      <c r="B97" s="86"/>
      <c r="C97" s="227"/>
      <c r="D97" s="577"/>
      <c r="E97" s="427"/>
      <c r="F97" s="226"/>
      <c r="G97" s="95"/>
      <c r="H97" s="95"/>
      <c r="I97" s="95"/>
      <c r="J97" s="577"/>
      <c r="K97" s="508"/>
      <c r="L97" s="616" t="s">
        <v>360</v>
      </c>
    </row>
    <row r="98" spans="1:12">
      <c r="A98" s="237" t="s">
        <v>361</v>
      </c>
      <c r="B98" s="86"/>
      <c r="C98" s="227"/>
      <c r="D98" s="577"/>
      <c r="E98" s="427"/>
      <c r="F98" s="1585"/>
      <c r="G98" s="1584"/>
      <c r="H98" s="440"/>
      <c r="I98" s="440"/>
      <c r="J98" s="577"/>
      <c r="K98" s="508"/>
      <c r="L98" s="616" t="s">
        <v>361</v>
      </c>
    </row>
    <row r="99" spans="1:12">
      <c r="A99" s="237" t="s">
        <v>362</v>
      </c>
      <c r="B99" s="86"/>
      <c r="C99" s="227"/>
      <c r="D99" s="577"/>
      <c r="E99" s="427"/>
      <c r="F99" s="226"/>
      <c r="G99" s="95"/>
      <c r="H99" s="95"/>
      <c r="I99" s="95"/>
      <c r="J99" s="577"/>
      <c r="K99" s="508"/>
      <c r="L99" s="616" t="s">
        <v>362</v>
      </c>
    </row>
    <row r="100" spans="1:12">
      <c r="A100" s="237" t="s">
        <v>363</v>
      </c>
      <c r="B100" s="86"/>
      <c r="C100" s="227"/>
      <c r="D100" s="577"/>
      <c r="E100" s="427"/>
      <c r="F100" s="1585"/>
      <c r="G100" s="1584"/>
      <c r="H100" s="440"/>
      <c r="I100" s="440"/>
      <c r="J100" s="577"/>
      <c r="K100" s="508"/>
      <c r="L100" s="616" t="s">
        <v>363</v>
      </c>
    </row>
    <row r="101" spans="1:12">
      <c r="A101" s="237" t="s">
        <v>364</v>
      </c>
      <c r="B101" s="86"/>
      <c r="C101" s="227"/>
      <c r="D101" s="577"/>
      <c r="E101" s="427"/>
      <c r="F101" s="226"/>
      <c r="G101" s="95"/>
      <c r="H101" s="95"/>
      <c r="I101" s="95"/>
      <c r="J101" s="577"/>
      <c r="K101" s="508"/>
      <c r="L101" s="616" t="s">
        <v>364</v>
      </c>
    </row>
    <row r="102" spans="1:12">
      <c r="A102" s="237" t="s">
        <v>3238</v>
      </c>
      <c r="B102" s="86"/>
      <c r="C102" s="227"/>
      <c r="D102" s="577"/>
      <c r="E102" s="427"/>
      <c r="F102" s="226"/>
      <c r="G102" s="95"/>
      <c r="H102" s="95"/>
      <c r="I102" s="95"/>
      <c r="J102" s="577"/>
      <c r="K102" s="508"/>
      <c r="L102" s="616" t="s">
        <v>3238</v>
      </c>
    </row>
    <row r="103" spans="1:12">
      <c r="A103" s="237" t="s">
        <v>3239</v>
      </c>
      <c r="B103" s="86"/>
      <c r="C103" s="227"/>
      <c r="D103" s="577"/>
      <c r="E103" s="427"/>
      <c r="F103" s="226"/>
      <c r="G103" s="95"/>
      <c r="H103" s="95"/>
      <c r="I103" s="95"/>
      <c r="J103" s="577"/>
      <c r="K103" s="508"/>
      <c r="L103" s="616" t="s">
        <v>3239</v>
      </c>
    </row>
    <row r="104" spans="1:12">
      <c r="A104" s="237" t="s">
        <v>3240</v>
      </c>
      <c r="B104" s="86"/>
      <c r="C104" s="227"/>
      <c r="D104" s="577"/>
      <c r="E104" s="427"/>
      <c r="F104" s="226"/>
      <c r="G104" s="95"/>
      <c r="H104" s="95"/>
      <c r="I104" s="95"/>
      <c r="J104" s="577"/>
      <c r="K104" s="508"/>
      <c r="L104" s="616" t="s">
        <v>3240</v>
      </c>
    </row>
    <row r="105" spans="1:12">
      <c r="A105" s="237" t="s">
        <v>3241</v>
      </c>
      <c r="B105" s="86"/>
      <c r="C105" s="227"/>
      <c r="D105" s="577"/>
      <c r="E105" s="427"/>
      <c r="F105" s="226"/>
      <c r="G105" s="95"/>
      <c r="H105" s="95"/>
      <c r="I105" s="95"/>
      <c r="J105" s="577"/>
      <c r="K105" s="508"/>
      <c r="L105" s="616" t="s">
        <v>3241</v>
      </c>
    </row>
    <row r="106" spans="1:12">
      <c r="A106" s="237" t="s">
        <v>3242</v>
      </c>
      <c r="B106" s="86"/>
      <c r="C106" s="227"/>
      <c r="D106" s="577"/>
      <c r="E106" s="427"/>
      <c r="F106" s="226"/>
      <c r="G106" s="95"/>
      <c r="H106" s="95"/>
      <c r="I106" s="95"/>
      <c r="J106" s="577"/>
      <c r="K106" s="508"/>
      <c r="L106" s="616" t="s">
        <v>3242</v>
      </c>
    </row>
    <row r="107" spans="1:12">
      <c r="A107" s="237" t="s">
        <v>3243</v>
      </c>
      <c r="B107" s="86"/>
      <c r="C107" s="227"/>
      <c r="D107" s="577"/>
      <c r="E107" s="427"/>
      <c r="F107" s="226"/>
      <c r="G107" s="95"/>
      <c r="H107" s="95"/>
      <c r="I107" s="95"/>
      <c r="J107" s="577"/>
      <c r="K107" s="508"/>
      <c r="L107" s="616" t="s">
        <v>3243</v>
      </c>
    </row>
    <row r="108" spans="1:12">
      <c r="A108" s="237" t="s">
        <v>3244</v>
      </c>
      <c r="B108" s="86"/>
      <c r="C108" s="227"/>
      <c r="D108" s="577"/>
      <c r="E108" s="427"/>
      <c r="F108" s="226"/>
      <c r="G108" s="95"/>
      <c r="H108" s="95"/>
      <c r="I108" s="95"/>
      <c r="J108" s="577"/>
      <c r="K108" s="508"/>
      <c r="L108" s="616" t="s">
        <v>3244</v>
      </c>
    </row>
    <row r="109" spans="1:12">
      <c r="A109" s="237">
        <v>33</v>
      </c>
      <c r="B109" s="86"/>
      <c r="C109" s="227"/>
      <c r="D109" s="577"/>
      <c r="E109" s="427"/>
      <c r="F109" s="226"/>
      <c r="G109" s="95"/>
      <c r="H109" s="95"/>
      <c r="I109" s="95"/>
      <c r="J109" s="577"/>
      <c r="K109" s="508"/>
      <c r="L109" s="616">
        <v>33</v>
      </c>
    </row>
    <row r="110" spans="1:12">
      <c r="A110" s="237">
        <v>34</v>
      </c>
      <c r="B110" s="86"/>
      <c r="C110" s="227"/>
      <c r="D110" s="577"/>
      <c r="E110" s="427"/>
      <c r="F110" s="226"/>
      <c r="G110" s="95"/>
      <c r="H110" s="95"/>
      <c r="I110" s="95"/>
      <c r="J110" s="577"/>
      <c r="K110" s="508"/>
      <c r="L110" s="616">
        <v>34</v>
      </c>
    </row>
    <row r="111" spans="1:12">
      <c r="A111" s="237">
        <v>35</v>
      </c>
      <c r="B111" s="86"/>
      <c r="C111" s="227"/>
      <c r="D111" s="577"/>
      <c r="E111" s="427"/>
      <c r="F111" s="226"/>
      <c r="G111" s="95"/>
      <c r="H111" s="95"/>
      <c r="I111" s="95"/>
      <c r="J111" s="577"/>
      <c r="K111" s="508"/>
      <c r="L111" s="616">
        <v>35</v>
      </c>
    </row>
    <row r="112" spans="1:12">
      <c r="A112" s="237">
        <v>36</v>
      </c>
      <c r="B112" s="86"/>
      <c r="C112" s="227"/>
      <c r="D112" s="577"/>
      <c r="E112" s="427"/>
      <c r="F112" s="226"/>
      <c r="G112" s="95"/>
      <c r="H112" s="95"/>
      <c r="I112" s="95"/>
      <c r="J112" s="577"/>
      <c r="K112" s="508"/>
      <c r="L112" s="616">
        <v>36</v>
      </c>
    </row>
    <row r="113" spans="1:12">
      <c r="A113" s="237">
        <v>37</v>
      </c>
      <c r="B113" s="86"/>
      <c r="C113" s="227"/>
      <c r="D113" s="577"/>
      <c r="E113" s="427"/>
      <c r="F113" s="226"/>
      <c r="G113" s="95"/>
      <c r="H113" s="95"/>
      <c r="I113" s="95"/>
      <c r="J113" s="577"/>
      <c r="K113" s="508"/>
      <c r="L113" s="616">
        <v>37</v>
      </c>
    </row>
    <row r="114" spans="1:12">
      <c r="A114" s="237">
        <v>38</v>
      </c>
      <c r="B114" s="86"/>
      <c r="C114" s="227"/>
      <c r="D114" s="577"/>
      <c r="E114" s="427"/>
      <c r="F114" s="226"/>
      <c r="G114" s="95"/>
      <c r="H114" s="95"/>
      <c r="I114" s="95"/>
      <c r="J114" s="577"/>
      <c r="K114" s="508"/>
      <c r="L114" s="616">
        <v>38</v>
      </c>
    </row>
    <row r="115" spans="1:12">
      <c r="A115" s="237">
        <v>39</v>
      </c>
      <c r="B115" s="86"/>
      <c r="C115" s="227"/>
      <c r="D115" s="577"/>
      <c r="E115" s="427"/>
      <c r="F115" s="226"/>
      <c r="G115" s="95"/>
      <c r="H115" s="95"/>
      <c r="I115" s="95"/>
      <c r="J115" s="577"/>
      <c r="K115" s="508"/>
      <c r="L115" s="616">
        <v>39</v>
      </c>
    </row>
    <row r="116" spans="1:12">
      <c r="A116" s="237">
        <v>40</v>
      </c>
      <c r="B116" s="86"/>
      <c r="C116" s="227"/>
      <c r="D116" s="577"/>
      <c r="E116" s="427"/>
      <c r="F116" s="226"/>
      <c r="G116" s="95"/>
      <c r="H116" s="95"/>
      <c r="I116" s="95"/>
      <c r="J116" s="577"/>
      <c r="K116" s="508"/>
      <c r="L116" s="616">
        <v>40</v>
      </c>
    </row>
    <row r="117" spans="1:12">
      <c r="A117" s="237">
        <v>41</v>
      </c>
      <c r="B117" s="86"/>
      <c r="C117" s="227"/>
      <c r="D117" s="577"/>
      <c r="E117" s="427"/>
      <c r="F117" s="226"/>
      <c r="G117" s="95"/>
      <c r="H117" s="95"/>
      <c r="I117" s="95"/>
      <c r="J117" s="577"/>
      <c r="K117" s="508"/>
      <c r="L117" s="616">
        <v>41</v>
      </c>
    </row>
    <row r="118" spans="1:12">
      <c r="A118" s="237">
        <v>42</v>
      </c>
      <c r="B118" s="86"/>
      <c r="C118" s="227"/>
      <c r="D118" s="577"/>
      <c r="E118" s="427"/>
      <c r="F118" s="226"/>
      <c r="G118" s="95"/>
      <c r="H118" s="95"/>
      <c r="I118" s="95"/>
      <c r="J118" s="577"/>
      <c r="K118" s="508"/>
      <c r="L118" s="616">
        <v>42</v>
      </c>
    </row>
    <row r="119" spans="1:12">
      <c r="A119" s="237">
        <v>43</v>
      </c>
      <c r="B119" s="86"/>
      <c r="C119" s="227"/>
      <c r="D119" s="577"/>
      <c r="E119" s="427"/>
      <c r="F119" s="226"/>
      <c r="G119" s="95"/>
      <c r="H119" s="95"/>
      <c r="I119" s="95"/>
      <c r="J119" s="577"/>
      <c r="K119" s="508"/>
      <c r="L119" s="616">
        <v>43</v>
      </c>
    </row>
    <row r="120" spans="1:12">
      <c r="A120" s="237">
        <v>44</v>
      </c>
      <c r="B120" s="86"/>
      <c r="C120" s="227"/>
      <c r="D120" s="577"/>
      <c r="E120" s="427"/>
      <c r="F120" s="226"/>
      <c r="G120" s="95"/>
      <c r="H120" s="95"/>
      <c r="I120" s="95"/>
      <c r="J120" s="577"/>
      <c r="K120" s="508"/>
      <c r="L120" s="616">
        <v>44</v>
      </c>
    </row>
    <row r="121" spans="1:12">
      <c r="A121" s="237">
        <v>45</v>
      </c>
      <c r="B121" s="94" t="s">
        <v>3537</v>
      </c>
      <c r="C121" s="227"/>
      <c r="D121" s="381">
        <f>SUM(D87:D120)</f>
        <v>0</v>
      </c>
      <c r="E121" s="379">
        <f>SUM(E87:E120)</f>
        <v>0</v>
      </c>
      <c r="F121" s="226"/>
      <c r="G121" s="95"/>
      <c r="H121" s="95"/>
      <c r="I121" s="95"/>
      <c r="J121" s="381">
        <f>SUM(J87:J120)</f>
        <v>0</v>
      </c>
      <c r="K121" s="381">
        <f>SUM(K87:K120)</f>
        <v>0</v>
      </c>
      <c r="L121" s="616">
        <v>45</v>
      </c>
    </row>
    <row r="122" spans="1:12">
      <c r="A122" s="237">
        <v>46</v>
      </c>
      <c r="B122" s="86"/>
      <c r="C122" s="227"/>
      <c r="D122" s="95"/>
      <c r="E122" s="87"/>
      <c r="F122" s="226"/>
      <c r="G122" s="95"/>
      <c r="H122" s="95"/>
      <c r="I122" s="95"/>
      <c r="J122" s="95"/>
      <c r="K122" s="96"/>
      <c r="L122" s="616">
        <v>46</v>
      </c>
    </row>
    <row r="123" spans="1:12">
      <c r="A123" s="237">
        <v>47</v>
      </c>
      <c r="B123" s="86"/>
      <c r="C123" s="227"/>
      <c r="D123" s="95"/>
      <c r="E123" s="87"/>
      <c r="F123" s="226"/>
      <c r="G123" s="95"/>
      <c r="H123" s="95"/>
      <c r="I123" s="95"/>
      <c r="J123" s="95"/>
      <c r="K123" s="96"/>
      <c r="L123" s="616">
        <v>47</v>
      </c>
    </row>
    <row r="124" spans="1:12" ht="15.75" thickBot="1">
      <c r="A124" s="443">
        <v>48</v>
      </c>
      <c r="B124" s="113"/>
      <c r="C124" s="125"/>
      <c r="D124" s="487"/>
      <c r="E124" s="446"/>
      <c r="F124" s="610"/>
      <c r="G124" s="611"/>
      <c r="H124" s="611"/>
      <c r="I124" s="612"/>
      <c r="J124" s="487"/>
      <c r="K124" s="487"/>
      <c r="L124" s="617">
        <v>48</v>
      </c>
    </row>
    <row r="125" spans="1:12">
      <c r="A125" s="86" t="s">
        <v>2024</v>
      </c>
      <c r="B125" s="86"/>
      <c r="C125" s="86"/>
      <c r="D125" s="86"/>
      <c r="E125" s="86"/>
      <c r="F125" s="86"/>
      <c r="G125" s="86"/>
      <c r="H125" s="86"/>
      <c r="I125" s="86"/>
      <c r="J125" s="86"/>
      <c r="K125" s="86" t="s">
        <v>2024</v>
      </c>
      <c r="L125" s="86"/>
    </row>
    <row r="126" spans="1:12">
      <c r="A126" s="5" t="s">
        <v>422</v>
      </c>
      <c r="B126" s="5"/>
      <c r="C126" s="5"/>
      <c r="D126" s="5"/>
      <c r="E126" s="5"/>
      <c r="F126" s="5" t="s">
        <v>423</v>
      </c>
      <c r="G126" s="5"/>
      <c r="H126" s="5"/>
      <c r="I126" s="5"/>
      <c r="J126" s="5"/>
      <c r="K126" s="5"/>
      <c r="L126" s="5"/>
    </row>
    <row r="127" spans="1:12">
      <c r="A127" s="86"/>
      <c r="B127" s="86"/>
      <c r="C127" s="86"/>
      <c r="D127" s="86"/>
      <c r="E127" s="86"/>
      <c r="F127" s="86"/>
      <c r="G127" s="86"/>
      <c r="H127" s="86"/>
      <c r="I127" s="86"/>
      <c r="J127" s="86"/>
      <c r="K127" s="86"/>
      <c r="L127" s="86"/>
    </row>
    <row r="128" spans="1:12">
      <c r="A128" s="86"/>
      <c r="B128" s="86"/>
      <c r="C128" s="86"/>
      <c r="D128" s="86"/>
      <c r="E128" s="86"/>
      <c r="F128" s="86"/>
      <c r="G128" s="86"/>
      <c r="H128" s="86"/>
      <c r="I128" s="86"/>
      <c r="J128" s="86"/>
      <c r="K128" s="86"/>
      <c r="L128" s="86"/>
    </row>
    <row r="129" spans="1:12">
      <c r="A129" s="86"/>
      <c r="B129" s="86"/>
      <c r="C129" s="86"/>
      <c r="D129" s="86"/>
      <c r="E129" s="86"/>
      <c r="F129" s="86"/>
      <c r="G129" s="86"/>
      <c r="H129" s="86"/>
      <c r="I129" s="86"/>
      <c r="J129" s="86"/>
      <c r="K129" s="86"/>
      <c r="L129" s="86"/>
    </row>
    <row r="130" spans="1:12">
      <c r="A130" s="86"/>
      <c r="B130" s="86"/>
      <c r="C130" s="86"/>
      <c r="D130" s="86"/>
      <c r="E130" s="86"/>
      <c r="F130" s="86"/>
      <c r="G130" s="86"/>
      <c r="H130" s="86"/>
      <c r="I130" s="86"/>
      <c r="J130" s="86"/>
      <c r="K130" s="86"/>
      <c r="L130" s="86"/>
    </row>
    <row r="131" spans="1:12">
      <c r="A131" s="86"/>
      <c r="B131" s="86"/>
      <c r="C131" s="86"/>
      <c r="D131" s="86"/>
      <c r="E131" s="86"/>
      <c r="F131" s="86"/>
      <c r="G131" s="86"/>
      <c r="H131" s="86"/>
      <c r="I131" s="86"/>
      <c r="J131" s="86"/>
      <c r="K131" s="86"/>
      <c r="L131" s="86"/>
    </row>
    <row r="132" spans="1:12">
      <c r="A132" s="86"/>
      <c r="B132" s="86"/>
      <c r="C132" s="86"/>
      <c r="D132" s="86"/>
      <c r="E132" s="86"/>
      <c r="F132" s="86"/>
      <c r="G132" s="86"/>
      <c r="H132" s="86"/>
      <c r="I132" s="86"/>
      <c r="J132" s="86"/>
      <c r="K132" s="86"/>
      <c r="L132" s="86"/>
    </row>
    <row r="133" spans="1:12">
      <c r="A133" s="86"/>
      <c r="B133" s="86"/>
      <c r="C133" s="86"/>
      <c r="D133" s="86"/>
      <c r="E133" s="86"/>
      <c r="F133" s="86"/>
      <c r="G133" s="86"/>
      <c r="H133" s="86"/>
      <c r="I133" s="86"/>
      <c r="J133" s="86"/>
      <c r="K133" s="86"/>
      <c r="L133" s="86"/>
    </row>
    <row r="134" spans="1:12">
      <c r="A134" s="86"/>
      <c r="B134" s="86"/>
      <c r="C134" s="86"/>
      <c r="D134" s="86"/>
      <c r="E134" s="86"/>
      <c r="F134" s="86"/>
      <c r="G134" s="86"/>
      <c r="H134" s="86"/>
      <c r="I134" s="86"/>
      <c r="J134" s="86"/>
      <c r="K134" s="86"/>
      <c r="L134" s="86"/>
    </row>
    <row r="135" spans="1:12">
      <c r="B135" s="86"/>
    </row>
    <row r="136" spans="1:12">
      <c r="B136" s="86"/>
    </row>
    <row r="137" spans="1:12">
      <c r="B137" s="86"/>
    </row>
    <row r="138" spans="1:12">
      <c r="B138" s="86"/>
    </row>
    <row r="139" spans="1:12">
      <c r="B139" s="86"/>
    </row>
    <row r="140" spans="1:12">
      <c r="B140" s="86"/>
    </row>
    <row r="141" spans="1:12">
      <c r="B141" s="86"/>
    </row>
    <row r="142" spans="1:12">
      <c r="B142" s="86"/>
    </row>
    <row r="143" spans="1:12">
      <c r="B143" s="86"/>
    </row>
    <row r="144" spans="1:12">
      <c r="B144" s="86"/>
    </row>
    <row r="145" spans="2:2">
      <c r="B145" s="86"/>
    </row>
    <row r="146" spans="2:2">
      <c r="B146" s="86"/>
    </row>
    <row r="147" spans="2:2">
      <c r="B147" s="86"/>
    </row>
    <row r="148" spans="2:2">
      <c r="B148" s="86"/>
    </row>
  </sheetData>
  <phoneticPr fontId="0" type="noConversion"/>
  <pageMargins left="0.4" right="0.4" top="0.3" bottom="0.3" header="0.5" footer="0.5"/>
  <pageSetup scale="74" pageOrder="overThenDown" orientation="portrait" r:id="rId1"/>
  <headerFooter alignWithMargins="0"/>
  <rowBreaks count="1" manualBreakCount="1">
    <brk id="65" max="16383" man="1"/>
  </rowBreaks>
  <colBreaks count="1" manualBreakCount="1">
    <brk id="5" max="1048575" man="1"/>
  </col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ransitionEvaluation="1" codeName="Sheet47"/>
  <dimension ref="A1:DB144"/>
  <sheetViews>
    <sheetView defaultGridColor="0" colorId="22" zoomScale="80" zoomScaleNormal="80" workbookViewId="0">
      <pane xSplit="2" ySplit="20" topLeftCell="E21" activePane="bottomRight" state="frozen"/>
      <selection pane="topRight" activeCell="C1" sqref="C1"/>
      <selection pane="bottomLeft" activeCell="A21" sqref="A21"/>
      <selection pane="bottomRight" activeCell="P7" sqref="P7"/>
    </sheetView>
  </sheetViews>
  <sheetFormatPr defaultColWidth="9.77734375" defaultRowHeight="15"/>
  <cols>
    <col min="1" max="1" width="4.77734375" customWidth="1"/>
    <col min="2" max="2" width="35.6640625" customWidth="1"/>
    <col min="3" max="3" width="16.77734375" customWidth="1"/>
    <col min="4" max="4" width="17.77734375" customWidth="1"/>
    <col min="5" max="6" width="16.77734375" customWidth="1"/>
    <col min="7" max="7" width="16.109375" customWidth="1"/>
    <col min="8" max="13" width="18.77734375" customWidth="1"/>
    <col min="14" max="14" width="5.77734375" customWidth="1"/>
    <col min="16" max="16" width="9.44140625" bestFit="1" customWidth="1"/>
    <col min="17" max="18" width="10.44140625" bestFit="1" customWidth="1"/>
  </cols>
  <sheetData>
    <row r="1" spans="1:106" ht="15.75" thickBot="1">
      <c r="A1" t="str">
        <f>'Data sheet'!A63</f>
        <v>Annual Report of Veolia Water New York, Inc.                                                                             Year Ended  December 31, 2023</v>
      </c>
      <c r="H1" t="str">
        <f>'Data sheet'!A63</f>
        <v>Annual Report of Veolia Water New York, Inc.                                                                             Year Ended  December 31, 2023</v>
      </c>
    </row>
    <row r="2" spans="1:106">
      <c r="A2" s="129"/>
      <c r="B2" s="130"/>
      <c r="C2" s="130"/>
      <c r="D2" s="130"/>
      <c r="E2" s="130"/>
      <c r="F2" s="130"/>
      <c r="G2" s="131"/>
      <c r="H2" s="129"/>
      <c r="I2" s="130"/>
      <c r="J2" s="130"/>
      <c r="K2" s="130"/>
      <c r="L2" s="130"/>
      <c r="M2" s="130"/>
      <c r="N2" s="131"/>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86"/>
      <c r="CL2" s="86"/>
      <c r="CM2" s="86"/>
      <c r="CN2" s="86"/>
      <c r="CO2" s="86"/>
      <c r="CP2" s="86"/>
      <c r="CQ2" s="86"/>
      <c r="CR2" s="86"/>
      <c r="CS2" s="86"/>
      <c r="CT2" s="86"/>
      <c r="CU2" s="86"/>
      <c r="CV2" s="86"/>
      <c r="CW2" s="86"/>
      <c r="CX2" s="86"/>
      <c r="CY2" s="86"/>
      <c r="CZ2" s="86"/>
      <c r="DA2" s="86"/>
      <c r="DB2" s="86"/>
    </row>
    <row r="3" spans="1:106" ht="15.75">
      <c r="A3" s="118" t="s">
        <v>1514</v>
      </c>
      <c r="B3" s="3"/>
      <c r="C3" s="3"/>
      <c r="D3" s="3"/>
      <c r="E3" s="1601"/>
      <c r="F3" s="3"/>
      <c r="G3" s="84"/>
      <c r="H3" s="118" t="s">
        <v>1515</v>
      </c>
      <c r="I3" s="5"/>
      <c r="J3" s="5"/>
      <c r="K3" s="5"/>
      <c r="L3" s="5"/>
      <c r="M3" s="5"/>
      <c r="N3" s="132"/>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row>
    <row r="4" spans="1:106">
      <c r="A4" s="123"/>
      <c r="B4" s="133"/>
      <c r="C4" s="133"/>
      <c r="D4" s="133"/>
      <c r="E4" s="133"/>
      <c r="F4" s="133"/>
      <c r="G4" s="500"/>
      <c r="H4" s="499"/>
      <c r="I4" s="133"/>
      <c r="J4" s="133"/>
      <c r="K4" s="133"/>
      <c r="L4" s="133"/>
      <c r="M4" s="133"/>
      <c r="N4" s="500"/>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row>
    <row r="5" spans="1:106">
      <c r="A5" s="85"/>
      <c r="B5" s="86" t="s">
        <v>3592</v>
      </c>
      <c r="C5" s="86"/>
      <c r="D5" s="86"/>
      <c r="E5" s="86"/>
      <c r="F5" s="86"/>
      <c r="G5" s="87"/>
      <c r="H5" s="85" t="s">
        <v>3593</v>
      </c>
      <c r="I5" s="86"/>
      <c r="J5" s="86"/>
      <c r="K5" s="86"/>
      <c r="L5" s="86"/>
      <c r="M5" s="86"/>
      <c r="N5" s="87"/>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6"/>
      <c r="BZ5" s="86"/>
      <c r="CA5" s="86"/>
      <c r="CB5" s="86"/>
      <c r="CC5" s="86"/>
      <c r="CD5" s="86"/>
      <c r="CE5" s="86"/>
      <c r="CF5" s="86"/>
      <c r="CG5" s="86"/>
      <c r="CH5" s="86"/>
      <c r="CI5" s="86"/>
      <c r="CJ5" s="86"/>
      <c r="CK5" s="86"/>
      <c r="CL5" s="86"/>
      <c r="CM5" s="86"/>
      <c r="CN5" s="86"/>
      <c r="CO5" s="86"/>
      <c r="CP5" s="86"/>
      <c r="CQ5" s="86"/>
      <c r="CR5" s="86"/>
      <c r="CS5" s="86"/>
      <c r="CT5" s="86"/>
      <c r="CU5" s="86"/>
      <c r="CV5" s="86"/>
      <c r="CW5" s="86"/>
      <c r="CX5" s="86"/>
      <c r="CY5" s="86"/>
      <c r="CZ5" s="86"/>
      <c r="DA5" s="86"/>
      <c r="DB5" s="86"/>
    </row>
    <row r="6" spans="1:106">
      <c r="A6" s="85"/>
      <c r="B6" s="86" t="s">
        <v>3594</v>
      </c>
      <c r="C6" s="86"/>
      <c r="D6" s="86"/>
      <c r="E6" s="86"/>
      <c r="F6" s="86"/>
      <c r="G6" s="87"/>
      <c r="H6" s="85" t="s">
        <v>1837</v>
      </c>
      <c r="I6" s="86"/>
      <c r="J6" s="86"/>
      <c r="K6" s="86"/>
      <c r="L6" s="86"/>
      <c r="M6" s="86"/>
      <c r="N6" s="87"/>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row>
    <row r="7" spans="1:106">
      <c r="A7" s="85"/>
      <c r="B7" s="86" t="s">
        <v>1838</v>
      </c>
      <c r="C7" s="86"/>
      <c r="D7" s="86"/>
      <c r="E7" s="86"/>
      <c r="F7" s="86"/>
      <c r="G7" s="87"/>
      <c r="H7" s="85" t="s">
        <v>4189</v>
      </c>
      <c r="I7" s="86"/>
      <c r="J7" s="86"/>
      <c r="K7" s="86"/>
      <c r="L7" s="86"/>
      <c r="M7" s="86"/>
      <c r="N7" s="87"/>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row>
    <row r="8" spans="1:106">
      <c r="A8" s="85"/>
      <c r="B8" s="86" t="s">
        <v>4190</v>
      </c>
      <c r="C8" s="86"/>
      <c r="D8" s="86"/>
      <c r="E8" s="86"/>
      <c r="F8" s="86"/>
      <c r="G8" s="87"/>
      <c r="H8" s="85" t="s">
        <v>4191</v>
      </c>
      <c r="I8" s="86"/>
      <c r="J8" s="86"/>
      <c r="K8" s="86"/>
      <c r="L8" s="86"/>
      <c r="M8" s="86"/>
      <c r="N8" s="87"/>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row>
    <row r="9" spans="1:106">
      <c r="A9" s="85"/>
      <c r="B9" s="86" t="s">
        <v>159</v>
      </c>
      <c r="C9" s="86"/>
      <c r="D9" s="86"/>
      <c r="E9" s="86"/>
      <c r="F9" s="86"/>
      <c r="G9" s="87"/>
      <c r="H9" s="85" t="s">
        <v>192</v>
      </c>
      <c r="I9" s="86"/>
      <c r="J9" s="86"/>
      <c r="K9" s="86"/>
      <c r="L9" s="86"/>
      <c r="M9" s="86"/>
      <c r="N9" s="87"/>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row>
    <row r="10" spans="1:106">
      <c r="A10" s="85"/>
      <c r="B10" s="86" t="s">
        <v>566</v>
      </c>
      <c r="C10" s="86"/>
      <c r="D10" s="86"/>
      <c r="E10" s="86"/>
      <c r="F10" s="86"/>
      <c r="G10" s="87"/>
      <c r="H10" s="85" t="s">
        <v>567</v>
      </c>
      <c r="I10" s="86"/>
      <c r="J10" s="86"/>
      <c r="K10" s="86"/>
      <c r="L10" s="86"/>
      <c r="M10" s="86"/>
      <c r="N10" s="87"/>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c r="CW10" s="86"/>
      <c r="CX10" s="86"/>
      <c r="CY10" s="86"/>
      <c r="CZ10" s="86"/>
      <c r="DA10" s="86"/>
      <c r="DB10" s="86"/>
    </row>
    <row r="11" spans="1:106">
      <c r="A11" s="85"/>
      <c r="B11" s="86" t="s">
        <v>568</v>
      </c>
      <c r="C11" s="86"/>
      <c r="D11" s="86"/>
      <c r="E11" s="86"/>
      <c r="F11" s="86"/>
      <c r="G11" s="87"/>
      <c r="H11" s="85"/>
      <c r="I11" s="86"/>
      <c r="J11" s="86"/>
      <c r="K11" s="86"/>
      <c r="L11" s="86"/>
      <c r="M11" s="86"/>
      <c r="N11" s="87"/>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row>
    <row r="12" spans="1:106">
      <c r="A12" s="85"/>
      <c r="B12" s="86" t="s">
        <v>3816</v>
      </c>
      <c r="C12" s="86"/>
      <c r="D12" s="86"/>
      <c r="E12" s="86"/>
      <c r="F12" s="86"/>
      <c r="G12" s="87"/>
      <c r="H12" s="85" t="s">
        <v>3817</v>
      </c>
      <c r="I12" s="86"/>
      <c r="J12" s="86"/>
      <c r="K12" s="86"/>
      <c r="L12" s="86"/>
      <c r="M12" s="86"/>
      <c r="N12" s="87"/>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row>
    <row r="13" spans="1:106">
      <c r="A13" s="85"/>
      <c r="B13" s="86" t="s">
        <v>1826</v>
      </c>
      <c r="C13" s="86"/>
      <c r="D13" s="86"/>
      <c r="E13" s="86"/>
      <c r="F13" s="86"/>
      <c r="G13" s="87"/>
      <c r="H13" s="85"/>
      <c r="I13" s="86"/>
      <c r="J13" s="86"/>
      <c r="K13" s="86"/>
      <c r="L13" s="86"/>
      <c r="M13" s="86"/>
      <c r="N13" s="87"/>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row>
    <row r="14" spans="1:106">
      <c r="A14" s="85"/>
      <c r="B14" s="86" t="s">
        <v>1382</v>
      </c>
      <c r="C14" s="86"/>
      <c r="D14" s="86"/>
      <c r="E14" s="86"/>
      <c r="F14" s="86"/>
      <c r="G14" s="87"/>
      <c r="H14" s="85" t="s">
        <v>271</v>
      </c>
      <c r="I14" s="86"/>
      <c r="J14" s="86"/>
      <c r="K14" s="86"/>
      <c r="L14" s="86"/>
      <c r="M14" s="86"/>
      <c r="N14" s="87"/>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row>
    <row r="15" spans="1:106">
      <c r="A15" s="85"/>
      <c r="B15" s="86" t="s">
        <v>5</v>
      </c>
      <c r="C15" s="86"/>
      <c r="D15" s="86"/>
      <c r="E15" s="86"/>
      <c r="F15" s="86"/>
      <c r="G15" s="87"/>
      <c r="H15" s="85"/>
      <c r="I15" s="86"/>
      <c r="J15" s="86"/>
      <c r="K15" s="86"/>
      <c r="L15" s="86"/>
      <c r="M15" s="86"/>
      <c r="N15" s="87"/>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row>
    <row r="16" spans="1:106">
      <c r="A16" s="362"/>
      <c r="B16" s="137"/>
      <c r="C16" s="618" t="s">
        <v>6</v>
      </c>
      <c r="D16" s="477"/>
      <c r="E16" s="137"/>
      <c r="F16" s="137"/>
      <c r="G16" s="138"/>
      <c r="H16" s="619" t="s">
        <v>1224</v>
      </c>
      <c r="I16" s="477"/>
      <c r="J16" s="618" t="s">
        <v>1225</v>
      </c>
      <c r="K16" s="477"/>
      <c r="L16" s="477"/>
      <c r="M16" s="477"/>
      <c r="N16" s="478"/>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row>
    <row r="17" spans="1:106">
      <c r="A17" s="110"/>
      <c r="B17" s="142"/>
      <c r="C17" s="142"/>
      <c r="D17" s="620" t="s">
        <v>1226</v>
      </c>
      <c r="E17" s="142"/>
      <c r="F17" s="142"/>
      <c r="G17" s="135"/>
      <c r="H17" s="85"/>
      <c r="I17" s="142"/>
      <c r="J17" s="142"/>
      <c r="K17" s="142"/>
      <c r="L17" s="149"/>
      <c r="M17" s="620" t="s">
        <v>4313</v>
      </c>
      <c r="N17" s="363"/>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row>
    <row r="18" spans="1:106">
      <c r="A18" s="110"/>
      <c r="B18" s="620" t="s">
        <v>1227</v>
      </c>
      <c r="C18" s="620" t="s">
        <v>1859</v>
      </c>
      <c r="D18" s="620" t="s">
        <v>1860</v>
      </c>
      <c r="E18" s="620" t="s">
        <v>590</v>
      </c>
      <c r="F18" s="620" t="s">
        <v>591</v>
      </c>
      <c r="G18" s="135"/>
      <c r="H18" s="110" t="s">
        <v>592</v>
      </c>
      <c r="I18" s="620" t="s">
        <v>1226</v>
      </c>
      <c r="J18" s="620" t="s">
        <v>1008</v>
      </c>
      <c r="K18" s="142"/>
      <c r="L18" s="620" t="s">
        <v>593</v>
      </c>
      <c r="M18" s="620" t="s">
        <v>594</v>
      </c>
      <c r="N18" s="363"/>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row>
    <row r="19" spans="1:106">
      <c r="A19" s="110" t="s">
        <v>1727</v>
      </c>
      <c r="B19" s="620" t="s">
        <v>595</v>
      </c>
      <c r="C19" s="620" t="s">
        <v>596</v>
      </c>
      <c r="D19" s="620" t="s">
        <v>597</v>
      </c>
      <c r="E19" s="620" t="s">
        <v>4229</v>
      </c>
      <c r="F19" s="620" t="s">
        <v>4229</v>
      </c>
      <c r="G19" s="363" t="s">
        <v>1123</v>
      </c>
      <c r="H19" s="110" t="s">
        <v>598</v>
      </c>
      <c r="I19" s="620" t="s">
        <v>599</v>
      </c>
      <c r="J19" s="620" t="s">
        <v>600</v>
      </c>
      <c r="K19" s="620"/>
      <c r="L19" s="620" t="s">
        <v>600</v>
      </c>
      <c r="M19" s="620" t="s">
        <v>600</v>
      </c>
      <c r="N19" s="363" t="s">
        <v>1727</v>
      </c>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row>
    <row r="20" spans="1:106">
      <c r="A20" s="364" t="s">
        <v>1739</v>
      </c>
      <c r="B20" s="621" t="s">
        <v>3279</v>
      </c>
      <c r="C20" s="621" t="s">
        <v>3280</v>
      </c>
      <c r="D20" s="621" t="s">
        <v>3281</v>
      </c>
      <c r="E20" s="621" t="s">
        <v>3282</v>
      </c>
      <c r="F20" s="621" t="s">
        <v>721</v>
      </c>
      <c r="G20" s="367" t="s">
        <v>722</v>
      </c>
      <c r="H20" s="364" t="s">
        <v>723</v>
      </c>
      <c r="I20" s="621" t="s">
        <v>335</v>
      </c>
      <c r="J20" s="621" t="s">
        <v>336</v>
      </c>
      <c r="K20" s="621" t="s">
        <v>337</v>
      </c>
      <c r="L20" s="621" t="s">
        <v>338</v>
      </c>
      <c r="M20" s="621" t="s">
        <v>339</v>
      </c>
      <c r="N20" s="367" t="s">
        <v>1739</v>
      </c>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row>
    <row r="21" spans="1:106">
      <c r="A21" s="110"/>
      <c r="B21" s="142" t="s">
        <v>601</v>
      </c>
      <c r="C21" s="142"/>
      <c r="D21" s="142"/>
      <c r="E21" s="142"/>
      <c r="F21" s="142"/>
      <c r="G21" s="138"/>
      <c r="H21" s="85"/>
      <c r="I21" s="142"/>
      <c r="J21" s="142"/>
      <c r="K21" s="142"/>
      <c r="L21" s="142"/>
      <c r="M21" s="142"/>
      <c r="N21" s="363"/>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row>
    <row r="22" spans="1:106">
      <c r="A22" s="110">
        <v>1</v>
      </c>
      <c r="B22" s="142" t="s">
        <v>602</v>
      </c>
      <c r="C22" s="492">
        <v>5540404.0020000003</v>
      </c>
      <c r="D22" s="492"/>
      <c r="E22" s="492">
        <v>2668910</v>
      </c>
      <c r="F22" s="492">
        <v>4984696</v>
      </c>
      <c r="G22" s="441">
        <v>14731</v>
      </c>
      <c r="H22" s="436">
        <f>+C22+E22-F22+G22</f>
        <v>3239349.0020000003</v>
      </c>
      <c r="I22" s="492"/>
      <c r="J22" s="492">
        <f>+E22</f>
        <v>2668910</v>
      </c>
      <c r="K22" s="492"/>
      <c r="L22" s="492"/>
      <c r="M22" s="492"/>
      <c r="N22" s="363">
        <v>1</v>
      </c>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row>
    <row r="23" spans="1:106">
      <c r="A23" s="110">
        <v>2</v>
      </c>
      <c r="B23" s="142" t="s">
        <v>855</v>
      </c>
      <c r="C23" s="484">
        <v>122453.787</v>
      </c>
      <c r="D23" s="484"/>
      <c r="E23" s="484">
        <v>1108914</v>
      </c>
      <c r="F23" s="484">
        <v>1095414</v>
      </c>
      <c r="G23" s="442"/>
      <c r="H23" s="145">
        <f>+C23+E23-F23+G23</f>
        <v>135953.78700000001</v>
      </c>
      <c r="I23" s="492"/>
      <c r="J23" s="484">
        <f>+E23</f>
        <v>1108914</v>
      </c>
      <c r="K23" s="484"/>
      <c r="L23" s="484"/>
      <c r="M23" s="484"/>
      <c r="N23" s="363">
        <v>2</v>
      </c>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row>
    <row r="24" spans="1:106">
      <c r="A24" s="110">
        <v>3</v>
      </c>
      <c r="B24" s="142" t="s">
        <v>856</v>
      </c>
      <c r="C24" s="484">
        <v>10.95</v>
      </c>
      <c r="D24" s="484"/>
      <c r="E24" s="484">
        <v>8962</v>
      </c>
      <c r="F24" s="484">
        <v>8899</v>
      </c>
      <c r="G24" s="442"/>
      <c r="H24" s="145">
        <f>+C24+E24-F24</f>
        <v>73.950000000000728</v>
      </c>
      <c r="I24" s="484"/>
      <c r="J24" s="484">
        <f>+E24</f>
        <v>8962</v>
      </c>
      <c r="K24" s="484"/>
      <c r="L24" s="484"/>
      <c r="M24" s="484"/>
      <c r="N24" s="363">
        <v>3</v>
      </c>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row>
    <row r="25" spans="1:106">
      <c r="A25" s="110">
        <v>4</v>
      </c>
      <c r="B25" s="142" t="s">
        <v>857</v>
      </c>
      <c r="C25" s="484"/>
      <c r="D25" s="484"/>
      <c r="E25" s="484"/>
      <c r="F25" s="484"/>
      <c r="G25" s="442"/>
      <c r="H25" s="145">
        <f>+C25+E25-F25</f>
        <v>0</v>
      </c>
      <c r="I25" s="484"/>
      <c r="J25" s="484"/>
      <c r="K25" s="484"/>
      <c r="L25" s="484"/>
      <c r="M25" s="484"/>
      <c r="N25" s="363">
        <v>4</v>
      </c>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row>
    <row r="26" spans="1:106">
      <c r="A26" s="110">
        <v>5</v>
      </c>
      <c r="B26" s="142" t="s">
        <v>858</v>
      </c>
      <c r="C26" s="410">
        <f t="shared" ref="C26:J26" si="0">SUM(C22:C25)</f>
        <v>5662868.7390000001</v>
      </c>
      <c r="D26" s="410">
        <f t="shared" si="0"/>
        <v>0</v>
      </c>
      <c r="E26" s="410">
        <f t="shared" si="0"/>
        <v>3786786</v>
      </c>
      <c r="F26" s="410">
        <f t="shared" si="0"/>
        <v>6089009</v>
      </c>
      <c r="G26" s="391">
        <f t="shared" si="0"/>
        <v>14731</v>
      </c>
      <c r="H26" s="578">
        <f t="shared" si="0"/>
        <v>3375376.7390000005</v>
      </c>
      <c r="I26" s="410">
        <f t="shared" si="0"/>
        <v>0</v>
      </c>
      <c r="J26" s="410">
        <f t="shared" si="0"/>
        <v>3786786</v>
      </c>
      <c r="K26" s="484"/>
      <c r="L26" s="410">
        <f>SUM(L22:L25)</f>
        <v>0</v>
      </c>
      <c r="M26" s="410">
        <f>SUM(M22:M25)</f>
        <v>0</v>
      </c>
      <c r="N26" s="363">
        <v>5</v>
      </c>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row>
    <row r="27" spans="1:106">
      <c r="A27" s="110"/>
      <c r="B27" s="142" t="s">
        <v>859</v>
      </c>
      <c r="C27" s="484"/>
      <c r="D27" s="484"/>
      <c r="E27" s="484"/>
      <c r="F27" s="484"/>
      <c r="G27" s="442"/>
      <c r="H27" s="145"/>
      <c r="I27" s="484"/>
      <c r="J27" s="484"/>
      <c r="K27" s="484"/>
      <c r="L27" s="484"/>
      <c r="M27" s="484"/>
      <c r="N27" s="363"/>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row>
    <row r="28" spans="1:106">
      <c r="A28" s="110">
        <v>6</v>
      </c>
      <c r="B28" s="142" t="s">
        <v>2266</v>
      </c>
      <c r="C28" s="484"/>
      <c r="D28" s="484"/>
      <c r="E28" s="484"/>
      <c r="F28" s="484"/>
      <c r="G28" s="442"/>
      <c r="H28" s="145"/>
      <c r="I28" s="484"/>
      <c r="J28" s="484"/>
      <c r="K28" s="484"/>
      <c r="L28" s="484"/>
      <c r="M28" s="484"/>
      <c r="N28" s="363">
        <v>6</v>
      </c>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row>
    <row r="29" spans="1:106">
      <c r="A29" s="110">
        <v>7</v>
      </c>
      <c r="B29" s="142" t="s">
        <v>2267</v>
      </c>
      <c r="C29" s="484"/>
      <c r="D29" s="484"/>
      <c r="E29" s="484"/>
      <c r="F29" s="484"/>
      <c r="G29" s="442"/>
      <c r="H29" s="145"/>
      <c r="I29" s="484"/>
      <c r="J29" s="484"/>
      <c r="K29" s="484"/>
      <c r="L29" s="484"/>
      <c r="M29" s="484"/>
      <c r="N29" s="363">
        <v>7</v>
      </c>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row>
    <row r="30" spans="1:106">
      <c r="A30" s="110">
        <v>8</v>
      </c>
      <c r="B30" s="142" t="s">
        <v>2268</v>
      </c>
      <c r="C30" s="484"/>
      <c r="D30" s="484"/>
      <c r="E30" s="484"/>
      <c r="F30" s="484"/>
      <c r="G30" s="442"/>
      <c r="H30" s="145"/>
      <c r="I30" s="484"/>
      <c r="J30" s="484"/>
      <c r="K30" s="484"/>
      <c r="L30" s="484"/>
      <c r="M30" s="484"/>
      <c r="N30" s="363">
        <v>8</v>
      </c>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row>
    <row r="31" spans="1:106">
      <c r="A31" s="110"/>
      <c r="B31" s="142" t="s">
        <v>2269</v>
      </c>
      <c r="C31" s="484"/>
      <c r="D31" s="484"/>
      <c r="E31" s="484"/>
      <c r="F31" s="484"/>
      <c r="G31" s="442"/>
      <c r="H31" s="145"/>
      <c r="I31" s="484"/>
      <c r="J31" s="484"/>
      <c r="K31" s="484"/>
      <c r="L31" s="484"/>
      <c r="M31" s="484"/>
      <c r="N31" s="363"/>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row>
    <row r="32" spans="1:106">
      <c r="A32" s="110">
        <v>9</v>
      </c>
      <c r="B32" s="142" t="s">
        <v>2270</v>
      </c>
      <c r="C32" s="484"/>
      <c r="D32" s="484"/>
      <c r="E32" s="484"/>
      <c r="F32" s="484"/>
      <c r="G32" s="442"/>
      <c r="H32" s="145"/>
      <c r="I32" s="484"/>
      <c r="J32" s="484"/>
      <c r="K32" s="484"/>
      <c r="L32" s="484"/>
      <c r="M32" s="484" t="s">
        <v>218</v>
      </c>
      <c r="N32" s="363">
        <v>9</v>
      </c>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row>
    <row r="33" spans="1:106">
      <c r="A33" s="110">
        <v>10</v>
      </c>
      <c r="B33" s="142" t="s">
        <v>3702</v>
      </c>
      <c r="C33" s="484"/>
      <c r="D33" s="484"/>
      <c r="E33" s="484"/>
      <c r="F33" s="484"/>
      <c r="G33" s="442"/>
      <c r="H33" s="145"/>
      <c r="I33" s="484"/>
      <c r="J33" s="484"/>
      <c r="K33" s="484"/>
      <c r="L33" s="484"/>
      <c r="M33" s="484"/>
      <c r="N33" s="363">
        <v>10</v>
      </c>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row>
    <row r="34" spans="1:106">
      <c r="A34" s="110">
        <v>11</v>
      </c>
      <c r="B34" s="142" t="s">
        <v>3703</v>
      </c>
      <c r="C34" s="484"/>
      <c r="D34" s="484"/>
      <c r="E34" s="484"/>
      <c r="F34" s="484"/>
      <c r="G34" s="442"/>
      <c r="H34" s="145"/>
      <c r="I34" s="484"/>
      <c r="J34" s="484"/>
      <c r="K34" s="484"/>
      <c r="L34" s="484"/>
      <c r="M34" s="484"/>
      <c r="N34" s="363">
        <v>11</v>
      </c>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row>
    <row r="35" spans="1:106">
      <c r="A35" s="110">
        <v>12</v>
      </c>
      <c r="B35" s="142" t="s">
        <v>3704</v>
      </c>
      <c r="C35" s="484"/>
      <c r="D35" s="484"/>
      <c r="E35" s="484"/>
      <c r="F35" s="484"/>
      <c r="G35" s="442"/>
      <c r="H35" s="145"/>
      <c r="I35" s="484"/>
      <c r="J35" s="484"/>
      <c r="K35" s="484"/>
      <c r="L35" s="484"/>
      <c r="M35" s="484"/>
      <c r="N35" s="363">
        <v>12</v>
      </c>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row>
    <row r="36" spans="1:106">
      <c r="A36" s="110">
        <v>13</v>
      </c>
      <c r="B36" s="142" t="s">
        <v>3705</v>
      </c>
      <c r="C36" s="484">
        <v>80.290000000000006</v>
      </c>
      <c r="D36" s="484"/>
      <c r="E36" s="484">
        <v>36904</v>
      </c>
      <c r="F36" s="484">
        <v>36560</v>
      </c>
      <c r="G36" s="442"/>
      <c r="H36" s="145">
        <f>+C36+E36-F36+G36</f>
        <v>424.29000000000087</v>
      </c>
      <c r="I36" s="484"/>
      <c r="J36" s="484">
        <f>+E36</f>
        <v>36904</v>
      </c>
      <c r="K36" s="484"/>
      <c r="L36" s="484"/>
      <c r="M36" s="484"/>
      <c r="N36" s="363">
        <v>13</v>
      </c>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row>
    <row r="37" spans="1:106">
      <c r="A37" s="110">
        <v>14</v>
      </c>
      <c r="B37" s="142" t="s">
        <v>3706</v>
      </c>
      <c r="C37" s="484" t="s">
        <v>218</v>
      </c>
      <c r="D37" s="484"/>
      <c r="E37" s="484"/>
      <c r="F37" s="484"/>
      <c r="G37" s="442"/>
      <c r="H37" s="145" t="s">
        <v>218</v>
      </c>
      <c r="I37" s="484"/>
      <c r="J37" s="484"/>
      <c r="K37" s="484"/>
      <c r="L37" s="484"/>
      <c r="M37" s="484"/>
      <c r="N37" s="363">
        <v>14</v>
      </c>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row>
    <row r="38" spans="1:106">
      <c r="A38" s="110">
        <v>15</v>
      </c>
      <c r="B38" s="142" t="s">
        <v>3707</v>
      </c>
      <c r="C38" s="484">
        <v>70445.210000000006</v>
      </c>
      <c r="D38" s="484"/>
      <c r="E38" s="484">
        <v>1008037</v>
      </c>
      <c r="F38" s="484">
        <v>1010618</v>
      </c>
      <c r="G38" s="442"/>
      <c r="H38" s="145">
        <f>+C38+E38-F38+G38</f>
        <v>67864.209999999963</v>
      </c>
      <c r="I38" s="484"/>
      <c r="J38" s="484">
        <f>+E38</f>
        <v>1008037</v>
      </c>
      <c r="K38" s="484"/>
      <c r="L38" s="484"/>
      <c r="M38" s="484"/>
      <c r="N38" s="363">
        <v>15</v>
      </c>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row>
    <row r="39" spans="1:106">
      <c r="A39" s="110">
        <v>16</v>
      </c>
      <c r="B39" s="142" t="s">
        <v>3708</v>
      </c>
      <c r="C39" s="484"/>
      <c r="D39" s="484"/>
      <c r="E39" s="484"/>
      <c r="F39" s="484"/>
      <c r="G39" s="442"/>
      <c r="H39" s="145"/>
      <c r="I39" s="484"/>
      <c r="J39" s="484"/>
      <c r="K39" s="484"/>
      <c r="L39" s="484"/>
      <c r="M39" s="484"/>
      <c r="N39" s="363">
        <v>16</v>
      </c>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row>
    <row r="40" spans="1:106">
      <c r="A40" s="110">
        <v>17</v>
      </c>
      <c r="B40" s="142" t="s">
        <v>749</v>
      </c>
      <c r="C40" s="484">
        <v>-1871385.4270000001</v>
      </c>
      <c r="D40" s="1752"/>
      <c r="E40" s="484">
        <v>1921521</v>
      </c>
      <c r="F40" s="484">
        <v>76600</v>
      </c>
      <c r="G40" s="445">
        <v>1252644</v>
      </c>
      <c r="H40" s="145">
        <f>+C40+E40-F40+G40</f>
        <v>1226179.5729999999</v>
      </c>
      <c r="I40" s="484"/>
      <c r="J40" s="484">
        <f>+E40</f>
        <v>1921521</v>
      </c>
      <c r="K40" s="484"/>
      <c r="L40" s="484"/>
      <c r="M40" s="484"/>
      <c r="N40" s="363">
        <v>17</v>
      </c>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row>
    <row r="41" spans="1:106">
      <c r="A41" s="110">
        <v>18</v>
      </c>
      <c r="B41" s="142" t="s">
        <v>858</v>
      </c>
      <c r="C41" s="410">
        <f t="shared" ref="C41:J41" si="1">SUM(C28:C40)</f>
        <v>-1800859.9270000001</v>
      </c>
      <c r="D41" s="410">
        <f t="shared" si="1"/>
        <v>0</v>
      </c>
      <c r="E41" s="410">
        <f t="shared" si="1"/>
        <v>2966462</v>
      </c>
      <c r="F41" s="410">
        <f t="shared" si="1"/>
        <v>1123778</v>
      </c>
      <c r="G41" s="391">
        <f t="shared" si="1"/>
        <v>1252644</v>
      </c>
      <c r="H41" s="578">
        <f t="shared" si="1"/>
        <v>1294468.0729999999</v>
      </c>
      <c r="I41" s="410">
        <f t="shared" si="1"/>
        <v>0</v>
      </c>
      <c r="J41" s="410">
        <f t="shared" si="1"/>
        <v>2966462</v>
      </c>
      <c r="K41" s="484"/>
      <c r="L41" s="410">
        <f>SUM(L28:L40)</f>
        <v>0</v>
      </c>
      <c r="M41" s="410">
        <f>SUM(M28:M40)</f>
        <v>0</v>
      </c>
      <c r="N41" s="363">
        <v>18</v>
      </c>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row>
    <row r="42" spans="1:106">
      <c r="A42" s="110"/>
      <c r="B42" s="142" t="s">
        <v>3709</v>
      </c>
      <c r="C42" s="484" t="s">
        <v>218</v>
      </c>
      <c r="D42" s="484"/>
      <c r="E42" s="484"/>
      <c r="F42" s="484"/>
      <c r="G42" s="442"/>
      <c r="H42" s="436" t="s">
        <v>218</v>
      </c>
      <c r="I42" s="484"/>
      <c r="J42" s="484"/>
      <c r="K42" s="484"/>
      <c r="L42" s="484"/>
      <c r="M42" s="484"/>
      <c r="N42" s="363"/>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row>
    <row r="43" spans="1:106">
      <c r="A43" s="110">
        <v>19</v>
      </c>
      <c r="B43" s="142" t="s">
        <v>3710</v>
      </c>
      <c r="C43" s="484"/>
      <c r="D43" s="484">
        <v>2304026</v>
      </c>
      <c r="E43" s="484">
        <v>7608339</v>
      </c>
      <c r="F43" s="484">
        <v>7792676</v>
      </c>
      <c r="G43" s="442"/>
      <c r="H43" s="145"/>
      <c r="I43" s="484">
        <f>+D43-E43+F43+G43</f>
        <v>2488363</v>
      </c>
      <c r="J43" s="484">
        <f>+E43-F99</f>
        <v>7608339</v>
      </c>
      <c r="K43" s="484"/>
      <c r="L43" s="484"/>
      <c r="M43" s="484"/>
      <c r="N43" s="363">
        <v>19</v>
      </c>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row>
    <row r="44" spans="1:106">
      <c r="A44" s="110">
        <v>20</v>
      </c>
      <c r="B44" s="142" t="s">
        <v>3447</v>
      </c>
      <c r="C44" s="484"/>
      <c r="D44" s="484">
        <v>6294305</v>
      </c>
      <c r="E44" s="484">
        <v>19703640</v>
      </c>
      <c r="F44" s="484">
        <v>20058592</v>
      </c>
      <c r="G44" s="442"/>
      <c r="H44" s="145"/>
      <c r="I44" s="484">
        <f>+D44-E44+F44+G44</f>
        <v>6649257</v>
      </c>
      <c r="J44" s="484">
        <f>+E44</f>
        <v>19703640</v>
      </c>
      <c r="K44" s="484"/>
      <c r="L44" s="484"/>
      <c r="M44" s="484"/>
      <c r="N44" s="363">
        <v>20</v>
      </c>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row>
    <row r="45" spans="1:106">
      <c r="A45" s="110">
        <v>21</v>
      </c>
      <c r="B45" s="142" t="s">
        <v>1491</v>
      </c>
      <c r="C45" s="484">
        <v>45578.44</v>
      </c>
      <c r="D45" s="484"/>
      <c r="E45" s="484">
        <v>425556</v>
      </c>
      <c r="F45" s="484">
        <v>421031</v>
      </c>
      <c r="G45" s="442"/>
      <c r="H45" s="145">
        <f>+C45+E45-F45+G45</f>
        <v>50103.44</v>
      </c>
      <c r="I45" s="484"/>
      <c r="J45" s="484">
        <f>+E45</f>
        <v>425556</v>
      </c>
      <c r="K45" s="484"/>
      <c r="L45" s="484"/>
      <c r="M45" s="484"/>
      <c r="N45" s="363">
        <v>21</v>
      </c>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row>
    <row r="46" spans="1:106">
      <c r="A46" s="110">
        <v>22</v>
      </c>
      <c r="B46" s="142" t="s">
        <v>1492</v>
      </c>
      <c r="C46" s="484"/>
      <c r="D46" s="484"/>
      <c r="E46" s="484"/>
      <c r="F46" s="484"/>
      <c r="G46" s="442"/>
      <c r="H46" s="145"/>
      <c r="I46" s="484"/>
      <c r="J46" s="484"/>
      <c r="K46" s="484"/>
      <c r="L46" s="484"/>
      <c r="M46" s="484"/>
      <c r="N46" s="363">
        <v>22</v>
      </c>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row>
    <row r="47" spans="1:106">
      <c r="A47" s="110">
        <v>23</v>
      </c>
      <c r="B47" s="142" t="s">
        <v>1493</v>
      </c>
      <c r="C47" s="484"/>
      <c r="D47" s="484"/>
      <c r="E47" s="484"/>
      <c r="F47" s="484"/>
      <c r="G47" s="442"/>
      <c r="H47" s="145"/>
      <c r="I47" s="484"/>
      <c r="J47" s="484"/>
      <c r="K47" s="484"/>
      <c r="L47" s="484"/>
      <c r="M47" s="484"/>
      <c r="N47" s="363">
        <v>23</v>
      </c>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c r="CP47" s="86"/>
      <c r="CQ47" s="86"/>
      <c r="CR47" s="86"/>
      <c r="CS47" s="86"/>
      <c r="CT47" s="86"/>
      <c r="CU47" s="86"/>
      <c r="CV47" s="86"/>
      <c r="CW47" s="86"/>
      <c r="CX47" s="86"/>
      <c r="CY47" s="86"/>
      <c r="CZ47" s="86"/>
      <c r="DA47" s="86"/>
      <c r="DB47" s="86"/>
    </row>
    <row r="48" spans="1:106">
      <c r="A48" s="110">
        <v>24</v>
      </c>
      <c r="B48" s="142" t="s">
        <v>3707</v>
      </c>
      <c r="C48" s="484" t="s">
        <v>218</v>
      </c>
      <c r="D48" s="484"/>
      <c r="E48" s="484"/>
      <c r="F48" s="484"/>
      <c r="G48" s="442"/>
      <c r="H48" s="145" t="s">
        <v>218</v>
      </c>
      <c r="I48" s="484"/>
      <c r="J48" s="484"/>
      <c r="K48" s="484"/>
      <c r="L48" s="484"/>
      <c r="M48" s="484"/>
      <c r="N48" s="363">
        <v>24</v>
      </c>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c r="CP48" s="86"/>
      <c r="CQ48" s="86"/>
      <c r="CR48" s="86"/>
      <c r="CS48" s="86"/>
      <c r="CT48" s="86"/>
      <c r="CU48" s="86"/>
      <c r="CV48" s="86"/>
      <c r="CW48" s="86"/>
      <c r="CX48" s="86"/>
      <c r="CY48" s="86"/>
      <c r="CZ48" s="86"/>
      <c r="DA48" s="86"/>
      <c r="DB48" s="86"/>
    </row>
    <row r="49" spans="1:106">
      <c r="A49" s="110">
        <v>25</v>
      </c>
      <c r="B49" s="142" t="s">
        <v>857</v>
      </c>
      <c r="C49" s="484" t="s">
        <v>218</v>
      </c>
      <c r="D49" s="484"/>
      <c r="E49" s="484"/>
      <c r="F49" s="484"/>
      <c r="G49" s="442"/>
      <c r="H49" s="145" t="s">
        <v>218</v>
      </c>
      <c r="I49" s="484"/>
      <c r="J49" s="484"/>
      <c r="K49" s="484"/>
      <c r="L49" s="484"/>
      <c r="M49" s="484"/>
      <c r="N49" s="363">
        <v>25</v>
      </c>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c r="CP49" s="86"/>
      <c r="CQ49" s="86"/>
      <c r="CR49" s="86"/>
      <c r="CS49" s="86"/>
      <c r="CT49" s="86"/>
      <c r="CU49" s="86"/>
      <c r="CV49" s="86"/>
      <c r="CW49" s="86"/>
      <c r="CX49" s="86"/>
      <c r="CY49" s="86"/>
      <c r="CZ49" s="86"/>
      <c r="DA49" s="86"/>
      <c r="DB49" s="86"/>
    </row>
    <row r="50" spans="1:106">
      <c r="A50" s="110">
        <v>26</v>
      </c>
      <c r="B50" s="142" t="s">
        <v>858</v>
      </c>
      <c r="C50" s="410">
        <f t="shared" ref="C50:J50" si="2">SUM(C43:C49)</f>
        <v>45578.44</v>
      </c>
      <c r="D50" s="410">
        <f t="shared" si="2"/>
        <v>8598331</v>
      </c>
      <c r="E50" s="410">
        <f>SUM(E43:E49)</f>
        <v>27737535</v>
      </c>
      <c r="F50" s="410">
        <f t="shared" si="2"/>
        <v>28272299</v>
      </c>
      <c r="G50" s="391">
        <f t="shared" si="2"/>
        <v>0</v>
      </c>
      <c r="H50" s="578">
        <f t="shared" si="2"/>
        <v>50103.44</v>
      </c>
      <c r="I50" s="410">
        <f t="shared" si="2"/>
        <v>9137620</v>
      </c>
      <c r="J50" s="410">
        <f t="shared" si="2"/>
        <v>27737535</v>
      </c>
      <c r="K50" s="484"/>
      <c r="L50" s="410">
        <f>SUM(L43:L49)</f>
        <v>0</v>
      </c>
      <c r="M50" s="410">
        <f>SUM(M43:M49)</f>
        <v>0</v>
      </c>
      <c r="N50" s="363">
        <v>26</v>
      </c>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c r="CP50" s="86"/>
      <c r="CQ50" s="86"/>
      <c r="CR50" s="86"/>
      <c r="CS50" s="86"/>
      <c r="CT50" s="86"/>
      <c r="CU50" s="86"/>
      <c r="CV50" s="86"/>
      <c r="CW50" s="86"/>
      <c r="CX50" s="86"/>
      <c r="CY50" s="86"/>
      <c r="CZ50" s="86"/>
      <c r="DA50" s="86"/>
      <c r="DB50" s="86"/>
    </row>
    <row r="51" spans="1:106">
      <c r="A51" s="110"/>
      <c r="B51" s="142" t="s">
        <v>1494</v>
      </c>
      <c r="C51" s="484"/>
      <c r="D51" s="484"/>
      <c r="E51" s="484"/>
      <c r="F51" s="484"/>
      <c r="G51" s="442"/>
      <c r="H51" s="145"/>
      <c r="I51" s="484"/>
      <c r="J51" s="484"/>
      <c r="K51" s="484"/>
      <c r="L51" s="484"/>
      <c r="M51" s="484"/>
      <c r="N51" s="363"/>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row>
    <row r="52" spans="1:106">
      <c r="A52" s="110">
        <v>27</v>
      </c>
      <c r="B52" s="142"/>
      <c r="C52" s="484"/>
      <c r="D52" s="484"/>
      <c r="E52" s="484"/>
      <c r="F52" s="484"/>
      <c r="G52" s="442"/>
      <c r="H52" s="145" t="s">
        <v>218</v>
      </c>
      <c r="I52" s="484"/>
      <c r="J52" s="484"/>
      <c r="K52" s="484"/>
      <c r="L52" s="484"/>
      <c r="M52" s="484"/>
      <c r="N52" s="363">
        <v>27</v>
      </c>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row>
    <row r="53" spans="1:106">
      <c r="A53" s="110">
        <v>28</v>
      </c>
      <c r="B53" s="142" t="s">
        <v>3733</v>
      </c>
      <c r="C53" s="484"/>
      <c r="D53" s="484"/>
      <c r="E53" s="484"/>
      <c r="F53" s="484"/>
      <c r="G53" s="442"/>
      <c r="H53" s="145" t="s">
        <v>218</v>
      </c>
      <c r="I53" s="484"/>
      <c r="J53" s="484"/>
      <c r="K53" s="484"/>
      <c r="L53" s="484"/>
      <c r="M53" s="484"/>
      <c r="N53" s="363">
        <v>28</v>
      </c>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row>
    <row r="54" spans="1:106">
      <c r="A54" s="110">
        <v>29</v>
      </c>
      <c r="B54" s="142" t="s">
        <v>3571</v>
      </c>
      <c r="C54" s="622"/>
      <c r="D54" s="622"/>
      <c r="E54" s="484"/>
      <c r="F54" s="484"/>
      <c r="G54" s="588"/>
      <c r="H54" s="1600"/>
      <c r="I54" s="622"/>
      <c r="J54" s="484"/>
      <c r="K54" s="522"/>
      <c r="L54" s="622"/>
      <c r="M54" s="622"/>
      <c r="N54" s="363">
        <v>29</v>
      </c>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row>
    <row r="55" spans="1:106">
      <c r="A55" s="110">
        <v>30</v>
      </c>
      <c r="B55" s="142" t="s">
        <v>3734</v>
      </c>
      <c r="C55" s="484"/>
      <c r="D55" s="484"/>
      <c r="E55" s="484">
        <v>-1008037</v>
      </c>
      <c r="F55" s="484"/>
      <c r="G55" s="442"/>
      <c r="H55" s="145"/>
      <c r="I55" s="484"/>
      <c r="J55" s="484">
        <f>+E55</f>
        <v>-1008037</v>
      </c>
      <c r="K55" s="484"/>
      <c r="L55" s="484"/>
      <c r="M55" s="484"/>
      <c r="N55" s="363">
        <v>30</v>
      </c>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row>
    <row r="56" spans="1:106">
      <c r="A56" s="110">
        <v>31</v>
      </c>
      <c r="B56" s="142" t="s">
        <v>4392</v>
      </c>
      <c r="C56" s="484"/>
      <c r="D56" s="484"/>
      <c r="E56" s="484">
        <v>45716</v>
      </c>
      <c r="F56" s="484"/>
      <c r="G56" s="442"/>
      <c r="H56" s="145"/>
      <c r="I56" s="484"/>
      <c r="J56" s="484">
        <f>+E56</f>
        <v>45716</v>
      </c>
      <c r="K56" s="484"/>
      <c r="L56" s="484"/>
      <c r="M56" s="484"/>
      <c r="N56" s="363">
        <v>31</v>
      </c>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row>
    <row r="57" spans="1:106">
      <c r="A57" s="110">
        <v>32</v>
      </c>
      <c r="B57" s="142" t="s">
        <v>3111</v>
      </c>
      <c r="C57" s="484"/>
      <c r="D57" s="484"/>
      <c r="E57" s="484">
        <f>6827375+1</f>
        <v>6827376</v>
      </c>
      <c r="F57" s="484"/>
      <c r="G57" s="442"/>
      <c r="H57" s="145"/>
      <c r="I57" s="484"/>
      <c r="J57" s="484">
        <f>+E57</f>
        <v>6827376</v>
      </c>
      <c r="K57" s="142"/>
      <c r="L57" s="484"/>
      <c r="M57" s="484"/>
      <c r="N57" s="363">
        <v>32</v>
      </c>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86"/>
      <c r="CY57" s="86"/>
      <c r="CZ57" s="86"/>
      <c r="DA57" s="86"/>
      <c r="DB57" s="86"/>
    </row>
    <row r="58" spans="1:106">
      <c r="A58" s="110">
        <v>33</v>
      </c>
      <c r="B58" s="142" t="s">
        <v>4663</v>
      </c>
      <c r="C58" s="484"/>
      <c r="D58" s="484"/>
      <c r="E58" s="484"/>
      <c r="F58" s="484"/>
      <c r="G58" s="442"/>
      <c r="H58" s="145"/>
      <c r="I58" s="484"/>
      <c r="J58" s="484"/>
      <c r="K58" s="484"/>
      <c r="L58" s="484"/>
      <c r="M58" s="484"/>
      <c r="N58" s="363">
        <v>33</v>
      </c>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c r="CP58" s="86"/>
      <c r="CQ58" s="86"/>
      <c r="CR58" s="86"/>
      <c r="CS58" s="86"/>
      <c r="CT58" s="86"/>
      <c r="CU58" s="86"/>
      <c r="CV58" s="86"/>
      <c r="CW58" s="86"/>
      <c r="CX58" s="86"/>
      <c r="CY58" s="86"/>
      <c r="CZ58" s="86"/>
      <c r="DA58" s="86"/>
      <c r="DB58" s="86"/>
    </row>
    <row r="59" spans="1:106">
      <c r="A59" s="110">
        <v>34</v>
      </c>
      <c r="B59" s="142" t="s">
        <v>4664</v>
      </c>
      <c r="C59" s="484"/>
      <c r="D59" s="484"/>
      <c r="E59" s="484">
        <v>-24997</v>
      </c>
      <c r="F59" s="484"/>
      <c r="G59" s="442"/>
      <c r="H59" s="145"/>
      <c r="I59" s="484"/>
      <c r="J59" s="484">
        <f>+E59</f>
        <v>-24997</v>
      </c>
      <c r="K59" s="142"/>
      <c r="L59" s="484"/>
      <c r="M59" s="484"/>
      <c r="N59" s="363">
        <v>34</v>
      </c>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c r="CP59" s="86"/>
      <c r="CQ59" s="86"/>
      <c r="CR59" s="86"/>
      <c r="CS59" s="86"/>
      <c r="CT59" s="86"/>
      <c r="CU59" s="86"/>
      <c r="CV59" s="86"/>
      <c r="CW59" s="86"/>
      <c r="CX59" s="86"/>
      <c r="CY59" s="86"/>
      <c r="CZ59" s="86"/>
      <c r="DA59" s="86"/>
      <c r="DB59" s="86"/>
    </row>
    <row r="60" spans="1:106">
      <c r="A60" s="110">
        <v>35</v>
      </c>
      <c r="B60" s="142"/>
      <c r="C60" s="484"/>
      <c r="D60" s="484"/>
      <c r="E60" s="484"/>
      <c r="F60" s="484"/>
      <c r="G60" s="442"/>
      <c r="H60" s="145"/>
      <c r="I60" s="484"/>
      <c r="J60" s="484"/>
      <c r="K60" s="142"/>
      <c r="L60" s="484"/>
      <c r="M60" s="484"/>
      <c r="N60" s="363">
        <v>35</v>
      </c>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6"/>
      <c r="CF60" s="86"/>
      <c r="CG60" s="86"/>
      <c r="CH60" s="86"/>
      <c r="CI60" s="86"/>
      <c r="CJ60" s="86"/>
      <c r="CK60" s="86"/>
      <c r="CL60" s="86"/>
      <c r="CM60" s="86"/>
      <c r="CN60" s="86"/>
      <c r="CO60" s="86"/>
      <c r="CP60" s="86"/>
      <c r="CQ60" s="86"/>
      <c r="CR60" s="86"/>
      <c r="CS60" s="86"/>
      <c r="CT60" s="86"/>
      <c r="CU60" s="86"/>
      <c r="CV60" s="86"/>
      <c r="CW60" s="86"/>
      <c r="CX60" s="86"/>
      <c r="CY60" s="86"/>
      <c r="CZ60" s="86"/>
      <c r="DA60" s="86"/>
      <c r="DB60" s="86"/>
    </row>
    <row r="61" spans="1:106">
      <c r="A61" s="110">
        <v>36</v>
      </c>
      <c r="B61" s="142"/>
      <c r="C61" s="484"/>
      <c r="D61" s="484"/>
      <c r="E61" s="484"/>
      <c r="F61" s="484"/>
      <c r="G61" s="1606"/>
      <c r="H61" s="145"/>
      <c r="I61" s="484"/>
      <c r="J61" s="484"/>
      <c r="K61" s="484"/>
      <c r="L61" s="484"/>
      <c r="M61" s="484"/>
      <c r="N61" s="363">
        <v>36</v>
      </c>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row>
    <row r="62" spans="1:106">
      <c r="A62" s="110">
        <v>37</v>
      </c>
      <c r="B62" s="142"/>
      <c r="C62" s="484"/>
      <c r="D62" s="484"/>
      <c r="E62" s="484"/>
      <c r="F62" s="484"/>
      <c r="G62" s="1606"/>
      <c r="H62" s="145"/>
      <c r="I62" s="484"/>
      <c r="J62" s="484"/>
      <c r="K62" s="484"/>
      <c r="L62" s="484"/>
      <c r="M62" s="484"/>
      <c r="N62" s="363">
        <v>37</v>
      </c>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row>
    <row r="63" spans="1:106">
      <c r="A63" s="110">
        <v>38</v>
      </c>
      <c r="B63" s="142"/>
      <c r="C63" s="484"/>
      <c r="D63" s="484"/>
      <c r="E63" s="484"/>
      <c r="F63" s="484"/>
      <c r="G63" s="1606"/>
      <c r="H63" s="145"/>
      <c r="I63" s="484"/>
      <c r="J63" s="484"/>
      <c r="K63" s="484"/>
      <c r="L63" s="484"/>
      <c r="M63" s="484"/>
      <c r="N63" s="363">
        <v>38</v>
      </c>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6"/>
      <c r="CE63" s="86"/>
      <c r="CF63" s="86"/>
      <c r="CG63" s="86"/>
      <c r="CH63" s="86"/>
      <c r="CI63" s="86"/>
      <c r="CJ63" s="86"/>
      <c r="CK63" s="86"/>
      <c r="CL63" s="86"/>
      <c r="CM63" s="86"/>
      <c r="CN63" s="86"/>
      <c r="CO63" s="86"/>
      <c r="CP63" s="86"/>
      <c r="CQ63" s="86"/>
      <c r="CR63" s="86"/>
      <c r="CS63" s="86"/>
      <c r="CT63" s="86"/>
      <c r="CU63" s="86"/>
      <c r="CV63" s="86"/>
      <c r="CW63" s="86"/>
      <c r="CX63" s="86"/>
      <c r="CY63" s="86"/>
      <c r="CZ63" s="86"/>
      <c r="DA63" s="86"/>
      <c r="DB63" s="86"/>
    </row>
    <row r="64" spans="1:106">
      <c r="A64" s="110">
        <v>39</v>
      </c>
      <c r="B64" s="142"/>
      <c r="C64" s="484"/>
      <c r="D64" s="484"/>
      <c r="E64" s="484"/>
      <c r="F64" s="484"/>
      <c r="G64" s="1611"/>
      <c r="H64" s="151"/>
      <c r="I64" s="484"/>
      <c r="J64" s="484"/>
      <c r="K64" s="484"/>
      <c r="L64" s="484"/>
      <c r="M64" s="484"/>
      <c r="N64" s="363">
        <v>39</v>
      </c>
      <c r="O64" s="86"/>
      <c r="P64" s="86" t="s">
        <v>4673</v>
      </c>
      <c r="Q64" s="86" t="s">
        <v>4674</v>
      </c>
      <c r="R64" s="86" t="s">
        <v>4675</v>
      </c>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6"/>
      <c r="BR64" s="86"/>
      <c r="BS64" s="86"/>
      <c r="BT64" s="86"/>
      <c r="BU64" s="86"/>
      <c r="BV64" s="86"/>
      <c r="BW64" s="86"/>
      <c r="BX64" s="86"/>
      <c r="BY64" s="86"/>
      <c r="BZ64" s="86"/>
      <c r="CA64" s="86"/>
      <c r="CB64" s="86"/>
      <c r="CC64" s="86"/>
      <c r="CD64" s="86"/>
      <c r="CE64" s="86"/>
      <c r="CF64" s="86"/>
      <c r="CG64" s="86"/>
      <c r="CH64" s="86"/>
      <c r="CI64" s="86"/>
      <c r="CJ64" s="86"/>
      <c r="CK64" s="86"/>
      <c r="CL64" s="86"/>
      <c r="CM64" s="86"/>
      <c r="CN64" s="86"/>
      <c r="CO64" s="86"/>
      <c r="CP64" s="86"/>
      <c r="CQ64" s="86"/>
      <c r="CR64" s="86"/>
      <c r="CS64" s="86"/>
      <c r="CT64" s="86"/>
      <c r="CU64" s="86"/>
      <c r="CV64" s="86"/>
      <c r="CW64" s="86"/>
      <c r="CX64" s="86"/>
      <c r="CY64" s="86"/>
      <c r="CZ64" s="86"/>
      <c r="DA64" s="86"/>
      <c r="DB64" s="86"/>
    </row>
    <row r="65" spans="1:106" ht="15.75" thickBot="1">
      <c r="A65" s="629">
        <v>40</v>
      </c>
      <c r="B65" s="398" t="s">
        <v>4311</v>
      </c>
      <c r="C65" s="486">
        <f t="shared" ref="C65:M65" si="3">C26+C41+C50+SUM(C51:C64)</f>
        <v>3907587.2519999999</v>
      </c>
      <c r="D65" s="486">
        <f t="shared" si="3"/>
        <v>8598331</v>
      </c>
      <c r="E65" s="486">
        <f t="shared" si="3"/>
        <v>40330841</v>
      </c>
      <c r="F65" s="486">
        <f t="shared" si="3"/>
        <v>35485086</v>
      </c>
      <c r="G65" s="401">
        <f t="shared" si="3"/>
        <v>1267375</v>
      </c>
      <c r="H65" s="624">
        <f t="shared" si="3"/>
        <v>4719948.2520000013</v>
      </c>
      <c r="I65" s="486">
        <f t="shared" si="3"/>
        <v>9137620</v>
      </c>
      <c r="J65" s="486">
        <f>J26+J41+J50+SUM(J51:J64)</f>
        <v>40330841</v>
      </c>
      <c r="K65" s="486">
        <f t="shared" si="3"/>
        <v>0</v>
      </c>
      <c r="L65" s="486">
        <f t="shared" si="3"/>
        <v>0</v>
      </c>
      <c r="M65" s="486">
        <f t="shared" si="3"/>
        <v>0</v>
      </c>
      <c r="N65" s="403">
        <v>40</v>
      </c>
      <c r="O65" s="86"/>
      <c r="P65" s="94" t="str">
        <f>IF(ROUND(H65,0)=ROUND('114115'!F100,0),"ok","error")</f>
        <v>ok</v>
      </c>
      <c r="Q65" s="94" t="str">
        <f>IF(ROUND(I65,0)=ROUND('215'!F47,0),"ok","error")</f>
        <v>ok</v>
      </c>
      <c r="R65" s="94" t="str">
        <f>IF(ROUND(J65,0)=ROUND(SUM('116119'!I35:I37),0),"ok","error")</f>
        <v>ok</v>
      </c>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c r="CC65" s="86"/>
      <c r="CD65" s="86"/>
      <c r="CE65" s="86"/>
      <c r="CF65" s="86"/>
      <c r="CG65" s="86"/>
      <c r="CH65" s="86"/>
      <c r="CI65" s="86"/>
      <c r="CJ65" s="86"/>
      <c r="CK65" s="86"/>
      <c r="CL65" s="86"/>
      <c r="CM65" s="86"/>
      <c r="CN65" s="86"/>
      <c r="CO65" s="86"/>
      <c r="CP65" s="86"/>
      <c r="CQ65" s="86"/>
      <c r="CR65" s="86"/>
      <c r="CS65" s="86"/>
      <c r="CT65" s="86"/>
      <c r="CU65" s="86"/>
      <c r="CV65" s="86"/>
      <c r="CW65" s="86"/>
      <c r="CX65" s="86"/>
      <c r="CY65" s="86"/>
      <c r="CZ65" s="86"/>
      <c r="DA65" s="86"/>
      <c r="DB65" s="86"/>
    </row>
    <row r="66" spans="1:106">
      <c r="A66" s="86" t="s">
        <v>2024</v>
      </c>
      <c r="B66" s="86"/>
      <c r="C66" s="86"/>
      <c r="D66" s="86"/>
      <c r="E66" s="426"/>
      <c r="F66" s="1607"/>
      <c r="G66" s="404"/>
      <c r="H66" s="426"/>
      <c r="I66" s="404"/>
      <c r="J66" s="1608"/>
      <c r="K66" s="86"/>
      <c r="L66" s="86"/>
      <c r="M66" s="405" t="s">
        <v>2024</v>
      </c>
      <c r="N66" s="86"/>
      <c r="O66" s="86"/>
      <c r="P66" s="86"/>
      <c r="Q66" s="404"/>
      <c r="R66" s="42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86"/>
      <c r="BV66" s="86"/>
      <c r="BW66" s="86"/>
      <c r="BX66" s="86"/>
      <c r="BY66" s="86"/>
      <c r="BZ66" s="86"/>
      <c r="CA66" s="86"/>
      <c r="CB66" s="86"/>
      <c r="CC66" s="86"/>
      <c r="CD66" s="86"/>
      <c r="CE66" s="86"/>
      <c r="CF66" s="86"/>
      <c r="CG66" s="86"/>
      <c r="CH66" s="86"/>
      <c r="CI66" s="86"/>
      <c r="CJ66" s="86"/>
      <c r="CK66" s="86"/>
      <c r="CL66" s="86"/>
      <c r="CM66" s="86"/>
      <c r="CN66" s="86"/>
      <c r="CO66" s="86"/>
      <c r="CP66" s="86"/>
      <c r="CQ66" s="86"/>
      <c r="CR66" s="86"/>
      <c r="CS66" s="86"/>
      <c r="CT66" s="86"/>
      <c r="CU66" s="86"/>
      <c r="CV66" s="86"/>
      <c r="CW66" s="86"/>
      <c r="CX66" s="86"/>
      <c r="CY66" s="86"/>
      <c r="CZ66" s="86"/>
      <c r="DA66" s="86"/>
      <c r="DB66" s="86"/>
    </row>
    <row r="67" spans="1:106">
      <c r="A67" s="5" t="s">
        <v>1495</v>
      </c>
      <c r="B67" s="4"/>
      <c r="C67" s="4"/>
      <c r="D67" s="4"/>
      <c r="E67" s="419"/>
      <c r="F67" s="5"/>
      <c r="G67" s="108"/>
      <c r="H67" s="5" t="s">
        <v>4605</v>
      </c>
      <c r="I67" s="1888"/>
      <c r="J67" s="4"/>
      <c r="K67" s="1888"/>
      <c r="L67" s="419"/>
      <c r="M67" s="5"/>
      <c r="N67" s="108"/>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c r="BQ67" s="86"/>
      <c r="BR67" s="86"/>
      <c r="BS67" s="86"/>
      <c r="BT67" s="86"/>
      <c r="BU67" s="86"/>
      <c r="BV67" s="86"/>
      <c r="BW67" s="86"/>
      <c r="BX67" s="86"/>
      <c r="BY67" s="86"/>
      <c r="BZ67" s="86"/>
      <c r="CA67" s="86"/>
      <c r="CB67" s="86"/>
      <c r="CC67" s="86"/>
      <c r="CD67" s="86"/>
      <c r="CE67" s="86"/>
      <c r="CF67" s="86"/>
      <c r="CG67" s="86"/>
      <c r="CH67" s="86"/>
      <c r="CI67" s="86"/>
      <c r="CJ67" s="86"/>
      <c r="CK67" s="86"/>
      <c r="CL67" s="86"/>
      <c r="CM67" s="86"/>
      <c r="CN67" s="86"/>
      <c r="CO67" s="86"/>
      <c r="CP67" s="86"/>
      <c r="CQ67" s="86"/>
      <c r="CR67" s="86"/>
      <c r="CS67" s="86"/>
      <c r="CT67" s="86"/>
      <c r="CU67" s="86"/>
      <c r="CV67" s="86"/>
      <c r="CW67" s="86"/>
      <c r="CX67" s="86"/>
      <c r="CY67" s="86"/>
      <c r="CZ67" s="86"/>
      <c r="DA67" s="86"/>
      <c r="DB67" s="86"/>
    </row>
    <row r="68" spans="1:106" ht="15.75" thickBot="1">
      <c r="A68" t="str">
        <f>'Data sheet'!A63</f>
        <v>Annual Report of Veolia Water New York, Inc.                                                                             Year Ended  December 31, 2023</v>
      </c>
      <c r="C68" s="4"/>
      <c r="D68" s="4"/>
      <c r="E68" s="5"/>
      <c r="F68" s="5"/>
      <c r="G68" s="5"/>
      <c r="H68" s="5"/>
      <c r="I68" s="4"/>
      <c r="J68" s="4"/>
      <c r="K68" s="1888"/>
      <c r="L68" s="5"/>
      <c r="M68" s="5"/>
      <c r="N68" s="5"/>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row>
    <row r="69" spans="1:106">
      <c r="A69" s="129"/>
      <c r="B69" s="130"/>
      <c r="C69" s="130"/>
      <c r="D69" s="130"/>
      <c r="E69" s="130"/>
      <c r="F69" s="130"/>
      <c r="G69" s="131"/>
      <c r="H69" s="426"/>
      <c r="I69" s="4"/>
      <c r="J69" s="4"/>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c r="CC69" s="86"/>
      <c r="CD69" s="86"/>
      <c r="CE69" s="86"/>
      <c r="CF69" s="86"/>
      <c r="CG69" s="86"/>
      <c r="CH69" s="86"/>
      <c r="CI69" s="86"/>
      <c r="CJ69" s="86"/>
      <c r="CK69" s="86"/>
      <c r="CL69" s="86"/>
      <c r="CM69" s="86"/>
      <c r="CN69" s="86"/>
      <c r="CO69" s="86"/>
      <c r="CP69" s="86"/>
      <c r="CQ69" s="86"/>
      <c r="CR69" s="86"/>
      <c r="CS69" s="86"/>
      <c r="CT69" s="86"/>
      <c r="CU69" s="86"/>
      <c r="CV69" s="86"/>
      <c r="CW69" s="86"/>
      <c r="CX69" s="86"/>
      <c r="CY69" s="86"/>
      <c r="CZ69" s="86"/>
      <c r="DA69" s="86"/>
      <c r="DB69" s="86"/>
    </row>
    <row r="70" spans="1:106" ht="15.75">
      <c r="A70" s="118" t="s">
        <v>1515</v>
      </c>
      <c r="B70" s="5"/>
      <c r="C70" s="5"/>
      <c r="D70" s="5"/>
      <c r="E70" s="5"/>
      <c r="F70" s="5"/>
      <c r="G70" s="132"/>
      <c r="H70" s="426"/>
      <c r="I70" s="4"/>
      <c r="J70" s="4"/>
      <c r="K70" s="426"/>
      <c r="L70" s="1608"/>
      <c r="M70" s="177"/>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row>
    <row r="71" spans="1:106">
      <c r="A71" s="85"/>
      <c r="B71" s="86"/>
      <c r="C71" s="86"/>
      <c r="D71" s="86"/>
      <c r="E71" s="270"/>
      <c r="G71" s="87"/>
      <c r="H71" s="426"/>
      <c r="I71" s="4"/>
      <c r="J71" s="4"/>
      <c r="K71" s="426"/>
      <c r="L71" s="270"/>
      <c r="M71" s="86"/>
      <c r="N71" s="86"/>
    </row>
    <row r="72" spans="1:106">
      <c r="A72" s="619" t="s">
        <v>1225</v>
      </c>
      <c r="B72" s="477"/>
      <c r="C72" s="477"/>
      <c r="D72" s="477"/>
      <c r="E72" s="477"/>
      <c r="F72" s="477"/>
      <c r="G72" s="478"/>
      <c r="H72" s="426"/>
      <c r="I72" s="4"/>
      <c r="J72" s="4"/>
      <c r="K72" s="426"/>
      <c r="L72" s="86"/>
      <c r="M72" s="86"/>
      <c r="N72" s="86"/>
    </row>
    <row r="73" spans="1:106">
      <c r="A73" s="110"/>
      <c r="B73" s="142"/>
      <c r="C73" s="620" t="s">
        <v>2651</v>
      </c>
      <c r="D73" s="620" t="s">
        <v>1496</v>
      </c>
      <c r="E73" s="620" t="s">
        <v>1497</v>
      </c>
      <c r="F73" s="142"/>
      <c r="G73" s="135"/>
      <c r="H73" s="426"/>
      <c r="I73" s="4"/>
      <c r="J73" s="4"/>
      <c r="K73" s="86"/>
      <c r="L73" s="86"/>
      <c r="M73" s="86"/>
      <c r="N73" s="94"/>
    </row>
    <row r="74" spans="1:106">
      <c r="A74" s="110"/>
      <c r="B74" s="620" t="s">
        <v>1227</v>
      </c>
      <c r="C74" s="620" t="s">
        <v>1406</v>
      </c>
      <c r="D74" s="620" t="s">
        <v>1407</v>
      </c>
      <c r="E74" s="620" t="s">
        <v>1408</v>
      </c>
      <c r="F74" s="149"/>
      <c r="G74" s="153"/>
      <c r="H74" s="426"/>
      <c r="I74" s="4"/>
      <c r="J74" s="4"/>
      <c r="K74" s="86"/>
      <c r="L74" s="86"/>
      <c r="M74" s="86"/>
      <c r="N74" s="94"/>
    </row>
    <row r="75" spans="1:106">
      <c r="A75" s="110" t="s">
        <v>1727</v>
      </c>
      <c r="B75" s="620" t="s">
        <v>595</v>
      </c>
      <c r="C75" s="620" t="s">
        <v>775</v>
      </c>
      <c r="D75" s="620" t="s">
        <v>776</v>
      </c>
      <c r="E75" s="620" t="s">
        <v>777</v>
      </c>
      <c r="F75" s="620" t="s">
        <v>1737</v>
      </c>
      <c r="G75" s="363" t="s">
        <v>1737</v>
      </c>
      <c r="H75" s="426"/>
      <c r="I75" s="4"/>
      <c r="J75" s="4"/>
      <c r="K75" s="86"/>
      <c r="L75" s="86"/>
      <c r="M75" s="86"/>
      <c r="N75" s="94"/>
    </row>
    <row r="76" spans="1:106">
      <c r="A76" s="364" t="s">
        <v>1739</v>
      </c>
      <c r="B76" s="621" t="s">
        <v>3279</v>
      </c>
      <c r="C76" s="621" t="s">
        <v>778</v>
      </c>
      <c r="D76" s="621" t="s">
        <v>779</v>
      </c>
      <c r="E76" s="621" t="s">
        <v>780</v>
      </c>
      <c r="F76" s="621" t="s">
        <v>781</v>
      </c>
      <c r="G76" s="367" t="s">
        <v>782</v>
      </c>
      <c r="H76" s="426"/>
      <c r="I76" s="4"/>
      <c r="J76" s="4"/>
      <c r="K76" s="86"/>
      <c r="L76" s="86"/>
      <c r="M76" s="86"/>
      <c r="N76" s="94"/>
    </row>
    <row r="77" spans="1:106">
      <c r="A77" s="110"/>
      <c r="B77" s="142" t="s">
        <v>601</v>
      </c>
      <c r="C77" s="142"/>
      <c r="D77" s="142"/>
      <c r="E77" s="142"/>
      <c r="F77" s="142"/>
      <c r="G77" s="135"/>
      <c r="H77" s="86"/>
      <c r="I77" s="86"/>
      <c r="J77" s="4"/>
      <c r="K77" s="86"/>
      <c r="L77" s="86"/>
      <c r="M77" s="86"/>
      <c r="N77" s="94"/>
    </row>
    <row r="78" spans="1:106">
      <c r="A78" s="110">
        <v>1</v>
      </c>
      <c r="B78" s="142" t="s">
        <v>602</v>
      </c>
      <c r="C78" s="492"/>
      <c r="D78" s="492"/>
      <c r="E78" s="492"/>
      <c r="F78" s="492"/>
      <c r="G78" s="441"/>
      <c r="H78" s="404"/>
      <c r="I78" s="404"/>
      <c r="J78" s="4"/>
      <c r="K78" s="426"/>
      <c r="L78" s="426"/>
      <c r="M78" s="404"/>
      <c r="N78" s="94"/>
    </row>
    <row r="79" spans="1:106">
      <c r="A79" s="110">
        <v>2</v>
      </c>
      <c r="B79" s="142" t="s">
        <v>855</v>
      </c>
      <c r="C79" s="484"/>
      <c r="D79" s="484"/>
      <c r="E79" s="484"/>
      <c r="F79" s="484"/>
      <c r="G79" s="442"/>
      <c r="H79" s="426"/>
      <c r="I79" s="404"/>
      <c r="J79" s="426"/>
      <c r="K79" s="426"/>
      <c r="L79" s="426"/>
      <c r="M79" s="426"/>
      <c r="N79" s="94"/>
    </row>
    <row r="80" spans="1:106">
      <c r="A80" s="110">
        <v>3</v>
      </c>
      <c r="B80" s="142" t="s">
        <v>856</v>
      </c>
      <c r="C80" s="484"/>
      <c r="D80" s="484"/>
      <c r="E80" s="484"/>
      <c r="F80" s="484"/>
      <c r="G80" s="442"/>
      <c r="H80" s="426"/>
      <c r="I80" s="426"/>
      <c r="J80" s="426"/>
      <c r="K80" s="426"/>
      <c r="L80" s="426"/>
      <c r="M80" s="426"/>
      <c r="N80" s="94"/>
    </row>
    <row r="81" spans="1:14">
      <c r="A81" s="110">
        <v>4</v>
      </c>
      <c r="B81" s="142" t="s">
        <v>857</v>
      </c>
      <c r="C81" s="484"/>
      <c r="D81" s="484"/>
      <c r="E81" s="484"/>
      <c r="F81" s="484"/>
      <c r="G81" s="442"/>
      <c r="H81" s="426"/>
      <c r="I81" s="426"/>
      <c r="J81" s="426"/>
      <c r="K81" s="426"/>
      <c r="L81" s="426"/>
      <c r="M81" s="426"/>
      <c r="N81" s="94"/>
    </row>
    <row r="82" spans="1:14">
      <c r="A82" s="110">
        <v>5</v>
      </c>
      <c r="B82" s="142" t="s">
        <v>858</v>
      </c>
      <c r="C82" s="410">
        <f>SUM(C78:C81)</f>
        <v>0</v>
      </c>
      <c r="D82" s="410">
        <f>SUM(D78:D81)</f>
        <v>0</v>
      </c>
      <c r="E82" s="410">
        <f>SUM(E78:E81)</f>
        <v>0</v>
      </c>
      <c r="F82" s="410">
        <f>SUM(F78:F81)</f>
        <v>0</v>
      </c>
      <c r="G82" s="391">
        <f>SUM(G78:G81)</f>
        <v>0</v>
      </c>
      <c r="H82" s="426"/>
      <c r="I82" s="426"/>
      <c r="J82" s="426"/>
      <c r="K82" s="426"/>
      <c r="L82" s="426"/>
      <c r="M82" s="426"/>
      <c r="N82" s="94"/>
    </row>
    <row r="83" spans="1:14">
      <c r="A83" s="110"/>
      <c r="B83" s="142" t="s">
        <v>859</v>
      </c>
      <c r="C83" s="484"/>
      <c r="D83" s="484"/>
      <c r="E83" s="484"/>
      <c r="F83" s="484"/>
      <c r="G83" s="442"/>
      <c r="H83" s="426"/>
      <c r="I83" s="426"/>
      <c r="J83" s="426"/>
      <c r="K83" s="426"/>
      <c r="L83" s="426"/>
      <c r="M83" s="426"/>
      <c r="N83" s="94"/>
    </row>
    <row r="84" spans="1:14">
      <c r="A84" s="110">
        <v>6</v>
      </c>
      <c r="B84" s="142" t="s">
        <v>2266</v>
      </c>
      <c r="C84" s="484"/>
      <c r="D84" s="484"/>
      <c r="E84" s="484"/>
      <c r="F84" s="484"/>
      <c r="G84" s="442"/>
      <c r="H84" s="426"/>
      <c r="I84" s="426"/>
      <c r="J84" s="426"/>
      <c r="K84" s="426"/>
      <c r="L84" s="426"/>
      <c r="M84" s="426"/>
      <c r="N84" s="94"/>
    </row>
    <row r="85" spans="1:14" ht="23.25">
      <c r="A85" s="110">
        <v>7</v>
      </c>
      <c r="B85" s="142" t="s">
        <v>2267</v>
      </c>
      <c r="C85" s="484"/>
      <c r="D85" s="484"/>
      <c r="E85" s="484"/>
      <c r="F85" s="484"/>
      <c r="G85" s="442"/>
      <c r="H85" s="1609"/>
      <c r="I85" s="419"/>
      <c r="J85" s="419"/>
      <c r="K85" s="419"/>
      <c r="L85" s="419"/>
      <c r="M85" s="419"/>
      <c r="N85" s="5"/>
    </row>
    <row r="86" spans="1:14">
      <c r="A86" s="110">
        <v>8</v>
      </c>
      <c r="B86" s="142" t="s">
        <v>2268</v>
      </c>
      <c r="C86" s="484"/>
      <c r="D86" s="484"/>
      <c r="E86" s="484"/>
      <c r="F86" s="484"/>
      <c r="G86" s="442"/>
      <c r="H86" s="426"/>
      <c r="I86" s="426"/>
      <c r="J86" s="426"/>
      <c r="K86" s="426"/>
      <c r="L86" s="426"/>
      <c r="M86" s="426"/>
      <c r="N86" s="94"/>
    </row>
    <row r="87" spans="1:14">
      <c r="A87" s="110"/>
      <c r="B87" s="142" t="s">
        <v>2269</v>
      </c>
      <c r="C87" s="484"/>
      <c r="D87" s="484"/>
      <c r="E87" s="484"/>
      <c r="F87" s="484"/>
      <c r="G87" s="442"/>
      <c r="H87" s="426"/>
      <c r="I87" s="426"/>
      <c r="J87" s="426"/>
      <c r="K87" s="426"/>
      <c r="L87" s="426"/>
      <c r="M87" s="426"/>
      <c r="N87" s="94"/>
    </row>
    <row r="88" spans="1:14">
      <c r="A88" s="110">
        <v>9</v>
      </c>
      <c r="B88" s="142" t="s">
        <v>2270</v>
      </c>
      <c r="C88" s="484" t="s">
        <v>218</v>
      </c>
      <c r="D88" s="484"/>
      <c r="E88" s="484" t="s">
        <v>218</v>
      </c>
      <c r="F88" s="484" t="s">
        <v>218</v>
      </c>
      <c r="G88" s="442" t="s">
        <v>218</v>
      </c>
      <c r="H88" s="426"/>
      <c r="I88" s="426"/>
      <c r="J88" s="426"/>
      <c r="K88" s="426"/>
      <c r="L88" s="426"/>
      <c r="M88" s="426"/>
      <c r="N88" s="94"/>
    </row>
    <row r="89" spans="1:14">
      <c r="A89" s="110">
        <v>10</v>
      </c>
      <c r="B89" s="142" t="s">
        <v>3702</v>
      </c>
      <c r="C89" s="484"/>
      <c r="D89" s="484"/>
      <c r="E89" s="484"/>
      <c r="F89" s="484"/>
      <c r="G89" s="442"/>
      <c r="H89" s="426"/>
      <c r="I89" s="426"/>
      <c r="J89" s="426"/>
      <c r="K89" s="426"/>
      <c r="L89" s="426"/>
      <c r="M89" s="426"/>
      <c r="N89" s="94"/>
    </row>
    <row r="90" spans="1:14">
      <c r="A90" s="110">
        <v>11</v>
      </c>
      <c r="B90" s="142" t="s">
        <v>3703</v>
      </c>
      <c r="C90" s="484"/>
      <c r="D90" s="484"/>
      <c r="E90" s="484"/>
      <c r="F90" s="484"/>
      <c r="G90" s="442"/>
      <c r="H90" s="426"/>
      <c r="I90" s="426"/>
      <c r="J90" s="426"/>
      <c r="K90" s="426"/>
      <c r="L90" s="426"/>
      <c r="M90" s="426"/>
      <c r="N90" s="94"/>
    </row>
    <row r="91" spans="1:14">
      <c r="A91" s="110">
        <v>12</v>
      </c>
      <c r="B91" s="142" t="s">
        <v>3704</v>
      </c>
      <c r="C91" s="484"/>
      <c r="D91" s="484"/>
      <c r="E91" s="484"/>
      <c r="F91" s="484"/>
      <c r="G91" s="442"/>
      <c r="H91" s="426"/>
      <c r="I91" s="426"/>
      <c r="J91" s="426"/>
      <c r="K91" s="426"/>
      <c r="L91" s="426"/>
      <c r="M91" s="426"/>
      <c r="N91" s="94"/>
    </row>
    <row r="92" spans="1:14">
      <c r="A92" s="110">
        <v>13</v>
      </c>
      <c r="B92" s="142" t="s">
        <v>3705</v>
      </c>
      <c r="C92" s="484"/>
      <c r="D92" s="484"/>
      <c r="E92" s="484"/>
      <c r="F92" s="484"/>
      <c r="G92" s="442"/>
      <c r="H92" s="426"/>
      <c r="I92" s="426"/>
      <c r="J92" s="426"/>
      <c r="K92" s="426"/>
      <c r="L92" s="426"/>
      <c r="M92" s="426"/>
      <c r="N92" s="94"/>
    </row>
    <row r="93" spans="1:14">
      <c r="A93" s="110">
        <v>14</v>
      </c>
      <c r="B93" s="142" t="s">
        <v>3706</v>
      </c>
      <c r="C93" s="484"/>
      <c r="D93" s="484"/>
      <c r="E93" s="484"/>
      <c r="F93" s="484"/>
      <c r="G93" s="442"/>
      <c r="H93" s="426"/>
      <c r="I93" s="426"/>
      <c r="J93" s="426"/>
      <c r="K93" s="426"/>
      <c r="L93" s="426"/>
      <c r="M93" s="426"/>
      <c r="N93" s="94"/>
    </row>
    <row r="94" spans="1:14">
      <c r="A94" s="110">
        <v>15</v>
      </c>
      <c r="B94" s="142" t="s">
        <v>3707</v>
      </c>
      <c r="C94" s="484" t="s">
        <v>218</v>
      </c>
      <c r="D94" s="484"/>
      <c r="E94" s="484" t="s">
        <v>218</v>
      </c>
      <c r="F94" s="484" t="s">
        <v>218</v>
      </c>
      <c r="G94" s="442" t="s">
        <v>218</v>
      </c>
      <c r="H94" s="426"/>
      <c r="I94" s="426"/>
      <c r="J94" s="426"/>
      <c r="K94" s="426"/>
      <c r="L94" s="426"/>
      <c r="M94" s="426"/>
      <c r="N94" s="94"/>
    </row>
    <row r="95" spans="1:14">
      <c r="A95" s="110">
        <v>16</v>
      </c>
      <c r="B95" s="142" t="s">
        <v>3708</v>
      </c>
      <c r="C95" s="484"/>
      <c r="D95" s="484"/>
      <c r="E95" s="484"/>
      <c r="F95" s="484"/>
      <c r="G95" s="442"/>
      <c r="H95" s="426"/>
      <c r="I95" s="426"/>
      <c r="J95" s="426"/>
      <c r="K95" s="426"/>
      <c r="L95" s="426"/>
      <c r="M95" s="426"/>
      <c r="N95" s="94"/>
    </row>
    <row r="96" spans="1:14">
      <c r="A96" s="110">
        <v>17</v>
      </c>
      <c r="B96" s="142" t="s">
        <v>857</v>
      </c>
      <c r="C96" s="484"/>
      <c r="D96" s="484"/>
      <c r="E96" s="484"/>
      <c r="F96" s="484"/>
      <c r="G96" s="442"/>
      <c r="H96" s="426"/>
      <c r="I96" s="426"/>
      <c r="J96" s="426"/>
      <c r="K96" s="426"/>
      <c r="L96" s="426"/>
      <c r="M96" s="426"/>
      <c r="N96" s="94"/>
    </row>
    <row r="97" spans="1:14">
      <c r="A97" s="110">
        <v>18</v>
      </c>
      <c r="B97" s="142" t="s">
        <v>858</v>
      </c>
      <c r="C97" s="410">
        <f>SUM(C84:C96)</f>
        <v>0</v>
      </c>
      <c r="D97" s="410">
        <f>SUM(D84:D96)</f>
        <v>0</v>
      </c>
      <c r="E97" s="410">
        <f>SUM(E84:E96)</f>
        <v>0</v>
      </c>
      <c r="F97" s="410">
        <f>SUM(F84:F96)</f>
        <v>0</v>
      </c>
      <c r="G97" s="391">
        <f>SUM(G84:G96)</f>
        <v>0</v>
      </c>
      <c r="H97" s="426"/>
      <c r="I97" s="426"/>
      <c r="J97" s="426"/>
      <c r="K97" s="426"/>
      <c r="L97" s="426"/>
      <c r="M97" s="426"/>
      <c r="N97" s="94"/>
    </row>
    <row r="98" spans="1:14">
      <c r="A98" s="110"/>
      <c r="B98" s="142" t="s">
        <v>3709</v>
      </c>
      <c r="C98" s="484"/>
      <c r="D98" s="484"/>
      <c r="E98" s="484"/>
      <c r="F98" s="484"/>
      <c r="G98" s="442"/>
      <c r="H98" s="426"/>
      <c r="I98" s="426"/>
      <c r="J98" s="426"/>
      <c r="K98" s="426"/>
      <c r="L98" s="426"/>
      <c r="M98" s="426"/>
      <c r="N98" s="94"/>
    </row>
    <row r="99" spans="1:14">
      <c r="A99" s="110">
        <v>19</v>
      </c>
      <c r="B99" s="142" t="s">
        <v>3710</v>
      </c>
      <c r="C99" s="484"/>
      <c r="D99" s="484"/>
      <c r="E99" s="484"/>
      <c r="F99" s="484"/>
      <c r="G99" s="442"/>
      <c r="H99" s="426"/>
      <c r="I99" s="426"/>
      <c r="J99" s="426"/>
      <c r="K99" s="426"/>
      <c r="L99" s="426"/>
      <c r="M99" s="426"/>
      <c r="N99" s="94"/>
    </row>
    <row r="100" spans="1:14">
      <c r="A100" s="110">
        <v>20</v>
      </c>
      <c r="B100" s="142" t="s">
        <v>3447</v>
      </c>
      <c r="C100" s="484"/>
      <c r="D100" s="484"/>
      <c r="E100" s="484"/>
      <c r="F100" s="484"/>
      <c r="G100" s="442"/>
      <c r="H100" s="426"/>
      <c r="I100" s="426"/>
      <c r="J100" s="426"/>
      <c r="K100" s="426"/>
      <c r="L100" s="426"/>
      <c r="M100" s="426"/>
      <c r="N100" s="94"/>
    </row>
    <row r="101" spans="1:14">
      <c r="A101" s="110">
        <v>21</v>
      </c>
      <c r="B101" s="142" t="s">
        <v>1491</v>
      </c>
      <c r="C101" s="484"/>
      <c r="D101" s="484"/>
      <c r="E101" s="484"/>
      <c r="F101" s="484"/>
      <c r="G101" s="442"/>
      <c r="H101" s="426"/>
      <c r="I101" s="426"/>
      <c r="J101" s="426"/>
      <c r="K101" s="426"/>
      <c r="L101" s="426"/>
      <c r="M101" s="426"/>
      <c r="N101" s="94"/>
    </row>
    <row r="102" spans="1:14">
      <c r="A102" s="110">
        <v>22</v>
      </c>
      <c r="B102" s="142" t="s">
        <v>1492</v>
      </c>
      <c r="C102" s="484"/>
      <c r="D102" s="484"/>
      <c r="E102" s="484"/>
      <c r="F102" s="484"/>
      <c r="G102" s="442"/>
      <c r="H102" s="426"/>
      <c r="I102" s="426"/>
      <c r="J102" s="426"/>
      <c r="K102" s="426"/>
      <c r="L102" s="426"/>
      <c r="M102" s="426"/>
      <c r="N102" s="94"/>
    </row>
    <row r="103" spans="1:14">
      <c r="A103" s="110">
        <v>23</v>
      </c>
      <c r="B103" s="142" t="s">
        <v>1493</v>
      </c>
      <c r="C103" s="484"/>
      <c r="D103" s="484"/>
      <c r="E103" s="484"/>
      <c r="F103" s="484"/>
      <c r="G103" s="442"/>
      <c r="H103" s="426"/>
      <c r="I103" s="426"/>
      <c r="J103" s="426"/>
      <c r="K103" s="426"/>
      <c r="L103" s="426"/>
      <c r="M103" s="426"/>
      <c r="N103" s="94"/>
    </row>
    <row r="104" spans="1:14">
      <c r="A104" s="110">
        <v>24</v>
      </c>
      <c r="B104" s="142" t="s">
        <v>3707</v>
      </c>
      <c r="C104" s="484"/>
      <c r="D104" s="484"/>
      <c r="E104" s="484"/>
      <c r="F104" s="484"/>
      <c r="G104" s="442"/>
      <c r="H104" s="426"/>
      <c r="I104" s="426"/>
      <c r="J104" s="426"/>
      <c r="K104" s="426"/>
      <c r="L104" s="426"/>
      <c r="M104" s="426"/>
      <c r="N104" s="94"/>
    </row>
    <row r="105" spans="1:14">
      <c r="A105" s="110">
        <v>25</v>
      </c>
      <c r="B105" s="142" t="s">
        <v>857</v>
      </c>
      <c r="C105" s="484"/>
      <c r="D105" s="484"/>
      <c r="E105" s="484"/>
      <c r="F105" s="484"/>
      <c r="G105" s="442"/>
      <c r="H105" s="426"/>
      <c r="I105" s="426"/>
      <c r="J105" s="426"/>
      <c r="K105" s="426"/>
      <c r="L105" s="426"/>
      <c r="M105" s="426"/>
      <c r="N105" s="94"/>
    </row>
    <row r="106" spans="1:14">
      <c r="A106" s="110">
        <v>26</v>
      </c>
      <c r="B106" s="142" t="s">
        <v>858</v>
      </c>
      <c r="C106" s="410">
        <f>SUM(C99:C105)</f>
        <v>0</v>
      </c>
      <c r="D106" s="410">
        <f>SUM(D99:D105)</f>
        <v>0</v>
      </c>
      <c r="E106" s="410">
        <f>SUM(E99:E105)</f>
        <v>0</v>
      </c>
      <c r="F106" s="410">
        <f>SUM(F99:F105)</f>
        <v>0</v>
      </c>
      <c r="G106" s="391">
        <f>SUM(G99:G105)</f>
        <v>0</v>
      </c>
      <c r="H106" s="426"/>
      <c r="I106" s="426"/>
      <c r="J106" s="426"/>
      <c r="K106" s="426"/>
      <c r="L106" s="426"/>
      <c r="M106" s="426"/>
      <c r="N106" s="94"/>
    </row>
    <row r="107" spans="1:14">
      <c r="A107" s="110"/>
      <c r="B107" s="142" t="s">
        <v>1494</v>
      </c>
      <c r="C107" s="484"/>
      <c r="D107" s="484"/>
      <c r="E107" s="484"/>
      <c r="F107" s="484"/>
      <c r="G107" s="442"/>
      <c r="H107" s="426"/>
      <c r="I107" s="426"/>
      <c r="J107" s="426"/>
      <c r="K107" s="426"/>
      <c r="L107" s="426"/>
      <c r="M107" s="426"/>
      <c r="N107" s="94"/>
    </row>
    <row r="108" spans="1:14">
      <c r="A108" s="110">
        <v>27</v>
      </c>
      <c r="B108" s="142"/>
      <c r="C108" s="484"/>
      <c r="D108" s="484"/>
      <c r="E108" s="484"/>
      <c r="F108" s="484"/>
      <c r="G108" s="442"/>
      <c r="H108" s="426"/>
      <c r="I108" s="426"/>
      <c r="J108" s="426"/>
      <c r="K108" s="426"/>
      <c r="L108" s="426"/>
      <c r="M108" s="426"/>
      <c r="N108" s="94"/>
    </row>
    <row r="109" spans="1:14">
      <c r="A109" s="110">
        <v>28</v>
      </c>
      <c r="B109" s="142"/>
      <c r="C109" s="484"/>
      <c r="D109" s="484"/>
      <c r="E109" s="484"/>
      <c r="F109" s="484"/>
      <c r="G109" s="442"/>
      <c r="H109" s="426"/>
      <c r="I109" s="426"/>
      <c r="J109" s="426"/>
      <c r="K109" s="426"/>
      <c r="L109" s="426"/>
      <c r="M109" s="426"/>
      <c r="N109" s="94"/>
    </row>
    <row r="110" spans="1:14">
      <c r="A110" s="110">
        <v>29</v>
      </c>
      <c r="B110" s="522"/>
      <c r="C110" s="622"/>
      <c r="D110" s="622"/>
      <c r="E110" s="622"/>
      <c r="F110" s="622"/>
      <c r="G110" s="588"/>
      <c r="N110" s="94"/>
    </row>
    <row r="111" spans="1:14">
      <c r="A111" s="110">
        <v>30</v>
      </c>
      <c r="B111" s="142"/>
      <c r="C111" s="484"/>
      <c r="D111" s="484"/>
      <c r="E111" s="484"/>
      <c r="F111" s="484"/>
      <c r="G111" s="442"/>
      <c r="H111" s="426"/>
      <c r="I111" s="426"/>
      <c r="J111" s="426"/>
      <c r="K111" s="426"/>
      <c r="L111" s="426"/>
      <c r="M111" s="426"/>
      <c r="N111" s="94"/>
    </row>
    <row r="112" spans="1:14">
      <c r="A112" s="110">
        <v>31</v>
      </c>
      <c r="B112" s="570"/>
      <c r="C112" s="484"/>
      <c r="D112" s="484"/>
      <c r="E112" s="484"/>
      <c r="F112" s="484"/>
      <c r="G112" s="442"/>
      <c r="H112" s="426"/>
      <c r="I112" s="426"/>
      <c r="J112" s="426"/>
      <c r="K112" s="426"/>
      <c r="L112" s="426"/>
      <c r="M112" s="426"/>
      <c r="N112" s="94"/>
    </row>
    <row r="113" spans="1:14">
      <c r="A113" s="110">
        <v>32</v>
      </c>
      <c r="B113" s="142"/>
      <c r="C113" s="484"/>
      <c r="D113" s="484"/>
      <c r="E113" s="484"/>
      <c r="F113" s="484"/>
      <c r="G113" s="442"/>
      <c r="H113" s="86"/>
      <c r="I113" s="86"/>
      <c r="J113" s="86"/>
      <c r="K113" s="86"/>
      <c r="L113" s="86"/>
      <c r="M113" s="86"/>
      <c r="N113" s="94"/>
    </row>
    <row r="114" spans="1:14">
      <c r="A114" s="110">
        <v>33</v>
      </c>
      <c r="B114" s="142"/>
      <c r="C114" s="484"/>
      <c r="D114" s="484"/>
      <c r="E114" s="484"/>
      <c r="F114" s="484"/>
      <c r="G114" s="442"/>
      <c r="H114" s="426"/>
      <c r="I114" s="426"/>
      <c r="J114" s="426"/>
      <c r="K114" s="426"/>
      <c r="L114" s="426"/>
      <c r="M114" s="426"/>
      <c r="N114" s="94"/>
    </row>
    <row r="115" spans="1:14">
      <c r="A115" s="110">
        <v>34</v>
      </c>
      <c r="B115" s="142"/>
      <c r="C115" s="484"/>
      <c r="D115" s="484"/>
      <c r="E115" s="484"/>
      <c r="F115" s="484"/>
      <c r="G115" s="442"/>
      <c r="H115" s="86"/>
      <c r="I115" s="86"/>
      <c r="J115" s="86"/>
      <c r="K115" s="86"/>
      <c r="L115" s="86"/>
      <c r="M115" s="86"/>
      <c r="N115" s="94"/>
    </row>
    <row r="116" spans="1:14">
      <c r="A116" s="110">
        <v>35</v>
      </c>
      <c r="B116" s="142"/>
      <c r="C116" s="484"/>
      <c r="D116" s="484"/>
      <c r="E116" s="484"/>
      <c r="F116" s="484"/>
      <c r="G116" s="442"/>
      <c r="H116" s="86"/>
      <c r="I116" s="86"/>
      <c r="J116" s="86"/>
      <c r="K116" s="86"/>
      <c r="L116" s="86"/>
      <c r="M116" s="86"/>
      <c r="N116" s="94"/>
    </row>
    <row r="117" spans="1:14">
      <c r="A117" s="110">
        <v>36</v>
      </c>
      <c r="B117" s="142"/>
      <c r="C117" s="484"/>
      <c r="D117" s="484"/>
      <c r="E117" s="484"/>
      <c r="F117" s="484"/>
      <c r="G117" s="1606"/>
      <c r="H117" s="426"/>
      <c r="I117" s="426"/>
      <c r="J117" s="426"/>
      <c r="K117" s="426"/>
      <c r="L117" s="426"/>
      <c r="M117" s="426"/>
      <c r="N117" s="94"/>
    </row>
    <row r="118" spans="1:14">
      <c r="A118" s="110">
        <v>37</v>
      </c>
      <c r="B118" s="142"/>
      <c r="C118" s="484"/>
      <c r="D118" s="484"/>
      <c r="E118" s="484"/>
      <c r="F118" s="484"/>
      <c r="G118" s="1606"/>
      <c r="H118" s="426"/>
      <c r="I118" s="426"/>
      <c r="J118" s="426"/>
      <c r="K118" s="426"/>
      <c r="L118" s="426"/>
      <c r="M118" s="426"/>
      <c r="N118" s="94"/>
    </row>
    <row r="119" spans="1:14">
      <c r="A119" s="110">
        <v>38</v>
      </c>
      <c r="B119" s="142"/>
      <c r="C119" s="484"/>
      <c r="D119" s="484"/>
      <c r="E119" s="484"/>
      <c r="F119" s="484"/>
      <c r="G119" s="1606"/>
      <c r="H119" s="426"/>
      <c r="I119" s="426"/>
      <c r="J119" s="426"/>
      <c r="K119" s="426"/>
      <c r="L119" s="426"/>
      <c r="M119" s="426"/>
      <c r="N119" s="94"/>
    </row>
    <row r="120" spans="1:14">
      <c r="A120" s="110">
        <v>39</v>
      </c>
      <c r="B120" s="142"/>
      <c r="C120" s="484"/>
      <c r="D120" s="484"/>
      <c r="E120" s="484"/>
      <c r="F120" s="484"/>
      <c r="G120" s="1606"/>
      <c r="H120" s="426"/>
      <c r="I120" s="426"/>
      <c r="J120" s="426"/>
      <c r="K120" s="426"/>
      <c r="L120" s="426"/>
      <c r="M120" s="426"/>
      <c r="N120" s="94"/>
    </row>
    <row r="121" spans="1:14" ht="15.75" thickBot="1">
      <c r="A121" s="629">
        <v>40</v>
      </c>
      <c r="B121" s="398" t="s">
        <v>4311</v>
      </c>
      <c r="C121" s="486">
        <f>C82+C97+C106+SUM(C107:C120)</f>
        <v>0</v>
      </c>
      <c r="D121" s="486">
        <f>D82+D97+D106+SUM(D107:D120)</f>
        <v>0</v>
      </c>
      <c r="E121" s="486">
        <f>E82+E97+E106+SUM(E107:E120)</f>
        <v>0</v>
      </c>
      <c r="F121" s="486">
        <f>F82+F97+F106+SUM(F107:F120)</f>
        <v>0</v>
      </c>
      <c r="G121" s="401">
        <f>G82+G97+G106+SUM(G107:G120)</f>
        <v>0</v>
      </c>
      <c r="H121" s="404"/>
      <c r="I121" s="404"/>
      <c r="J121" s="404"/>
      <c r="K121" s="404"/>
      <c r="L121" s="404"/>
      <c r="M121" s="404"/>
      <c r="N121" s="94"/>
    </row>
    <row r="122" spans="1:14">
      <c r="A122" t="s">
        <v>783</v>
      </c>
    </row>
    <row r="123" spans="1:14" ht="18">
      <c r="A123" s="5" t="s">
        <v>784</v>
      </c>
      <c r="B123" s="4"/>
      <c r="C123" s="1"/>
      <c r="D123" s="4"/>
      <c r="E123" s="5"/>
      <c r="F123" s="5"/>
      <c r="G123" s="5"/>
      <c r="I123" s="1610"/>
      <c r="L123" s="5"/>
      <c r="M123" s="5"/>
      <c r="N123" s="5"/>
    </row>
    <row r="132" spans="1:3">
      <c r="A132" s="86"/>
      <c r="B132" s="86"/>
      <c r="C132" s="86"/>
    </row>
    <row r="133" spans="1:3">
      <c r="B133" s="86"/>
    </row>
    <row r="134" spans="1:3">
      <c r="B134" s="86"/>
    </row>
    <row r="135" spans="1:3">
      <c r="B135" s="86"/>
    </row>
    <row r="136" spans="1:3">
      <c r="B136" s="86"/>
    </row>
    <row r="137" spans="1:3">
      <c r="B137" s="86"/>
    </row>
    <row r="138" spans="1:3">
      <c r="B138" s="86"/>
    </row>
    <row r="139" spans="1:3">
      <c r="B139" s="86"/>
    </row>
    <row r="140" spans="1:3">
      <c r="B140" s="86"/>
    </row>
    <row r="141" spans="1:3">
      <c r="B141" s="86"/>
    </row>
    <row r="142" spans="1:3">
      <c r="B142" s="86"/>
    </row>
    <row r="143" spans="1:3">
      <c r="B143" s="86"/>
    </row>
    <row r="144" spans="1:3">
      <c r="B144" s="86"/>
    </row>
  </sheetData>
  <phoneticPr fontId="0" type="noConversion"/>
  <pageMargins left="0.4" right="0.4" top="0.3" bottom="0.3" header="0.5" footer="0.5"/>
  <pageSetup scale="66" pageOrder="overThenDown" orientation="portrait" r:id="rId1"/>
  <headerFooter alignWithMargins="0"/>
  <rowBreaks count="1" manualBreakCount="1">
    <brk id="67" max="16383" man="1"/>
  </rowBreaks>
  <colBreaks count="1" manualBreakCount="1">
    <brk id="7" max="1048575" man="1"/>
  </colBreaks>
  <legacy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ransitionEvaluation="1" codeName="Sheet48">
    <pageSetUpPr fitToPage="1"/>
  </sheetPr>
  <dimension ref="A1:H82"/>
  <sheetViews>
    <sheetView defaultGridColor="0" colorId="22" zoomScaleNormal="100" workbookViewId="0">
      <selection activeCell="I20" sqref="I20"/>
    </sheetView>
  </sheetViews>
  <sheetFormatPr defaultColWidth="9.77734375" defaultRowHeight="15"/>
  <cols>
    <col min="1" max="1" width="4.77734375" customWidth="1"/>
    <col min="2" max="2" width="44.77734375" customWidth="1"/>
    <col min="3" max="3" width="16.77734375" customWidth="1"/>
    <col min="4" max="4" width="14.44140625" customWidth="1"/>
    <col min="5" max="5" width="13.6640625" customWidth="1"/>
    <col min="6" max="6" width="14.77734375" customWidth="1"/>
    <col min="7" max="7" width="16.77734375" customWidth="1"/>
    <col min="8" max="8" width="11.33203125" bestFit="1" customWidth="1"/>
    <col min="9" max="9" width="30.6640625" bestFit="1" customWidth="1"/>
  </cols>
  <sheetData>
    <row r="1" spans="1:8" ht="15.75" thickBot="1">
      <c r="A1" t="str">
        <f>'Data sheet'!A59</f>
        <v>Annual Report of Veolia Water New York, Inc.                                                             Year Ended  December 31, 2023</v>
      </c>
      <c r="G1" s="625"/>
    </row>
    <row r="2" spans="1:8">
      <c r="A2" s="129"/>
      <c r="B2" s="130"/>
      <c r="C2" s="130"/>
      <c r="D2" s="130"/>
      <c r="E2" s="130"/>
      <c r="F2" s="130"/>
      <c r="G2" s="131"/>
    </row>
    <row r="3" spans="1:8" ht="15.75">
      <c r="A3" s="118" t="s">
        <v>785</v>
      </c>
      <c r="B3" s="3"/>
      <c r="C3" s="3"/>
      <c r="D3" s="3"/>
      <c r="E3" s="3"/>
      <c r="F3" s="3"/>
      <c r="G3" s="84"/>
    </row>
    <row r="4" spans="1:8">
      <c r="A4" s="488" t="s">
        <v>218</v>
      </c>
      <c r="B4" s="133"/>
      <c r="C4" s="133" t="s">
        <v>218</v>
      </c>
      <c r="D4" s="133"/>
      <c r="E4" s="133"/>
      <c r="F4" s="133"/>
      <c r="G4" s="500"/>
    </row>
    <row r="5" spans="1:8">
      <c r="A5" s="88" t="s">
        <v>284</v>
      </c>
      <c r="B5" s="86" t="s">
        <v>786</v>
      </c>
      <c r="C5" s="86"/>
      <c r="D5" s="86"/>
      <c r="E5" s="86"/>
      <c r="F5" s="86"/>
      <c r="G5" s="87"/>
    </row>
    <row r="6" spans="1:8">
      <c r="A6" s="85" t="s">
        <v>1687</v>
      </c>
      <c r="B6" s="86" t="s">
        <v>787</v>
      </c>
      <c r="C6" s="86"/>
      <c r="D6" s="86"/>
      <c r="E6" s="86"/>
      <c r="F6" s="86"/>
      <c r="G6" s="87"/>
    </row>
    <row r="7" spans="1:8">
      <c r="A7" s="85" t="s">
        <v>3053</v>
      </c>
      <c r="B7" s="86" t="s">
        <v>788</v>
      </c>
      <c r="C7" s="86"/>
      <c r="D7" s="86"/>
      <c r="E7" s="86"/>
      <c r="F7" s="86"/>
      <c r="G7" s="87"/>
    </row>
    <row r="8" spans="1:8">
      <c r="A8" s="97"/>
      <c r="B8" s="98" t="s">
        <v>218</v>
      </c>
      <c r="C8" s="98"/>
      <c r="D8" s="98"/>
      <c r="E8" s="98"/>
      <c r="F8" s="98"/>
      <c r="G8" s="101"/>
    </row>
    <row r="9" spans="1:8">
      <c r="A9" s="110"/>
      <c r="B9" s="142"/>
      <c r="C9" s="620" t="s">
        <v>1625</v>
      </c>
      <c r="D9" s="365" t="s">
        <v>2033</v>
      </c>
      <c r="E9" s="133"/>
      <c r="F9" s="142"/>
      <c r="G9" s="626" t="s">
        <v>1625</v>
      </c>
    </row>
    <row r="10" spans="1:8">
      <c r="A10" s="110"/>
      <c r="B10" s="134" t="s">
        <v>789</v>
      </c>
      <c r="C10" s="620" t="s">
        <v>3962</v>
      </c>
      <c r="D10" s="134" t="s">
        <v>1288</v>
      </c>
      <c r="E10" s="142"/>
      <c r="F10" s="134" t="s">
        <v>2034</v>
      </c>
      <c r="G10" s="626" t="s">
        <v>1627</v>
      </c>
    </row>
    <row r="11" spans="1:8">
      <c r="A11" s="110" t="s">
        <v>1727</v>
      </c>
      <c r="B11" s="134" t="s">
        <v>790</v>
      </c>
      <c r="C11" s="620" t="s">
        <v>1689</v>
      </c>
      <c r="D11" s="134" t="s">
        <v>4315</v>
      </c>
      <c r="E11" s="620" t="s">
        <v>1291</v>
      </c>
      <c r="F11" s="142"/>
      <c r="G11" s="626"/>
    </row>
    <row r="12" spans="1:8">
      <c r="A12" s="364" t="s">
        <v>1739</v>
      </c>
      <c r="B12" s="621" t="s">
        <v>3279</v>
      </c>
      <c r="C12" s="621" t="s">
        <v>3280</v>
      </c>
      <c r="D12" s="621" t="s">
        <v>3281</v>
      </c>
      <c r="E12" s="621" t="s">
        <v>3282</v>
      </c>
      <c r="F12" s="365" t="s">
        <v>721</v>
      </c>
      <c r="G12" s="367" t="s">
        <v>722</v>
      </c>
    </row>
    <row r="13" spans="1:8">
      <c r="A13" s="110">
        <v>1</v>
      </c>
      <c r="B13" s="1135" t="s">
        <v>4786</v>
      </c>
      <c r="C13" s="627">
        <v>248968.45</v>
      </c>
      <c r="D13" s="628"/>
      <c r="E13" s="484"/>
      <c r="F13" s="492">
        <v>-248968.45</v>
      </c>
      <c r="G13" s="442">
        <v>0</v>
      </c>
    </row>
    <row r="14" spans="1:8">
      <c r="A14" s="110">
        <v>2</v>
      </c>
      <c r="B14" s="142" t="s">
        <v>4787</v>
      </c>
      <c r="C14" s="484">
        <v>1227565.22</v>
      </c>
      <c r="D14" s="620"/>
      <c r="E14" s="484"/>
      <c r="F14" s="484">
        <v>-1227565.22</v>
      </c>
      <c r="G14" s="442">
        <v>0</v>
      </c>
    </row>
    <row r="15" spans="1:8">
      <c r="A15" s="110">
        <v>3</v>
      </c>
      <c r="B15" s="142" t="s">
        <v>5330</v>
      </c>
      <c r="C15" s="484"/>
      <c r="D15" s="620"/>
      <c r="E15" s="484"/>
      <c r="F15" s="484">
        <v>625.89</v>
      </c>
      <c r="G15" s="442">
        <v>626</v>
      </c>
    </row>
    <row r="16" spans="1:8" ht="15.75">
      <c r="A16" s="110">
        <v>4</v>
      </c>
      <c r="B16" s="142" t="s">
        <v>5331</v>
      </c>
      <c r="C16" s="484"/>
      <c r="D16" s="620"/>
      <c r="E16" s="484"/>
      <c r="F16" s="484">
        <v>7795.84</v>
      </c>
      <c r="G16" s="442">
        <v>7796</v>
      </c>
      <c r="H16" s="233"/>
    </row>
    <row r="17" spans="1:8">
      <c r="A17" s="110">
        <v>5</v>
      </c>
      <c r="B17" s="142" t="s">
        <v>5332</v>
      </c>
      <c r="C17" s="484"/>
      <c r="D17" s="620"/>
      <c r="E17" s="484"/>
      <c r="F17" s="484">
        <v>2945475.76</v>
      </c>
      <c r="G17" s="442">
        <v>2945476</v>
      </c>
    </row>
    <row r="18" spans="1:8" ht="15.75">
      <c r="A18" s="110">
        <v>6</v>
      </c>
      <c r="B18" s="142" t="s">
        <v>4795</v>
      </c>
      <c r="C18" s="484">
        <v>15920471.52</v>
      </c>
      <c r="D18" s="620"/>
      <c r="E18" s="484"/>
      <c r="F18" s="484">
        <v>-12364574.43</v>
      </c>
      <c r="G18" s="442">
        <v>3555897</v>
      </c>
      <c r="H18" s="233"/>
    </row>
    <row r="19" spans="1:8">
      <c r="A19" s="110">
        <v>7</v>
      </c>
      <c r="B19" s="142" t="s">
        <v>4796</v>
      </c>
      <c r="C19" s="484">
        <v>37943874.979999997</v>
      </c>
      <c r="D19" s="620"/>
      <c r="E19" s="484">
        <v>-3597817.9999999995</v>
      </c>
      <c r="F19" s="484">
        <v>-2432039.11</v>
      </c>
      <c r="G19" s="442">
        <v>39109654</v>
      </c>
    </row>
    <row r="20" spans="1:8" ht="15.75">
      <c r="A20" s="110">
        <v>8</v>
      </c>
      <c r="B20" s="142" t="s">
        <v>5057</v>
      </c>
      <c r="C20" s="484">
        <v>-37517.339999999997</v>
      </c>
      <c r="D20" s="620">
        <v>930</v>
      </c>
      <c r="E20" s="484"/>
      <c r="F20" s="484">
        <v>-22391.100000000002</v>
      </c>
      <c r="G20" s="442">
        <v>-59908</v>
      </c>
      <c r="H20" s="233"/>
    </row>
    <row r="21" spans="1:8">
      <c r="A21" s="110">
        <v>9</v>
      </c>
      <c r="B21" s="142" t="s">
        <v>5058</v>
      </c>
      <c r="C21" s="484">
        <v>95783.26</v>
      </c>
      <c r="D21" s="620"/>
      <c r="E21" s="484"/>
      <c r="F21" s="484">
        <v>12913</v>
      </c>
      <c r="G21" s="442">
        <v>108696</v>
      </c>
    </row>
    <row r="22" spans="1:8" ht="15.75">
      <c r="A22" s="110">
        <v>10</v>
      </c>
      <c r="B22" s="142" t="s">
        <v>5059</v>
      </c>
      <c r="C22" s="484">
        <v>881.45</v>
      </c>
      <c r="D22" s="620">
        <v>930</v>
      </c>
      <c r="E22" s="484">
        <v>882</v>
      </c>
      <c r="F22" s="484"/>
      <c r="G22" s="442">
        <v>-1</v>
      </c>
      <c r="H22" s="233"/>
    </row>
    <row r="23" spans="1:8">
      <c r="A23" s="110">
        <v>11</v>
      </c>
      <c r="B23" s="142" t="s">
        <v>5333</v>
      </c>
      <c r="C23" s="484">
        <v>587.9</v>
      </c>
      <c r="D23" s="620">
        <v>930</v>
      </c>
      <c r="E23" s="484">
        <v>587.79999999999995</v>
      </c>
      <c r="F23" s="484"/>
      <c r="G23" s="442">
        <v>0</v>
      </c>
    </row>
    <row r="24" spans="1:8" ht="15.75">
      <c r="A24" s="110">
        <v>12</v>
      </c>
      <c r="B24" s="142" t="s">
        <v>5334</v>
      </c>
      <c r="C24" s="484">
        <v>120926.16</v>
      </c>
      <c r="D24" s="620"/>
      <c r="E24" s="484">
        <v>-20159.97</v>
      </c>
      <c r="F24" s="484"/>
      <c r="G24" s="442">
        <v>141086</v>
      </c>
      <c r="H24" s="233"/>
    </row>
    <row r="25" spans="1:8">
      <c r="A25" s="110">
        <v>13</v>
      </c>
      <c r="B25" s="142" t="s">
        <v>4797</v>
      </c>
      <c r="C25" s="484">
        <v>96125.776000000013</v>
      </c>
      <c r="D25" s="620"/>
      <c r="E25" s="484"/>
      <c r="F25" s="484"/>
      <c r="G25" s="442">
        <v>96126</v>
      </c>
    </row>
    <row r="26" spans="1:8" ht="15.75">
      <c r="A26" s="110">
        <v>14</v>
      </c>
      <c r="B26" s="142" t="s">
        <v>5201</v>
      </c>
      <c r="C26" s="484">
        <v>1500000</v>
      </c>
      <c r="D26" s="620"/>
      <c r="E26" s="484"/>
      <c r="F26" s="484"/>
      <c r="G26" s="442">
        <v>1500000</v>
      </c>
      <c r="H26" s="233"/>
    </row>
    <row r="27" spans="1:8">
      <c r="A27" s="110">
        <v>15</v>
      </c>
      <c r="B27" s="142" t="s">
        <v>5202</v>
      </c>
      <c r="C27" s="484">
        <v>4000000</v>
      </c>
      <c r="D27" s="620"/>
      <c r="E27" s="484"/>
      <c r="F27" s="484"/>
      <c r="G27" s="442">
        <v>4000000</v>
      </c>
    </row>
    <row r="28" spans="1:8" ht="15.75">
      <c r="A28" s="110">
        <v>16</v>
      </c>
      <c r="B28" s="142" t="s">
        <v>5203</v>
      </c>
      <c r="C28" s="484">
        <v>4484.8599999999997</v>
      </c>
      <c r="D28" s="620"/>
      <c r="E28" s="484"/>
      <c r="F28" s="484"/>
      <c r="G28" s="442">
        <v>4485</v>
      </c>
      <c r="H28" s="233"/>
    </row>
    <row r="29" spans="1:8">
      <c r="A29" s="110">
        <v>17</v>
      </c>
      <c r="B29" s="142" t="s">
        <v>4798</v>
      </c>
      <c r="C29" s="484">
        <v>13869281.689999999</v>
      </c>
      <c r="D29" s="620">
        <v>431</v>
      </c>
      <c r="E29" s="484"/>
      <c r="F29" s="484">
        <v>1831940.74</v>
      </c>
      <c r="G29" s="442">
        <v>15701222</v>
      </c>
      <c r="H29" s="86"/>
    </row>
    <row r="30" spans="1:8" ht="15.75">
      <c r="A30" s="110">
        <v>18</v>
      </c>
      <c r="B30" s="142" t="s">
        <v>4799</v>
      </c>
      <c r="C30" s="484">
        <v>979.77</v>
      </c>
      <c r="D30" s="620" t="s">
        <v>5204</v>
      </c>
      <c r="E30" s="484"/>
      <c r="F30" s="484"/>
      <c r="G30" s="442">
        <v>980</v>
      </c>
      <c r="H30" s="233"/>
    </row>
    <row r="31" spans="1:8">
      <c r="A31" s="110">
        <v>19</v>
      </c>
      <c r="B31" s="142" t="s">
        <v>4800</v>
      </c>
      <c r="C31" s="484">
        <v>26944659.710000001</v>
      </c>
      <c r="D31" s="620">
        <v>284</v>
      </c>
      <c r="E31" s="484">
        <v>1486932</v>
      </c>
      <c r="F31" s="484"/>
      <c r="G31" s="442">
        <v>25457728</v>
      </c>
      <c r="H31" s="86"/>
    </row>
    <row r="32" spans="1:8">
      <c r="A32" s="110">
        <v>20</v>
      </c>
      <c r="B32" s="142" t="s">
        <v>4801</v>
      </c>
      <c r="C32" s="484">
        <v>-11485.5</v>
      </c>
      <c r="D32" s="620" t="s">
        <v>5584</v>
      </c>
      <c r="E32" s="484"/>
      <c r="F32" s="484"/>
      <c r="G32" s="442">
        <v>-11486</v>
      </c>
      <c r="H32" s="86"/>
    </row>
    <row r="33" spans="1:8">
      <c r="A33" s="110">
        <v>21</v>
      </c>
      <c r="B33" s="142" t="s">
        <v>4603</v>
      </c>
      <c r="C33" s="484">
        <v>-1049155.6499999999</v>
      </c>
      <c r="D33" s="620" t="s">
        <v>5585</v>
      </c>
      <c r="E33" s="484"/>
      <c r="F33" s="484">
        <v>-529343.9600000002</v>
      </c>
      <c r="G33" s="442">
        <v>-1578500</v>
      </c>
      <c r="H33" s="86"/>
    </row>
    <row r="34" spans="1:8">
      <c r="A34" s="110">
        <v>22</v>
      </c>
      <c r="B34" s="142" t="s">
        <v>4671</v>
      </c>
      <c r="C34" s="484">
        <v>-928161.97</v>
      </c>
      <c r="D34" s="620"/>
      <c r="E34" s="484"/>
      <c r="F34" s="484">
        <v>-990354.01</v>
      </c>
      <c r="G34" s="442">
        <v>-1918516</v>
      </c>
      <c r="H34" s="86"/>
    </row>
    <row r="35" spans="1:8">
      <c r="A35" s="110">
        <v>23</v>
      </c>
      <c r="B35" s="142" t="s">
        <v>5060</v>
      </c>
      <c r="C35" s="484">
        <v>2641739.09</v>
      </c>
      <c r="D35" s="620" t="s">
        <v>5205</v>
      </c>
      <c r="E35" s="484"/>
      <c r="F35" s="484">
        <v>-7647.5099999997765</v>
      </c>
      <c r="G35" s="442">
        <v>2634092</v>
      </c>
      <c r="H35" s="86"/>
    </row>
    <row r="36" spans="1:8" ht="15.75">
      <c r="A36" s="110">
        <v>24</v>
      </c>
      <c r="B36" s="142" t="s">
        <v>4802</v>
      </c>
      <c r="C36" s="484">
        <v>133261.33000000002</v>
      </c>
      <c r="D36" s="620">
        <v>190</v>
      </c>
      <c r="E36" s="484">
        <v>10304</v>
      </c>
      <c r="F36" s="484"/>
      <c r="G36" s="442">
        <v>122957</v>
      </c>
      <c r="H36" s="233"/>
    </row>
    <row r="37" spans="1:8">
      <c r="A37" s="110">
        <v>25</v>
      </c>
      <c r="B37" s="142"/>
      <c r="C37" s="484"/>
      <c r="D37" s="620"/>
      <c r="E37" s="484"/>
      <c r="F37" s="484"/>
      <c r="G37" s="442"/>
      <c r="H37" s="86"/>
    </row>
    <row r="38" spans="1:8" ht="15.75">
      <c r="A38" s="110">
        <v>26</v>
      </c>
      <c r="B38" s="142"/>
      <c r="C38" s="484"/>
      <c r="D38" s="620"/>
      <c r="E38" s="484"/>
      <c r="F38" s="484"/>
      <c r="G38" s="442"/>
      <c r="H38" s="233"/>
    </row>
    <row r="39" spans="1:8">
      <c r="A39" s="110">
        <v>27</v>
      </c>
      <c r="B39" s="142"/>
      <c r="C39" s="484"/>
      <c r="D39" s="620"/>
      <c r="E39" s="484"/>
      <c r="F39" s="484"/>
      <c r="G39" s="442"/>
      <c r="H39" s="86"/>
    </row>
    <row r="40" spans="1:8">
      <c r="A40" s="110">
        <v>28</v>
      </c>
      <c r="B40" s="142"/>
      <c r="C40" s="484"/>
      <c r="D40" s="620"/>
      <c r="E40" s="484"/>
      <c r="F40" s="484"/>
      <c r="G40" s="442"/>
      <c r="H40" s="86"/>
    </row>
    <row r="41" spans="1:8">
      <c r="A41" s="110">
        <v>29</v>
      </c>
      <c r="B41" s="142"/>
      <c r="C41" s="484"/>
      <c r="D41" s="620"/>
      <c r="E41" s="484"/>
      <c r="F41" s="484"/>
      <c r="G41" s="442"/>
      <c r="H41" s="86"/>
    </row>
    <row r="42" spans="1:8">
      <c r="A42" s="110">
        <v>30</v>
      </c>
      <c r="B42" s="142"/>
      <c r="C42" s="484"/>
      <c r="D42" s="620"/>
      <c r="E42" s="484"/>
      <c r="F42" s="484"/>
      <c r="G42" s="442"/>
      <c r="H42" s="86"/>
    </row>
    <row r="43" spans="1:8">
      <c r="A43" s="110">
        <v>31</v>
      </c>
      <c r="B43" s="142"/>
      <c r="C43" s="484"/>
      <c r="D43" s="620"/>
      <c r="E43" s="484"/>
      <c r="F43" s="484"/>
      <c r="G43" s="442"/>
      <c r="H43" s="86"/>
    </row>
    <row r="44" spans="1:8">
      <c r="A44" s="110">
        <v>32</v>
      </c>
      <c r="B44" s="142"/>
      <c r="C44" s="484"/>
      <c r="D44" s="620"/>
      <c r="E44" s="484"/>
      <c r="F44" s="484"/>
      <c r="G44" s="442"/>
    </row>
    <row r="45" spans="1:8">
      <c r="A45" s="110">
        <v>33</v>
      </c>
      <c r="B45" s="142"/>
      <c r="C45" s="484"/>
      <c r="D45" s="620"/>
      <c r="E45" s="484"/>
      <c r="F45" s="484"/>
      <c r="G45" s="442"/>
    </row>
    <row r="46" spans="1:8">
      <c r="A46" s="110">
        <v>34</v>
      </c>
      <c r="B46" s="142"/>
      <c r="C46" s="484"/>
      <c r="D46" s="620"/>
      <c r="E46" s="484"/>
      <c r="F46" s="484"/>
      <c r="G46" s="442"/>
    </row>
    <row r="47" spans="1:8">
      <c r="A47" s="110">
        <v>35</v>
      </c>
      <c r="B47" s="142"/>
      <c r="C47" s="484"/>
      <c r="D47" s="620"/>
      <c r="E47" s="484"/>
      <c r="F47" s="484"/>
      <c r="G47" s="442"/>
    </row>
    <row r="48" spans="1:8">
      <c r="A48" s="110">
        <v>36</v>
      </c>
      <c r="B48" s="142"/>
      <c r="C48" s="484"/>
      <c r="D48" s="620"/>
      <c r="E48" s="484"/>
      <c r="F48" s="484"/>
      <c r="G48" s="442"/>
    </row>
    <row r="49" spans="1:8">
      <c r="A49" s="110">
        <v>37</v>
      </c>
      <c r="B49" s="142"/>
      <c r="C49" s="484"/>
      <c r="D49" s="620"/>
      <c r="E49" s="484"/>
      <c r="F49" s="484"/>
      <c r="G49" s="442"/>
    </row>
    <row r="50" spans="1:8">
      <c r="A50" s="110">
        <v>38</v>
      </c>
      <c r="B50" s="142"/>
      <c r="C50" s="484"/>
      <c r="D50" s="620"/>
      <c r="E50" s="484"/>
      <c r="F50" s="484"/>
      <c r="G50" s="442"/>
    </row>
    <row r="51" spans="1:8">
      <c r="A51" s="110">
        <v>39</v>
      </c>
      <c r="B51" s="142"/>
      <c r="C51" s="484"/>
      <c r="D51" s="620"/>
      <c r="E51" s="484"/>
      <c r="F51" s="484"/>
      <c r="G51" s="442"/>
    </row>
    <row r="52" spans="1:8">
      <c r="A52" s="110">
        <v>40</v>
      </c>
      <c r="B52" s="142"/>
      <c r="C52" s="484"/>
      <c r="D52" s="620"/>
      <c r="E52" s="484"/>
      <c r="F52" s="484"/>
      <c r="G52" s="442"/>
    </row>
    <row r="53" spans="1:8">
      <c r="A53" s="110">
        <v>41</v>
      </c>
      <c r="B53" s="142"/>
      <c r="C53" s="484"/>
      <c r="D53" s="620"/>
      <c r="E53" s="484"/>
      <c r="F53" s="484"/>
      <c r="G53" s="442"/>
    </row>
    <row r="54" spans="1:8">
      <c r="A54" s="110">
        <v>42</v>
      </c>
      <c r="B54" s="142"/>
      <c r="C54" s="484"/>
      <c r="D54" s="620"/>
      <c r="E54" s="484"/>
      <c r="F54" s="484"/>
      <c r="G54" s="442"/>
    </row>
    <row r="55" spans="1:8">
      <c r="A55" s="110">
        <v>43</v>
      </c>
      <c r="B55" s="142"/>
      <c r="C55" s="484"/>
      <c r="D55" s="620"/>
      <c r="E55" s="484"/>
      <c r="F55" s="484"/>
      <c r="G55" s="442"/>
    </row>
    <row r="56" spans="1:8">
      <c r="A56" s="110">
        <v>44</v>
      </c>
      <c r="B56" s="142"/>
      <c r="C56" s="484"/>
      <c r="D56" s="142"/>
      <c r="E56" s="484"/>
      <c r="F56" s="484"/>
      <c r="G56" s="442"/>
    </row>
    <row r="57" spans="1:8">
      <c r="A57" s="110">
        <v>45</v>
      </c>
      <c r="B57" s="142"/>
      <c r="C57" s="484"/>
      <c r="D57" s="142"/>
      <c r="E57" s="484"/>
      <c r="F57" s="484"/>
      <c r="G57" s="442"/>
      <c r="H57" s="1574"/>
    </row>
    <row r="58" spans="1:8">
      <c r="A58" s="110">
        <v>46</v>
      </c>
      <c r="B58" s="142"/>
      <c r="C58" s="484"/>
      <c r="D58" s="142"/>
      <c r="E58" s="484"/>
      <c r="F58" s="484"/>
      <c r="G58" s="442"/>
      <c r="H58" s="1574"/>
    </row>
    <row r="59" spans="1:8" ht="15.75" thickBot="1">
      <c r="A59" s="629">
        <v>47</v>
      </c>
      <c r="B59" s="398" t="s">
        <v>4311</v>
      </c>
      <c r="C59" s="486">
        <f>SUM(C13:C58)</f>
        <v>102723270.70599999</v>
      </c>
      <c r="D59" s="398"/>
      <c r="E59" s="486">
        <f>SUM(E13:E58)</f>
        <v>-2119272.17</v>
      </c>
      <c r="F59" s="486">
        <f>SUM(F13:F58)</f>
        <v>-13024132.559999999</v>
      </c>
      <c r="G59" s="401">
        <f>SUM(G13:G58)</f>
        <v>91818410</v>
      </c>
      <c r="H59" s="1593" t="str">
        <f>IF(ROUND(G59, 0)=ROUND('114115'!F111,0), "ok","error")</f>
        <v>ok</v>
      </c>
    </row>
    <row r="60" spans="1:8">
      <c r="A60" s="86"/>
      <c r="B60" s="404"/>
      <c r="C60" s="1520"/>
      <c r="D60" s="86"/>
      <c r="E60" s="86"/>
      <c r="F60" s="86"/>
      <c r="G60" s="86" t="s">
        <v>2024</v>
      </c>
      <c r="H60" s="1520"/>
    </row>
    <row r="61" spans="1:8">
      <c r="A61" s="16" t="s">
        <v>791</v>
      </c>
      <c r="B61" s="5"/>
      <c r="C61" s="5"/>
      <c r="D61" s="5"/>
      <c r="E61" s="5"/>
      <c r="F61" s="5"/>
      <c r="G61" s="5"/>
    </row>
    <row r="62" spans="1:8">
      <c r="A62" s="86"/>
      <c r="B62" s="86"/>
      <c r="C62" s="1521"/>
      <c r="D62" s="86"/>
      <c r="E62" s="86"/>
      <c r="F62" s="86"/>
      <c r="G62" s="1521"/>
    </row>
    <row r="63" spans="1:8">
      <c r="A63" s="86"/>
      <c r="B63" s="1521"/>
      <c r="C63" s="1524"/>
      <c r="D63" s="86"/>
      <c r="E63" s="86"/>
      <c r="F63" s="86"/>
      <c r="G63" s="1521"/>
    </row>
    <row r="64" spans="1:8">
      <c r="A64" s="86"/>
      <c r="B64" s="1521"/>
      <c r="C64" s="86"/>
      <c r="D64" s="86"/>
      <c r="E64" s="86"/>
      <c r="F64" s="86"/>
      <c r="G64" s="86"/>
    </row>
    <row r="65" spans="2:2">
      <c r="B65" s="1592"/>
    </row>
    <row r="66" spans="2:2">
      <c r="B66" s="1592"/>
    </row>
    <row r="67" spans="2:2">
      <c r="B67" s="1592"/>
    </row>
    <row r="68" spans="2:2">
      <c r="B68" s="1592"/>
    </row>
    <row r="69" spans="2:2">
      <c r="B69" s="1594"/>
    </row>
    <row r="71" spans="2:2">
      <c r="B71" s="1594"/>
    </row>
    <row r="72" spans="2:2">
      <c r="B72" s="1594"/>
    </row>
    <row r="77" spans="2:2">
      <c r="B77" s="1521"/>
    </row>
    <row r="78" spans="2:2">
      <c r="B78" s="1521"/>
    </row>
    <row r="79" spans="2:2">
      <c r="B79" s="1521"/>
    </row>
    <row r="80" spans="2:2">
      <c r="B80" s="1521"/>
    </row>
    <row r="81" spans="2:2">
      <c r="B81" s="1521"/>
    </row>
    <row r="82" spans="2:2">
      <c r="B82" s="1521"/>
    </row>
  </sheetData>
  <phoneticPr fontId="0" type="noConversion"/>
  <pageMargins left="0.4" right="0.4" top="0.35" bottom="0.3" header="0.55000000000000004" footer="0.5"/>
  <pageSetup scale="6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ransitionEvaluation="1" codeName="Sheet49"/>
  <dimension ref="A1:P73"/>
  <sheetViews>
    <sheetView defaultGridColor="0" colorId="22" zoomScaleNormal="100" workbookViewId="0">
      <pane xSplit="2" ySplit="13" topLeftCell="D14" activePane="bottomRight" state="frozen"/>
      <selection activeCell="R36" sqref="R36"/>
      <selection pane="topRight" activeCell="R36" sqref="R36"/>
      <selection pane="bottomLeft" activeCell="R36" sqref="R36"/>
      <selection pane="bottomRight" activeCell="L59" sqref="L59"/>
    </sheetView>
  </sheetViews>
  <sheetFormatPr defaultColWidth="9.77734375" defaultRowHeight="15"/>
  <cols>
    <col min="1" max="1" width="4.77734375" customWidth="1"/>
    <col min="2" max="2" width="17.77734375" customWidth="1"/>
    <col min="3" max="3" width="15.77734375" customWidth="1"/>
    <col min="4" max="4" width="7.77734375" customWidth="1"/>
    <col min="5" max="5" width="15.77734375" customWidth="1"/>
    <col min="6" max="6" width="7.77734375" customWidth="1"/>
    <col min="7" max="8" width="15.77734375" customWidth="1"/>
    <col min="9" max="10" width="18.77734375" customWidth="1"/>
    <col min="11" max="12" width="20.77734375" customWidth="1"/>
    <col min="13" max="13" width="16.77734375" customWidth="1"/>
    <col min="14" max="14" width="4.77734375" customWidth="1"/>
  </cols>
  <sheetData>
    <row r="1" spans="1:15" ht="15.75" thickBot="1">
      <c r="A1" t="str">
        <f>'Data sheet'!A57</f>
        <v>Annual Report of Veolia Water New York, Inc.                                              Year Ended  December 31, 2023</v>
      </c>
      <c r="I1" t="str">
        <f>'Data sheet'!A57</f>
        <v>Annual Report of Veolia Water New York, Inc.                                              Year Ended  December 31, 2023</v>
      </c>
    </row>
    <row r="2" spans="1:15">
      <c r="A2" s="129"/>
      <c r="B2" s="130"/>
      <c r="C2" s="130"/>
      <c r="D2" s="130"/>
      <c r="E2" s="130"/>
      <c r="F2" s="130"/>
      <c r="G2" s="130"/>
      <c r="H2" s="417"/>
      <c r="I2" s="129"/>
      <c r="J2" s="130"/>
      <c r="K2" s="130"/>
      <c r="L2" s="130"/>
      <c r="M2" s="130"/>
      <c r="N2" s="131"/>
    </row>
    <row r="3" spans="1:15" ht="15.75">
      <c r="A3" s="118" t="s">
        <v>792</v>
      </c>
      <c r="B3" s="5"/>
      <c r="C3" s="5"/>
      <c r="D3" s="5"/>
      <c r="E3" s="5"/>
      <c r="F3" s="5"/>
      <c r="G3" s="5"/>
      <c r="H3" s="132"/>
      <c r="I3" s="118" t="s">
        <v>793</v>
      </c>
      <c r="J3" s="5"/>
      <c r="K3" s="5"/>
      <c r="L3" s="5"/>
      <c r="M3" s="5"/>
      <c r="N3" s="132"/>
    </row>
    <row r="4" spans="1:15">
      <c r="A4" s="123"/>
      <c r="H4" s="214"/>
      <c r="I4" s="123"/>
      <c r="N4" s="214"/>
    </row>
    <row r="5" spans="1:15">
      <c r="A5" s="85"/>
      <c r="B5" s="90" t="s">
        <v>2916</v>
      </c>
      <c r="C5" s="90"/>
      <c r="D5" s="90"/>
      <c r="E5" s="90"/>
      <c r="F5" s="90"/>
      <c r="G5" s="90"/>
      <c r="H5" s="93"/>
      <c r="I5" s="85"/>
      <c r="J5" s="90"/>
      <c r="K5" s="90"/>
      <c r="L5" s="90"/>
      <c r="M5" s="90"/>
      <c r="N5" s="93"/>
      <c r="O5" s="83"/>
    </row>
    <row r="6" spans="1:15">
      <c r="A6" s="85"/>
      <c r="B6" s="86" t="s">
        <v>2288</v>
      </c>
      <c r="C6" s="86"/>
      <c r="D6" s="86"/>
      <c r="E6" s="86"/>
      <c r="F6" s="86"/>
      <c r="G6" s="86"/>
      <c r="H6" s="87"/>
      <c r="I6" s="85"/>
      <c r="J6" s="86"/>
      <c r="K6" s="86"/>
      <c r="L6" s="86"/>
      <c r="M6" s="86"/>
      <c r="N6" s="87"/>
    </row>
    <row r="7" spans="1:15">
      <c r="A7" s="85"/>
      <c r="B7" s="86" t="s">
        <v>10</v>
      </c>
      <c r="C7" s="86"/>
      <c r="D7" s="86"/>
      <c r="E7" s="86"/>
      <c r="F7" s="86"/>
      <c r="G7" s="86"/>
      <c r="H7" s="87"/>
      <c r="I7" s="85"/>
      <c r="J7" s="86"/>
      <c r="K7" s="86"/>
      <c r="L7" s="86"/>
      <c r="M7" s="86"/>
      <c r="N7" s="87"/>
    </row>
    <row r="8" spans="1:15">
      <c r="A8" s="85"/>
      <c r="B8" s="86"/>
      <c r="C8" s="86"/>
      <c r="D8" s="86"/>
      <c r="E8" s="86"/>
      <c r="F8" s="86"/>
      <c r="G8" s="86"/>
      <c r="H8" s="87"/>
      <c r="I8" s="97"/>
      <c r="J8" s="98"/>
      <c r="K8" s="98"/>
      <c r="L8" s="98"/>
      <c r="M8" s="98"/>
      <c r="N8" s="101"/>
    </row>
    <row r="9" spans="1:15">
      <c r="A9" s="362" t="s">
        <v>1727</v>
      </c>
      <c r="B9" s="92"/>
      <c r="C9" s="91"/>
      <c r="D9" s="630" t="s">
        <v>1732</v>
      </c>
      <c r="E9" s="630"/>
      <c r="F9" s="631" t="s">
        <v>11</v>
      </c>
      <c r="G9" s="630"/>
      <c r="H9" s="138"/>
      <c r="I9" s="85"/>
      <c r="J9" s="142"/>
      <c r="K9" s="597"/>
      <c r="L9" s="133" t="s">
        <v>12</v>
      </c>
      <c r="M9" s="98"/>
      <c r="N9" s="363" t="s">
        <v>1727</v>
      </c>
    </row>
    <row r="10" spans="1:15">
      <c r="A10" s="110" t="s">
        <v>1739</v>
      </c>
      <c r="B10" s="96"/>
      <c r="C10" s="440" t="s">
        <v>1625</v>
      </c>
      <c r="D10" s="133" t="s">
        <v>2035</v>
      </c>
      <c r="E10" s="133"/>
      <c r="F10" s="365" t="s">
        <v>13</v>
      </c>
      <c r="G10" s="133"/>
      <c r="H10" s="135"/>
      <c r="I10" s="110" t="s">
        <v>1625</v>
      </c>
      <c r="J10" s="620" t="s">
        <v>14</v>
      </c>
      <c r="K10" s="142"/>
      <c r="L10" s="86"/>
      <c r="M10" s="86"/>
      <c r="N10" s="363" t="s">
        <v>1739</v>
      </c>
    </row>
    <row r="11" spans="1:15">
      <c r="A11" s="110"/>
      <c r="B11" s="109" t="s">
        <v>4315</v>
      </c>
      <c r="C11" s="440" t="s">
        <v>3962</v>
      </c>
      <c r="D11" s="5" t="s">
        <v>4315</v>
      </c>
      <c r="E11" s="96"/>
      <c r="F11" s="5" t="s">
        <v>4315</v>
      </c>
      <c r="G11" s="142"/>
      <c r="H11" s="135"/>
      <c r="I11" s="110" t="s">
        <v>2591</v>
      </c>
      <c r="J11" s="620" t="s">
        <v>15</v>
      </c>
      <c r="K11" s="142"/>
      <c r="L11" s="86"/>
      <c r="M11" s="86"/>
      <c r="N11" s="363"/>
    </row>
    <row r="12" spans="1:15">
      <c r="A12" s="110"/>
      <c r="B12" s="109" t="s">
        <v>3601</v>
      </c>
      <c r="C12" s="440" t="s">
        <v>1689</v>
      </c>
      <c r="D12" s="94" t="s">
        <v>1739</v>
      </c>
      <c r="E12" s="109" t="s">
        <v>1291</v>
      </c>
      <c r="F12" s="94" t="s">
        <v>1739</v>
      </c>
      <c r="G12" s="620" t="s">
        <v>1291</v>
      </c>
      <c r="H12" s="363" t="s">
        <v>1123</v>
      </c>
      <c r="I12" s="110" t="s">
        <v>712</v>
      </c>
      <c r="J12" s="620" t="s">
        <v>1717</v>
      </c>
      <c r="K12" s="142"/>
      <c r="L12" s="86"/>
      <c r="M12" s="86"/>
      <c r="N12" s="363"/>
    </row>
    <row r="13" spans="1:15">
      <c r="A13" s="364"/>
      <c r="B13" s="997" t="s">
        <v>3279</v>
      </c>
      <c r="C13" s="1000" t="s">
        <v>3280</v>
      </c>
      <c r="D13" s="996" t="s">
        <v>3281</v>
      </c>
      <c r="E13" s="997" t="s">
        <v>3282</v>
      </c>
      <c r="F13" s="996" t="s">
        <v>721</v>
      </c>
      <c r="G13" s="621" t="s">
        <v>722</v>
      </c>
      <c r="H13" s="367" t="s">
        <v>723</v>
      </c>
      <c r="I13" s="364" t="s">
        <v>335</v>
      </c>
      <c r="J13" s="621" t="s">
        <v>336</v>
      </c>
      <c r="K13" s="365"/>
      <c r="L13" s="133"/>
      <c r="M13" s="133"/>
      <c r="N13" s="367"/>
    </row>
    <row r="14" spans="1:15">
      <c r="A14" s="110">
        <v>1</v>
      </c>
      <c r="B14" s="109" t="s">
        <v>4312</v>
      </c>
      <c r="C14" s="632"/>
      <c r="D14" s="633"/>
      <c r="E14" s="634"/>
      <c r="F14" s="633"/>
      <c r="G14" s="635"/>
      <c r="H14" s="636"/>
      <c r="I14" s="637"/>
      <c r="J14" s="638"/>
      <c r="K14" s="628"/>
      <c r="L14" s="639"/>
      <c r="M14" s="639"/>
      <c r="N14" s="363">
        <v>1</v>
      </c>
    </row>
    <row r="15" spans="1:15">
      <c r="A15" s="110">
        <v>2</v>
      </c>
      <c r="B15" s="96"/>
      <c r="C15" s="608">
        <v>348947</v>
      </c>
      <c r="D15" s="86"/>
      <c r="E15" s="554"/>
      <c r="F15" s="86">
        <v>411.4</v>
      </c>
      <c r="G15" s="484">
        <v>27012</v>
      </c>
      <c r="H15" s="441"/>
      <c r="I15" s="436">
        <f t="shared" ref="I15:I32" si="0">C15+E15-G15+H15</f>
        <v>321935</v>
      </c>
      <c r="J15" s="142" t="s">
        <v>4426</v>
      </c>
      <c r="K15" s="628"/>
      <c r="L15" s="639"/>
      <c r="M15" s="639"/>
      <c r="N15" s="363">
        <v>2</v>
      </c>
      <c r="O15" t="str">
        <f>IF(I15='114115'!F112,"ok","error")</f>
        <v>ok</v>
      </c>
    </row>
    <row r="16" spans="1:15">
      <c r="A16" s="110">
        <v>3</v>
      </c>
      <c r="B16" s="96"/>
      <c r="C16" s="577"/>
      <c r="D16" s="86"/>
      <c r="E16" s="508"/>
      <c r="F16" s="86"/>
      <c r="G16" s="484"/>
      <c r="H16" s="640"/>
      <c r="I16" s="145">
        <f t="shared" si="0"/>
        <v>0</v>
      </c>
      <c r="J16" s="142"/>
      <c r="K16" s="628"/>
      <c r="L16" s="639"/>
      <c r="M16" s="639"/>
      <c r="N16" s="363">
        <v>3</v>
      </c>
    </row>
    <row r="17" spans="1:14">
      <c r="A17" s="110">
        <v>4</v>
      </c>
      <c r="B17" s="96"/>
      <c r="C17" s="577"/>
      <c r="D17" s="86"/>
      <c r="E17" s="508"/>
      <c r="F17" s="86"/>
      <c r="G17" s="484"/>
      <c r="H17" s="640"/>
      <c r="I17" s="145">
        <f t="shared" si="0"/>
        <v>0</v>
      </c>
      <c r="J17" s="142"/>
      <c r="K17" s="628"/>
      <c r="L17" s="639"/>
      <c r="M17" s="639"/>
      <c r="N17" s="363">
        <v>4</v>
      </c>
    </row>
    <row r="18" spans="1:14">
      <c r="A18" s="110">
        <v>5</v>
      </c>
      <c r="B18" s="96"/>
      <c r="C18" s="577"/>
      <c r="D18" s="86"/>
      <c r="E18" s="508"/>
      <c r="F18" s="86"/>
      <c r="G18" s="484"/>
      <c r="H18" s="640"/>
      <c r="I18" s="145">
        <f t="shared" si="0"/>
        <v>0</v>
      </c>
      <c r="J18" s="142"/>
      <c r="K18" s="628"/>
      <c r="L18" s="639"/>
      <c r="M18" s="639"/>
      <c r="N18" s="363">
        <v>5</v>
      </c>
    </row>
    <row r="19" spans="1:14">
      <c r="A19" s="110">
        <v>6</v>
      </c>
      <c r="B19" s="96"/>
      <c r="C19" s="577"/>
      <c r="D19" s="86"/>
      <c r="E19" s="508"/>
      <c r="F19" s="86"/>
      <c r="G19" s="484"/>
      <c r="H19" s="640"/>
      <c r="I19" s="145">
        <f t="shared" si="0"/>
        <v>0</v>
      </c>
      <c r="J19" s="142"/>
      <c r="K19" s="628"/>
      <c r="L19" s="639"/>
      <c r="M19" s="639"/>
      <c r="N19" s="363">
        <v>6</v>
      </c>
    </row>
    <row r="20" spans="1:14">
      <c r="A20" s="110">
        <v>7</v>
      </c>
      <c r="B20" s="96"/>
      <c r="C20" s="577"/>
      <c r="D20" s="86"/>
      <c r="E20" s="508"/>
      <c r="F20" s="86"/>
      <c r="G20" s="484"/>
      <c r="H20" s="640"/>
      <c r="I20" s="145">
        <f t="shared" si="0"/>
        <v>0</v>
      </c>
      <c r="J20" s="142"/>
      <c r="K20" s="628"/>
      <c r="L20" s="639"/>
      <c r="M20" s="639"/>
      <c r="N20" s="363">
        <v>7</v>
      </c>
    </row>
    <row r="21" spans="1:14">
      <c r="A21" s="110">
        <v>8</v>
      </c>
      <c r="B21" s="96"/>
      <c r="C21" s="577"/>
      <c r="D21" s="86"/>
      <c r="E21" s="508"/>
      <c r="F21" s="86"/>
      <c r="G21" s="484"/>
      <c r="H21" s="640"/>
      <c r="I21" s="145">
        <f t="shared" si="0"/>
        <v>0</v>
      </c>
      <c r="J21" s="142"/>
      <c r="K21" s="628"/>
      <c r="L21" s="639"/>
      <c r="M21" s="639"/>
      <c r="N21" s="363">
        <v>8</v>
      </c>
    </row>
    <row r="22" spans="1:14">
      <c r="A22" s="110">
        <v>9</v>
      </c>
      <c r="B22" s="96"/>
      <c r="C22" s="577"/>
      <c r="D22" s="86"/>
      <c r="E22" s="508"/>
      <c r="F22" s="86"/>
      <c r="G22" s="484"/>
      <c r="H22" s="640"/>
      <c r="I22" s="145">
        <f t="shared" si="0"/>
        <v>0</v>
      </c>
      <c r="J22" s="142"/>
      <c r="K22" s="628"/>
      <c r="L22" s="639"/>
      <c r="M22" s="639"/>
      <c r="N22" s="363">
        <v>9</v>
      </c>
    </row>
    <row r="23" spans="1:14">
      <c r="A23" s="110">
        <v>10</v>
      </c>
      <c r="B23" s="96"/>
      <c r="C23" s="577"/>
      <c r="D23" s="86"/>
      <c r="E23" s="508"/>
      <c r="F23" s="86"/>
      <c r="G23" s="484"/>
      <c r="H23" s="640"/>
      <c r="I23" s="145">
        <f t="shared" si="0"/>
        <v>0</v>
      </c>
      <c r="J23" s="142"/>
      <c r="K23" s="628"/>
      <c r="L23" s="639"/>
      <c r="M23" s="639"/>
      <c r="N23" s="363">
        <v>10</v>
      </c>
    </row>
    <row r="24" spans="1:14">
      <c r="A24" s="110">
        <v>11</v>
      </c>
      <c r="B24" s="96"/>
      <c r="C24" s="577"/>
      <c r="D24" s="86"/>
      <c r="E24" s="508"/>
      <c r="F24" s="86"/>
      <c r="G24" s="484"/>
      <c r="H24" s="640"/>
      <c r="I24" s="145">
        <f t="shared" si="0"/>
        <v>0</v>
      </c>
      <c r="J24" s="142"/>
      <c r="K24" s="628"/>
      <c r="L24" s="639"/>
      <c r="M24" s="639"/>
      <c r="N24" s="363">
        <v>11</v>
      </c>
    </row>
    <row r="25" spans="1:14">
      <c r="A25" s="110">
        <v>12</v>
      </c>
      <c r="B25" s="96"/>
      <c r="C25" s="577"/>
      <c r="D25" s="86"/>
      <c r="E25" s="508"/>
      <c r="F25" s="86"/>
      <c r="G25" s="484"/>
      <c r="H25" s="640"/>
      <c r="I25" s="145">
        <f t="shared" si="0"/>
        <v>0</v>
      </c>
      <c r="J25" s="142"/>
      <c r="K25" s="628"/>
      <c r="L25" s="639"/>
      <c r="M25" s="639"/>
      <c r="N25" s="363">
        <v>12</v>
      </c>
    </row>
    <row r="26" spans="1:14">
      <c r="A26" s="110">
        <v>13</v>
      </c>
      <c r="B26" s="96"/>
      <c r="C26" s="577"/>
      <c r="D26" s="86"/>
      <c r="E26" s="508"/>
      <c r="F26" s="86"/>
      <c r="G26" s="484"/>
      <c r="H26" s="640"/>
      <c r="I26" s="145">
        <f t="shared" si="0"/>
        <v>0</v>
      </c>
      <c r="J26" s="142"/>
      <c r="K26" s="628"/>
      <c r="L26" s="639"/>
      <c r="M26" s="639"/>
      <c r="N26" s="363">
        <v>13</v>
      </c>
    </row>
    <row r="27" spans="1:14">
      <c r="A27" s="110">
        <v>14</v>
      </c>
      <c r="B27" s="96"/>
      <c r="C27" s="577"/>
      <c r="D27" s="86"/>
      <c r="E27" s="508"/>
      <c r="F27" s="86"/>
      <c r="G27" s="484"/>
      <c r="H27" s="640"/>
      <c r="I27" s="145">
        <f t="shared" si="0"/>
        <v>0</v>
      </c>
      <c r="J27" s="142"/>
      <c r="K27" s="628"/>
      <c r="L27" s="639"/>
      <c r="M27" s="639"/>
      <c r="N27" s="363">
        <v>14</v>
      </c>
    </row>
    <row r="28" spans="1:14">
      <c r="A28" s="110">
        <v>15</v>
      </c>
      <c r="B28" s="641"/>
      <c r="C28" s="577"/>
      <c r="D28" s="404"/>
      <c r="E28" s="508"/>
      <c r="F28" s="404"/>
      <c r="G28" s="484"/>
      <c r="H28" s="640"/>
      <c r="I28" s="145">
        <f t="shared" si="0"/>
        <v>0</v>
      </c>
      <c r="J28" s="142"/>
      <c r="K28" s="628"/>
      <c r="L28" s="639"/>
      <c r="M28" s="639"/>
      <c r="N28" s="363">
        <v>15</v>
      </c>
    </row>
    <row r="29" spans="1:14">
      <c r="A29" s="110">
        <v>16</v>
      </c>
      <c r="B29" s="641"/>
      <c r="C29" s="577"/>
      <c r="D29" s="404"/>
      <c r="E29" s="508"/>
      <c r="F29" s="404"/>
      <c r="G29" s="484"/>
      <c r="H29" s="640"/>
      <c r="I29" s="145">
        <f t="shared" si="0"/>
        <v>0</v>
      </c>
      <c r="J29" s="142"/>
      <c r="K29" s="628"/>
      <c r="L29" s="639"/>
      <c r="M29" s="639"/>
      <c r="N29" s="363">
        <v>16</v>
      </c>
    </row>
    <row r="30" spans="1:14">
      <c r="A30" s="110">
        <v>17</v>
      </c>
      <c r="B30" s="641"/>
      <c r="C30" s="577"/>
      <c r="D30" s="404"/>
      <c r="E30" s="508"/>
      <c r="F30" s="404"/>
      <c r="G30" s="484"/>
      <c r="H30" s="640"/>
      <c r="I30" s="145">
        <f t="shared" si="0"/>
        <v>0</v>
      </c>
      <c r="J30" s="142"/>
      <c r="K30" s="628"/>
      <c r="L30" s="639"/>
      <c r="M30" s="639"/>
      <c r="N30" s="363">
        <v>17</v>
      </c>
    </row>
    <row r="31" spans="1:14">
      <c r="A31" s="110">
        <v>18</v>
      </c>
      <c r="B31" s="96"/>
      <c r="C31" s="577"/>
      <c r="D31" s="86"/>
      <c r="E31" s="508"/>
      <c r="F31" s="86"/>
      <c r="G31" s="484"/>
      <c r="H31" s="640"/>
      <c r="I31" s="145">
        <f t="shared" si="0"/>
        <v>0</v>
      </c>
      <c r="J31" s="142"/>
      <c r="K31" s="628"/>
      <c r="L31" s="639"/>
      <c r="M31" s="639"/>
      <c r="N31" s="363">
        <v>18</v>
      </c>
    </row>
    <row r="32" spans="1:14">
      <c r="A32" s="110">
        <v>19</v>
      </c>
      <c r="B32" s="1024" t="s">
        <v>1718</v>
      </c>
      <c r="C32" s="381">
        <f>SUM(C15:C31)</f>
        <v>348947</v>
      </c>
      <c r="D32" s="404"/>
      <c r="E32" s="378">
        <f>SUM(E15:E31)</f>
        <v>0</v>
      </c>
      <c r="F32" s="404"/>
      <c r="G32" s="412">
        <f>SUM(G15:G31)</f>
        <v>27012</v>
      </c>
      <c r="H32" s="490">
        <f>SUM(H15:H31)</f>
        <v>0</v>
      </c>
      <c r="I32" s="642">
        <f t="shared" si="0"/>
        <v>321935</v>
      </c>
      <c r="J32" s="377"/>
      <c r="K32" s="628"/>
      <c r="L32" s="86"/>
      <c r="M32" s="86"/>
      <c r="N32" s="363">
        <v>19</v>
      </c>
    </row>
    <row r="33" spans="1:14">
      <c r="A33" s="110">
        <v>20</v>
      </c>
      <c r="B33" s="109" t="s">
        <v>1737</v>
      </c>
      <c r="C33" s="632"/>
      <c r="D33" s="633"/>
      <c r="E33" s="634"/>
      <c r="F33" s="633"/>
      <c r="G33" s="635"/>
      <c r="H33" s="636"/>
      <c r="I33" s="643"/>
      <c r="J33" s="644"/>
      <c r="K33" s="142"/>
      <c r="L33" s="86"/>
      <c r="M33" s="86"/>
      <c r="N33" s="363">
        <v>20</v>
      </c>
    </row>
    <row r="34" spans="1:14">
      <c r="A34" s="110">
        <v>21</v>
      </c>
      <c r="B34" s="96"/>
      <c r="C34" s="577"/>
      <c r="D34" s="86"/>
      <c r="E34" s="508"/>
      <c r="F34" s="86"/>
      <c r="G34" s="484"/>
      <c r="H34" s="640"/>
      <c r="I34" s="436">
        <f t="shared" ref="I34:I53" si="1">C34+E34-G34+H34</f>
        <v>0</v>
      </c>
      <c r="J34" s="142"/>
      <c r="K34" s="628"/>
      <c r="L34" s="639"/>
      <c r="M34" s="639"/>
      <c r="N34" s="363">
        <v>21</v>
      </c>
    </row>
    <row r="35" spans="1:14">
      <c r="A35" s="110">
        <v>22</v>
      </c>
      <c r="B35" s="96"/>
      <c r="C35" s="577"/>
      <c r="D35" s="86"/>
      <c r="E35" s="508"/>
      <c r="F35" s="86"/>
      <c r="G35" s="484"/>
      <c r="H35" s="640"/>
      <c r="I35" s="145">
        <f t="shared" si="1"/>
        <v>0</v>
      </c>
      <c r="J35" s="142"/>
      <c r="K35" s="628"/>
      <c r="L35" s="639"/>
      <c r="M35" s="639"/>
      <c r="N35" s="363">
        <v>22</v>
      </c>
    </row>
    <row r="36" spans="1:14">
      <c r="A36" s="110">
        <v>23</v>
      </c>
      <c r="B36" s="96"/>
      <c r="C36" s="577"/>
      <c r="D36" s="86"/>
      <c r="E36" s="508"/>
      <c r="F36" s="86"/>
      <c r="G36" s="484"/>
      <c r="H36" s="640"/>
      <c r="I36" s="145">
        <f t="shared" si="1"/>
        <v>0</v>
      </c>
      <c r="J36" s="142"/>
      <c r="K36" s="628"/>
      <c r="L36" s="639"/>
      <c r="M36" s="639"/>
      <c r="N36" s="363">
        <v>23</v>
      </c>
    </row>
    <row r="37" spans="1:14">
      <c r="A37" s="110">
        <v>24</v>
      </c>
      <c r="B37" s="96"/>
      <c r="C37" s="577"/>
      <c r="D37" s="86"/>
      <c r="E37" s="508"/>
      <c r="F37" s="86"/>
      <c r="G37" s="484"/>
      <c r="H37" s="640"/>
      <c r="I37" s="145">
        <f t="shared" si="1"/>
        <v>0</v>
      </c>
      <c r="J37" s="142"/>
      <c r="K37" s="628"/>
      <c r="L37" s="639"/>
      <c r="M37" s="639"/>
      <c r="N37" s="363">
        <v>24</v>
      </c>
    </row>
    <row r="38" spans="1:14">
      <c r="A38" s="110">
        <v>25</v>
      </c>
      <c r="B38" s="96"/>
      <c r="C38" s="577"/>
      <c r="D38" s="86"/>
      <c r="E38" s="508"/>
      <c r="F38" s="86"/>
      <c r="G38" s="484"/>
      <c r="H38" s="640"/>
      <c r="I38" s="145">
        <f t="shared" si="1"/>
        <v>0</v>
      </c>
      <c r="J38" s="142"/>
      <c r="K38" s="628"/>
      <c r="L38" s="639"/>
      <c r="M38" s="639"/>
      <c r="N38" s="363">
        <v>25</v>
      </c>
    </row>
    <row r="39" spans="1:14">
      <c r="A39" s="110">
        <v>26</v>
      </c>
      <c r="B39" s="96"/>
      <c r="C39" s="577"/>
      <c r="D39" s="86"/>
      <c r="E39" s="508"/>
      <c r="F39" s="86"/>
      <c r="G39" s="484"/>
      <c r="H39" s="640"/>
      <c r="I39" s="145">
        <f t="shared" si="1"/>
        <v>0</v>
      </c>
      <c r="J39" s="142"/>
      <c r="K39" s="628"/>
      <c r="L39" s="639"/>
      <c r="M39" s="639"/>
      <c r="N39" s="363">
        <v>26</v>
      </c>
    </row>
    <row r="40" spans="1:14">
      <c r="A40" s="110">
        <v>27</v>
      </c>
      <c r="B40" s="96"/>
      <c r="C40" s="577"/>
      <c r="D40" s="86"/>
      <c r="E40" s="508"/>
      <c r="F40" s="86"/>
      <c r="G40" s="484"/>
      <c r="H40" s="640"/>
      <c r="I40" s="145">
        <f t="shared" si="1"/>
        <v>0</v>
      </c>
      <c r="J40" s="142"/>
      <c r="K40" s="628"/>
      <c r="L40" s="639"/>
      <c r="M40" s="639"/>
      <c r="N40" s="363">
        <v>27</v>
      </c>
    </row>
    <row r="41" spans="1:14">
      <c r="A41" s="110">
        <v>28</v>
      </c>
      <c r="B41" s="96"/>
      <c r="C41" s="577"/>
      <c r="D41" s="86"/>
      <c r="E41" s="508"/>
      <c r="F41" s="86"/>
      <c r="G41" s="484"/>
      <c r="H41" s="640"/>
      <c r="I41" s="145">
        <f t="shared" si="1"/>
        <v>0</v>
      </c>
      <c r="J41" s="142"/>
      <c r="K41" s="628"/>
      <c r="L41" s="639"/>
      <c r="M41" s="639"/>
      <c r="N41" s="363">
        <v>28</v>
      </c>
    </row>
    <row r="42" spans="1:14">
      <c r="A42" s="110">
        <v>29</v>
      </c>
      <c r="B42" s="96"/>
      <c r="C42" s="577"/>
      <c r="D42" s="86"/>
      <c r="E42" s="508"/>
      <c r="F42" s="86"/>
      <c r="G42" s="484"/>
      <c r="H42" s="640"/>
      <c r="I42" s="145">
        <f t="shared" si="1"/>
        <v>0</v>
      </c>
      <c r="J42" s="142"/>
      <c r="K42" s="628"/>
      <c r="L42" s="639"/>
      <c r="M42" s="639"/>
      <c r="N42" s="363">
        <v>29</v>
      </c>
    </row>
    <row r="43" spans="1:14">
      <c r="A43" s="110">
        <v>30</v>
      </c>
      <c r="B43" s="96"/>
      <c r="C43" s="577"/>
      <c r="D43" s="86"/>
      <c r="E43" s="508"/>
      <c r="F43" s="86"/>
      <c r="G43" s="484"/>
      <c r="H43" s="640"/>
      <c r="I43" s="145">
        <f t="shared" si="1"/>
        <v>0</v>
      </c>
      <c r="J43" s="142"/>
      <c r="K43" s="142"/>
      <c r="L43" s="86"/>
      <c r="M43" s="86"/>
      <c r="N43" s="363">
        <v>30</v>
      </c>
    </row>
    <row r="44" spans="1:14">
      <c r="A44" s="110">
        <v>31</v>
      </c>
      <c r="B44" s="96"/>
      <c r="C44" s="577"/>
      <c r="D44" s="86"/>
      <c r="E44" s="508"/>
      <c r="F44" s="86"/>
      <c r="G44" s="484"/>
      <c r="H44" s="640"/>
      <c r="I44" s="145">
        <f t="shared" si="1"/>
        <v>0</v>
      </c>
      <c r="J44" s="142"/>
      <c r="K44" s="142"/>
      <c r="L44" s="86"/>
      <c r="M44" s="86"/>
      <c r="N44" s="363">
        <v>31</v>
      </c>
    </row>
    <row r="45" spans="1:14">
      <c r="A45" s="110">
        <v>32</v>
      </c>
      <c r="B45" s="96"/>
      <c r="C45" s="577"/>
      <c r="D45" s="86"/>
      <c r="E45" s="508"/>
      <c r="F45" s="86"/>
      <c r="G45" s="484"/>
      <c r="H45" s="640"/>
      <c r="I45" s="145">
        <f t="shared" si="1"/>
        <v>0</v>
      </c>
      <c r="J45" s="142"/>
      <c r="K45" s="142"/>
      <c r="L45" s="86"/>
      <c r="M45" s="86"/>
      <c r="N45" s="363">
        <v>32</v>
      </c>
    </row>
    <row r="46" spans="1:14">
      <c r="A46" s="110">
        <v>33</v>
      </c>
      <c r="B46" s="641"/>
      <c r="C46" s="577"/>
      <c r="D46" s="86"/>
      <c r="E46" s="508"/>
      <c r="F46" s="86"/>
      <c r="G46" s="484"/>
      <c r="H46" s="640"/>
      <c r="I46" s="145">
        <f t="shared" si="1"/>
        <v>0</v>
      </c>
      <c r="J46" s="142"/>
      <c r="K46" s="142"/>
      <c r="L46" s="86"/>
      <c r="M46" s="86"/>
      <c r="N46" s="363">
        <v>33</v>
      </c>
    </row>
    <row r="47" spans="1:14">
      <c r="A47" s="110">
        <v>34</v>
      </c>
      <c r="B47" s="96"/>
      <c r="C47" s="577"/>
      <c r="D47" s="86"/>
      <c r="E47" s="508"/>
      <c r="F47" s="86" t="s">
        <v>218</v>
      </c>
      <c r="G47" s="484"/>
      <c r="H47" s="640"/>
      <c r="I47" s="145">
        <f t="shared" si="1"/>
        <v>0</v>
      </c>
      <c r="J47" s="142"/>
      <c r="K47" s="142"/>
      <c r="L47" s="86"/>
      <c r="M47" s="86"/>
      <c r="N47" s="363">
        <v>34</v>
      </c>
    </row>
    <row r="48" spans="1:14">
      <c r="A48" s="110">
        <v>35</v>
      </c>
      <c r="B48" s="96"/>
      <c r="C48" s="577"/>
      <c r="D48" s="86"/>
      <c r="E48" s="508"/>
      <c r="F48" s="86"/>
      <c r="G48" s="484"/>
      <c r="H48" s="442"/>
      <c r="I48" s="145">
        <f t="shared" si="1"/>
        <v>0</v>
      </c>
      <c r="J48" s="142"/>
      <c r="K48" s="142"/>
      <c r="L48" s="86"/>
      <c r="M48" s="86"/>
      <c r="N48" s="363">
        <v>35</v>
      </c>
    </row>
    <row r="49" spans="1:16">
      <c r="A49" s="110">
        <v>36</v>
      </c>
      <c r="B49" s="641"/>
      <c r="C49" s="577"/>
      <c r="D49" s="86"/>
      <c r="E49" s="508"/>
      <c r="F49" s="86"/>
      <c r="G49" s="484"/>
      <c r="H49" s="442"/>
      <c r="I49" s="145">
        <f t="shared" si="1"/>
        <v>0</v>
      </c>
      <c r="J49" s="142"/>
      <c r="K49" s="628"/>
      <c r="L49" s="86"/>
      <c r="M49" s="86"/>
      <c r="N49" s="363">
        <v>36</v>
      </c>
    </row>
    <row r="50" spans="1:16">
      <c r="A50" s="110">
        <v>37</v>
      </c>
      <c r="B50" s="641"/>
      <c r="C50" s="577"/>
      <c r="D50" s="86"/>
      <c r="E50" s="508"/>
      <c r="F50" s="86"/>
      <c r="G50" s="484"/>
      <c r="H50" s="442"/>
      <c r="I50" s="145">
        <f t="shared" si="1"/>
        <v>0</v>
      </c>
      <c r="J50" s="142"/>
      <c r="K50" s="628"/>
      <c r="L50" s="86"/>
      <c r="M50" s="86"/>
      <c r="N50" s="363">
        <v>37</v>
      </c>
    </row>
    <row r="51" spans="1:16">
      <c r="A51" s="110">
        <v>38</v>
      </c>
      <c r="B51" s="96"/>
      <c r="C51" s="577"/>
      <c r="D51" s="86"/>
      <c r="E51" s="508"/>
      <c r="F51" s="86"/>
      <c r="G51" s="484"/>
      <c r="H51" s="640"/>
      <c r="I51" s="145">
        <f t="shared" si="1"/>
        <v>0</v>
      </c>
      <c r="J51" s="142"/>
      <c r="K51" s="142"/>
      <c r="L51" s="86"/>
      <c r="M51" s="86"/>
      <c r="N51" s="363">
        <v>38</v>
      </c>
    </row>
    <row r="52" spans="1:16">
      <c r="A52" s="110">
        <v>39</v>
      </c>
      <c r="B52" s="1024" t="s">
        <v>1718</v>
      </c>
      <c r="C52" s="645">
        <f>SUM(C34:C51)</f>
        <v>0</v>
      </c>
      <c r="D52" s="86"/>
      <c r="E52" s="646">
        <f>SUM(E34:E51)</f>
        <v>0</v>
      </c>
      <c r="F52" s="86"/>
      <c r="G52" s="483">
        <f>SUM(G34:G51)</f>
        <v>0</v>
      </c>
      <c r="H52" s="496">
        <f>SUM(H34:H51)</f>
        <v>0</v>
      </c>
      <c r="I52" s="642">
        <f t="shared" si="1"/>
        <v>0</v>
      </c>
      <c r="J52" s="377"/>
      <c r="K52" s="628"/>
      <c r="L52" s="86"/>
      <c r="M52" s="86"/>
      <c r="N52" s="363">
        <v>39</v>
      </c>
    </row>
    <row r="53" spans="1:16" ht="15.75" thickBot="1">
      <c r="A53" s="437">
        <v>40</v>
      </c>
      <c r="B53" s="1025" t="s">
        <v>4311</v>
      </c>
      <c r="C53" s="647">
        <f>C32+C52</f>
        <v>348947</v>
      </c>
      <c r="D53" s="113"/>
      <c r="E53" s="400">
        <f>E32+E52</f>
        <v>0</v>
      </c>
      <c r="F53" s="113"/>
      <c r="G53" s="486">
        <f>G32+G52</f>
        <v>27012</v>
      </c>
      <c r="H53" s="401">
        <f>H32+H52</f>
        <v>0</v>
      </c>
      <c r="I53" s="624">
        <f t="shared" si="1"/>
        <v>321935</v>
      </c>
      <c r="J53" s="556"/>
      <c r="K53" s="556"/>
      <c r="L53" s="113"/>
      <c r="M53" s="113"/>
      <c r="N53" s="579">
        <v>40</v>
      </c>
      <c r="O53" t="str">
        <f>IF(C53='114115'!E112,"ok","error")</f>
        <v>ok</v>
      </c>
      <c r="P53" t="str">
        <f>IF(I53='114115'!F112,"ok","error")</f>
        <v>ok</v>
      </c>
    </row>
    <row r="54" spans="1:16">
      <c r="A54" s="86" t="s">
        <v>2024</v>
      </c>
      <c r="B54" s="86"/>
      <c r="C54" s="86"/>
      <c r="D54" s="86"/>
      <c r="E54" s="86"/>
      <c r="F54" s="86"/>
      <c r="G54" s="86"/>
      <c r="H54" s="86"/>
      <c r="I54" s="86"/>
      <c r="J54" s="86"/>
      <c r="K54" s="86"/>
      <c r="L54" s="86"/>
      <c r="M54" s="405" t="s">
        <v>2024</v>
      </c>
      <c r="N54" s="94"/>
    </row>
    <row r="55" spans="1:16">
      <c r="A55" s="5" t="s">
        <v>1719</v>
      </c>
      <c r="B55" s="5"/>
      <c r="C55" s="5"/>
      <c r="D55" s="5"/>
      <c r="E55" s="5"/>
      <c r="F55" s="5"/>
      <c r="G55" s="5"/>
      <c r="H55" s="5"/>
      <c r="I55" s="5" t="s">
        <v>1720</v>
      </c>
      <c r="J55" s="5"/>
      <c r="K55" s="5"/>
      <c r="L55" s="5"/>
      <c r="M55" s="5"/>
      <c r="N55" s="5"/>
    </row>
    <row r="56" spans="1:16">
      <c r="A56" s="86"/>
      <c r="B56" s="86"/>
      <c r="C56" s="86"/>
      <c r="D56" s="86"/>
      <c r="E56" s="86"/>
      <c r="F56" s="86"/>
      <c r="G56" s="86"/>
      <c r="H56" s="86"/>
      <c r="I56" s="86"/>
      <c r="J56" s="86"/>
      <c r="K56" s="86"/>
      <c r="L56" s="86"/>
      <c r="M56" s="86"/>
      <c r="N56" s="86"/>
    </row>
    <row r="57" spans="1:16">
      <c r="A57" s="86"/>
      <c r="B57" s="86"/>
      <c r="C57" s="86"/>
      <c r="D57" s="86"/>
      <c r="E57" s="86"/>
      <c r="F57" s="86"/>
      <c r="G57" s="86"/>
      <c r="H57" s="86"/>
      <c r="I57" s="86"/>
      <c r="J57" s="86"/>
      <c r="K57" s="86"/>
      <c r="L57" s="86"/>
      <c r="M57" s="86"/>
      <c r="N57" s="86"/>
    </row>
    <row r="58" spans="1:16">
      <c r="A58" s="86"/>
      <c r="B58" s="86"/>
      <c r="C58" s="86"/>
      <c r="D58" s="86"/>
      <c r="E58" s="86"/>
      <c r="F58" s="86"/>
      <c r="G58" s="86"/>
      <c r="H58" s="86"/>
      <c r="I58" s="86"/>
      <c r="J58" s="86"/>
      <c r="K58" s="86"/>
      <c r="L58" s="86"/>
      <c r="M58" s="86"/>
      <c r="N58" s="86"/>
    </row>
    <row r="59" spans="1:16">
      <c r="A59" s="86"/>
      <c r="B59" s="86"/>
      <c r="C59" s="86"/>
      <c r="D59" s="86"/>
      <c r="E59" s="86"/>
      <c r="F59" s="86"/>
      <c r="G59" s="86"/>
      <c r="H59" s="86"/>
      <c r="I59" s="86"/>
      <c r="J59" s="86"/>
      <c r="K59" s="86"/>
      <c r="L59" s="86"/>
      <c r="M59" s="86"/>
      <c r="N59" s="86"/>
    </row>
    <row r="60" spans="1:16">
      <c r="A60" s="86"/>
      <c r="B60" s="86"/>
      <c r="C60" s="86"/>
      <c r="D60" s="86"/>
      <c r="E60" s="86"/>
      <c r="F60" s="86"/>
      <c r="G60" s="86"/>
      <c r="H60" s="86"/>
      <c r="I60" s="86"/>
      <c r="J60" s="86"/>
      <c r="K60" s="86"/>
      <c r="L60" s="86"/>
      <c r="M60" s="86"/>
      <c r="N60" s="86"/>
    </row>
    <row r="61" spans="1:16">
      <c r="A61" s="86"/>
      <c r="B61" s="86"/>
      <c r="C61" s="86"/>
      <c r="D61" s="86"/>
      <c r="E61" s="86"/>
      <c r="F61" s="86"/>
      <c r="G61" s="86"/>
      <c r="H61" s="86"/>
      <c r="I61" s="86"/>
      <c r="J61" s="86"/>
      <c r="K61" s="86"/>
      <c r="L61" s="86"/>
      <c r="M61" s="86"/>
      <c r="N61" s="86"/>
    </row>
    <row r="62" spans="1:16">
      <c r="A62" s="108"/>
      <c r="B62" s="86"/>
      <c r="C62" s="86"/>
      <c r="D62" s="86"/>
      <c r="E62" s="86"/>
      <c r="F62" s="86"/>
      <c r="G62" s="86"/>
      <c r="H62" s="86"/>
      <c r="I62" s="86"/>
      <c r="J62" s="86"/>
      <c r="K62" s="86"/>
      <c r="L62" s="86"/>
      <c r="M62" s="86"/>
      <c r="N62" s="86"/>
    </row>
    <row r="63" spans="1:16">
      <c r="A63" s="86"/>
      <c r="B63" s="86"/>
      <c r="C63" s="86"/>
      <c r="D63" s="86"/>
      <c r="E63" s="86"/>
      <c r="F63" s="86"/>
      <c r="G63" s="86"/>
      <c r="H63" s="86"/>
      <c r="I63" s="86"/>
      <c r="J63" s="86"/>
      <c r="K63" s="86"/>
      <c r="L63" s="86"/>
      <c r="M63" s="86"/>
      <c r="N63" s="86"/>
    </row>
    <row r="64" spans="1:16">
      <c r="A64" s="86"/>
      <c r="B64" s="86"/>
      <c r="C64" s="86"/>
      <c r="D64" s="86"/>
      <c r="E64" s="86"/>
      <c r="F64" s="86"/>
      <c r="G64" s="86"/>
      <c r="H64" s="86"/>
      <c r="I64" s="86"/>
      <c r="J64" s="86"/>
      <c r="K64" s="86"/>
      <c r="L64" s="86"/>
      <c r="M64" s="86"/>
      <c r="N64" s="86"/>
    </row>
    <row r="65" spans="1:14">
      <c r="A65" s="86"/>
      <c r="B65" s="86"/>
      <c r="C65" s="86"/>
      <c r="D65" s="86"/>
      <c r="E65" s="86"/>
      <c r="F65" s="86"/>
      <c r="G65" s="86"/>
      <c r="H65" s="86"/>
      <c r="I65" s="86"/>
      <c r="J65" s="86"/>
      <c r="K65" s="86"/>
      <c r="L65" s="86"/>
      <c r="M65" s="86"/>
      <c r="N65" s="86"/>
    </row>
    <row r="66" spans="1:14">
      <c r="A66" s="86"/>
      <c r="B66" s="86"/>
      <c r="C66" s="86"/>
      <c r="D66" s="86"/>
      <c r="E66" s="86"/>
      <c r="F66" s="86"/>
      <c r="G66" s="86"/>
      <c r="H66" s="86"/>
      <c r="I66" s="86"/>
      <c r="J66" s="86"/>
      <c r="K66" s="86"/>
      <c r="L66" s="86"/>
      <c r="M66" s="86"/>
      <c r="N66" s="86"/>
    </row>
    <row r="67" spans="1:14">
      <c r="A67" s="86"/>
      <c r="B67" s="86"/>
      <c r="C67" s="86"/>
      <c r="D67" s="86"/>
      <c r="E67" s="86"/>
      <c r="F67" s="86"/>
      <c r="G67" s="86"/>
      <c r="H67" s="86"/>
      <c r="I67" s="86"/>
      <c r="J67" s="86"/>
      <c r="K67" s="86"/>
      <c r="L67" s="86"/>
      <c r="M67" s="86"/>
      <c r="N67" s="86"/>
    </row>
    <row r="68" spans="1:14">
      <c r="A68" s="86"/>
      <c r="B68" s="86"/>
      <c r="C68" s="86"/>
      <c r="D68" s="86"/>
      <c r="E68" s="86"/>
      <c r="F68" s="86"/>
      <c r="G68" s="86"/>
      <c r="H68" s="86"/>
      <c r="I68" s="86"/>
      <c r="J68" s="86"/>
      <c r="K68" s="86"/>
      <c r="L68" s="86"/>
      <c r="M68" s="86"/>
      <c r="N68" s="86"/>
    </row>
    <row r="69" spans="1:14">
      <c r="A69" s="86"/>
      <c r="B69" s="86"/>
      <c r="C69" s="86"/>
      <c r="D69" s="86"/>
      <c r="E69" s="86"/>
      <c r="F69" s="86"/>
      <c r="G69" s="86"/>
      <c r="H69" s="86"/>
      <c r="I69" s="86"/>
      <c r="J69" s="86"/>
      <c r="K69" s="86"/>
      <c r="L69" s="86"/>
      <c r="M69" s="86"/>
      <c r="N69" s="86"/>
    </row>
    <row r="70" spans="1:14">
      <c r="A70" s="86"/>
      <c r="B70" s="86"/>
      <c r="C70" s="86"/>
      <c r="D70" s="86"/>
      <c r="E70" s="86"/>
      <c r="F70" s="86"/>
      <c r="G70" s="86"/>
      <c r="H70" s="86"/>
      <c r="I70" s="86"/>
      <c r="J70" s="86"/>
      <c r="K70" s="86"/>
      <c r="L70" s="86"/>
      <c r="M70" s="86"/>
      <c r="N70" s="86"/>
    </row>
    <row r="71" spans="1:14">
      <c r="A71" s="86"/>
      <c r="B71" s="86"/>
      <c r="C71" s="86"/>
      <c r="D71" s="86"/>
      <c r="E71" s="86"/>
      <c r="F71" s="86"/>
      <c r="G71" s="86"/>
      <c r="H71" s="86"/>
      <c r="I71" s="86"/>
      <c r="J71" s="86"/>
      <c r="K71" s="86"/>
      <c r="L71" s="86"/>
      <c r="M71" s="86"/>
      <c r="N71" s="86"/>
    </row>
    <row r="72" spans="1:14">
      <c r="A72" s="86"/>
      <c r="B72" s="86"/>
      <c r="C72" s="86"/>
      <c r="D72" s="86"/>
      <c r="E72" s="86"/>
      <c r="F72" s="86"/>
      <c r="G72" s="86"/>
      <c r="H72" s="86"/>
      <c r="I72" s="86"/>
      <c r="J72" s="86"/>
      <c r="K72" s="86"/>
      <c r="L72" s="86"/>
      <c r="M72" s="86"/>
      <c r="N72" s="86"/>
    </row>
    <row r="73" spans="1:14">
      <c r="A73" s="86"/>
      <c r="B73" s="86"/>
      <c r="C73" s="86"/>
      <c r="D73" s="86"/>
      <c r="E73" s="86"/>
      <c r="F73" s="86"/>
      <c r="G73" s="86"/>
      <c r="H73" s="86"/>
      <c r="I73" s="86"/>
      <c r="J73" s="86"/>
      <c r="K73" s="86"/>
      <c r="L73" s="86"/>
      <c r="M73" s="86"/>
      <c r="N73" s="86"/>
    </row>
  </sheetData>
  <phoneticPr fontId="0" type="noConversion"/>
  <pageMargins left="0.4" right="0.4" top="0.3" bottom="0.3" header="0.5" footer="0.5"/>
  <pageSetup scale="81" orientation="portrait" r:id="rId1"/>
  <headerFooter alignWithMargins="0"/>
  <colBreaks count="1" manualBreakCount="1">
    <brk id="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ransitionEvaluation="1" codeName="Sheet50"/>
  <dimension ref="A1:P122"/>
  <sheetViews>
    <sheetView defaultGridColor="0" colorId="22" zoomScale="85" zoomScaleNormal="85" workbookViewId="0">
      <pane xSplit="2" ySplit="12" topLeftCell="C28" activePane="bottomRight" state="frozen"/>
      <selection activeCell="R36" sqref="R36"/>
      <selection pane="topRight" activeCell="R36" sqref="R36"/>
      <selection pane="bottomLeft" activeCell="R36" sqref="R36"/>
      <selection pane="bottomRight" activeCell="O53" sqref="O53:P54"/>
    </sheetView>
  </sheetViews>
  <sheetFormatPr defaultColWidth="9.77734375" defaultRowHeight="15"/>
  <cols>
    <col min="1" max="1" width="4.77734375" customWidth="1"/>
    <col min="2" max="2" width="45.77734375" customWidth="1"/>
    <col min="3" max="3" width="20.77734375" customWidth="1"/>
    <col min="4" max="5" width="15.77734375" customWidth="1"/>
    <col min="6" max="7" width="18.77734375" customWidth="1"/>
    <col min="8" max="12" width="12.77734375" customWidth="1"/>
    <col min="13" max="13" width="4.77734375" customWidth="1"/>
    <col min="14" max="14" width="5" bestFit="1" customWidth="1"/>
    <col min="15" max="15" width="11.6640625" bestFit="1" customWidth="1"/>
    <col min="16" max="16" width="14" bestFit="1" customWidth="1"/>
  </cols>
  <sheetData>
    <row r="1" spans="1:13" ht="15.75" thickBot="1">
      <c r="A1" t="str">
        <f>'Data sheet'!A57</f>
        <v>Annual Report of Veolia Water New York, Inc.                                              Year Ended  December 31, 2023</v>
      </c>
      <c r="F1" t="str">
        <f>'Data sheet'!A57</f>
        <v>Annual Report of Veolia Water New York, Inc.                                              Year Ended  December 31, 2023</v>
      </c>
    </row>
    <row r="2" spans="1:13">
      <c r="A2" s="129"/>
      <c r="B2" s="130"/>
      <c r="C2" s="130"/>
      <c r="D2" s="130"/>
      <c r="E2" s="131"/>
      <c r="F2" s="129"/>
      <c r="G2" s="130"/>
      <c r="H2" s="130"/>
      <c r="I2" s="130"/>
      <c r="J2" s="130"/>
      <c r="K2" s="81"/>
      <c r="L2" s="130"/>
      <c r="M2" s="131"/>
    </row>
    <row r="3" spans="1:13" ht="15.75">
      <c r="A3" s="118" t="s">
        <v>1721</v>
      </c>
      <c r="B3" s="5"/>
      <c r="C3" s="5"/>
      <c r="D3" s="5"/>
      <c r="E3" s="132"/>
      <c r="F3" s="118" t="s">
        <v>1721</v>
      </c>
      <c r="G3" s="5"/>
      <c r="H3" s="5"/>
      <c r="I3" s="5"/>
      <c r="J3" s="5"/>
      <c r="K3" s="4"/>
      <c r="L3" s="5"/>
      <c r="M3" s="132"/>
    </row>
    <row r="4" spans="1:13">
      <c r="A4" s="97"/>
      <c r="B4" s="98"/>
      <c r="C4" s="98"/>
      <c r="D4" s="128"/>
      <c r="E4" s="225"/>
      <c r="F4" s="97"/>
      <c r="G4" s="98"/>
      <c r="H4" s="98"/>
      <c r="I4" s="128"/>
      <c r="J4" s="224"/>
      <c r="K4" s="98"/>
      <c r="L4" s="224"/>
      <c r="M4" s="101"/>
    </row>
    <row r="5" spans="1:13">
      <c r="A5" s="85" t="s">
        <v>237</v>
      </c>
      <c r="B5" s="86"/>
      <c r="C5" s="86"/>
      <c r="D5" s="86"/>
      <c r="E5" s="87"/>
      <c r="F5" s="85" t="s">
        <v>238</v>
      </c>
      <c r="G5" s="86"/>
      <c r="H5" s="86"/>
      <c r="I5" s="86"/>
      <c r="J5" s="86"/>
      <c r="K5" s="86"/>
      <c r="L5" s="86"/>
      <c r="M5" s="87"/>
    </row>
    <row r="6" spans="1:13">
      <c r="A6" s="85"/>
      <c r="B6" s="86"/>
      <c r="C6" s="86"/>
      <c r="D6" s="86"/>
      <c r="E6" s="87"/>
      <c r="F6" s="85"/>
      <c r="G6" s="86"/>
      <c r="H6" s="86"/>
      <c r="I6" s="86"/>
      <c r="J6" s="86"/>
      <c r="K6" s="86"/>
      <c r="L6" s="86"/>
      <c r="M6" s="87"/>
    </row>
    <row r="7" spans="1:13">
      <c r="A7" s="85" t="s">
        <v>3924</v>
      </c>
      <c r="B7" s="86"/>
      <c r="C7" s="86"/>
      <c r="D7" s="86"/>
      <c r="E7" s="87"/>
      <c r="F7" s="85"/>
      <c r="G7" s="86"/>
      <c r="H7" s="86"/>
      <c r="I7" s="86"/>
      <c r="J7" s="86"/>
      <c r="K7" s="86"/>
      <c r="L7" s="86"/>
      <c r="M7" s="87"/>
    </row>
    <row r="8" spans="1:13">
      <c r="A8" s="480"/>
      <c r="B8" s="90"/>
      <c r="C8" s="137"/>
      <c r="D8" s="618" t="s">
        <v>3925</v>
      </c>
      <c r="E8" s="478"/>
      <c r="F8" s="619" t="s">
        <v>3925</v>
      </c>
      <c r="G8" s="477"/>
      <c r="H8" s="618" t="s">
        <v>3458</v>
      </c>
      <c r="I8" s="477"/>
      <c r="J8" s="477"/>
      <c r="K8" s="477"/>
      <c r="L8" s="137"/>
      <c r="M8" s="593"/>
    </row>
    <row r="9" spans="1:13">
      <c r="A9" s="237"/>
      <c r="B9" s="86"/>
      <c r="C9" s="620" t="s">
        <v>1625</v>
      </c>
      <c r="D9" s="620" t="s">
        <v>1150</v>
      </c>
      <c r="E9" s="363" t="s">
        <v>1150</v>
      </c>
      <c r="F9" s="110" t="s">
        <v>1150</v>
      </c>
      <c r="G9" s="620" t="s">
        <v>1150</v>
      </c>
      <c r="H9" s="621" t="s">
        <v>3459</v>
      </c>
      <c r="I9" s="98"/>
      <c r="J9" s="149" t="s">
        <v>3460</v>
      </c>
      <c r="K9" s="98"/>
      <c r="L9" s="620" t="s">
        <v>1625</v>
      </c>
      <c r="M9" s="363"/>
    </row>
    <row r="10" spans="1:13">
      <c r="A10" s="237" t="s">
        <v>1727</v>
      </c>
      <c r="B10" s="94" t="s">
        <v>4315</v>
      </c>
      <c r="C10" s="620" t="s">
        <v>3962</v>
      </c>
      <c r="D10" s="620" t="s">
        <v>3461</v>
      </c>
      <c r="E10" s="363" t="s">
        <v>3462</v>
      </c>
      <c r="F10" s="110" t="s">
        <v>3461</v>
      </c>
      <c r="G10" s="620" t="s">
        <v>3462</v>
      </c>
      <c r="H10" s="620" t="s">
        <v>3463</v>
      </c>
      <c r="I10" s="142"/>
      <c r="J10" s="620" t="s">
        <v>3463</v>
      </c>
      <c r="K10" s="142"/>
      <c r="L10" s="620" t="s">
        <v>1627</v>
      </c>
      <c r="M10" s="363" t="s">
        <v>1727</v>
      </c>
    </row>
    <row r="11" spans="1:13">
      <c r="A11" s="237" t="s">
        <v>1739</v>
      </c>
      <c r="B11" s="86"/>
      <c r="C11" s="620" t="s">
        <v>1689</v>
      </c>
      <c r="D11" s="620" t="s">
        <v>3464</v>
      </c>
      <c r="E11" s="363" t="s">
        <v>3465</v>
      </c>
      <c r="F11" s="110" t="s">
        <v>3747</v>
      </c>
      <c r="G11" s="620" t="s">
        <v>1379</v>
      </c>
      <c r="H11" s="134" t="s">
        <v>1380</v>
      </c>
      <c r="I11" s="620" t="s">
        <v>1291</v>
      </c>
      <c r="J11" s="134" t="s">
        <v>1381</v>
      </c>
      <c r="K11" s="620" t="s">
        <v>1291</v>
      </c>
      <c r="L11" s="142"/>
      <c r="M11" s="363" t="s">
        <v>1739</v>
      </c>
    </row>
    <row r="12" spans="1:13">
      <c r="A12" s="240"/>
      <c r="B12" s="996" t="s">
        <v>3279</v>
      </c>
      <c r="C12" s="621" t="s">
        <v>3280</v>
      </c>
      <c r="D12" s="621" t="s">
        <v>3281</v>
      </c>
      <c r="E12" s="367" t="s">
        <v>3282</v>
      </c>
      <c r="F12" s="364" t="s">
        <v>721</v>
      </c>
      <c r="G12" s="621" t="s">
        <v>722</v>
      </c>
      <c r="H12" s="621" t="s">
        <v>723</v>
      </c>
      <c r="I12" s="621" t="s">
        <v>335</v>
      </c>
      <c r="J12" s="621" t="s">
        <v>336</v>
      </c>
      <c r="K12" s="621" t="s">
        <v>337</v>
      </c>
      <c r="L12" s="621" t="s">
        <v>338</v>
      </c>
      <c r="M12" s="367"/>
    </row>
    <row r="13" spans="1:13">
      <c r="A13" s="240">
        <v>1</v>
      </c>
      <c r="B13" s="98" t="s">
        <v>2002</v>
      </c>
      <c r="C13" s="648"/>
      <c r="D13" s="649"/>
      <c r="E13" s="650"/>
      <c r="F13" s="651"/>
      <c r="G13" s="649"/>
      <c r="H13" s="649"/>
      <c r="I13" s="649"/>
      <c r="J13" s="649"/>
      <c r="K13" s="649"/>
      <c r="L13" s="649"/>
      <c r="M13" s="376">
        <v>1</v>
      </c>
    </row>
    <row r="14" spans="1:13">
      <c r="A14" s="240">
        <f t="shared" ref="A14:A22" si="0">A13+1</f>
        <v>2</v>
      </c>
      <c r="B14" s="98" t="s">
        <v>1008</v>
      </c>
      <c r="C14" s="652" t="s">
        <v>233</v>
      </c>
      <c r="D14" s="653" t="s">
        <v>233</v>
      </c>
      <c r="E14" s="654" t="s">
        <v>218</v>
      </c>
      <c r="F14" s="637"/>
      <c r="G14" s="653"/>
      <c r="H14" s="655" t="s">
        <v>218</v>
      </c>
      <c r="I14" s="653" t="s">
        <v>218</v>
      </c>
      <c r="J14" s="655"/>
      <c r="K14" s="653"/>
      <c r="L14" s="653" t="s">
        <v>218</v>
      </c>
      <c r="M14" s="367">
        <f t="shared" ref="M14:M22" si="1">M13+1</f>
        <v>2</v>
      </c>
    </row>
    <row r="15" spans="1:13">
      <c r="A15" s="240">
        <f t="shared" si="0"/>
        <v>3</v>
      </c>
      <c r="B15" s="98" t="s">
        <v>2003</v>
      </c>
      <c r="C15" s="378">
        <v>0</v>
      </c>
      <c r="D15" s="378"/>
      <c r="E15" s="490"/>
      <c r="F15" s="380"/>
      <c r="G15" s="378"/>
      <c r="H15" s="656"/>
      <c r="I15" s="378"/>
      <c r="J15" s="656"/>
      <c r="K15" s="378"/>
      <c r="L15" s="412">
        <f>C15+D15-E15+F15-G15-I15+K15</f>
        <v>0</v>
      </c>
      <c r="M15" s="367">
        <f t="shared" si="1"/>
        <v>3</v>
      </c>
    </row>
    <row r="16" spans="1:13">
      <c r="A16" s="240">
        <f t="shared" si="0"/>
        <v>4</v>
      </c>
      <c r="B16" s="98" t="s">
        <v>2004</v>
      </c>
      <c r="C16" s="382"/>
      <c r="D16" s="382"/>
      <c r="E16" s="391"/>
      <c r="F16" s="384"/>
      <c r="G16" s="382"/>
      <c r="H16" s="1775"/>
      <c r="I16" s="382"/>
      <c r="J16" s="656"/>
      <c r="K16" s="382"/>
      <c r="L16" s="410">
        <f>C16+D16-E16+F16-G16-I16+K16</f>
        <v>0</v>
      </c>
      <c r="M16" s="367">
        <f t="shared" si="1"/>
        <v>4</v>
      </c>
    </row>
    <row r="17" spans="1:13">
      <c r="A17" s="240">
        <f t="shared" si="0"/>
        <v>5</v>
      </c>
      <c r="B17" s="98" t="s">
        <v>1737</v>
      </c>
      <c r="C17" s="382"/>
      <c r="D17" s="382"/>
      <c r="E17" s="391"/>
      <c r="F17" s="384"/>
      <c r="G17" s="382"/>
      <c r="H17" s="656"/>
      <c r="I17" s="382"/>
      <c r="J17" s="656"/>
      <c r="K17" s="382"/>
      <c r="L17" s="410">
        <f>C17+D17-E17+F17-G17-I17+K17</f>
        <v>0</v>
      </c>
      <c r="M17" s="367">
        <f t="shared" si="1"/>
        <v>5</v>
      </c>
    </row>
    <row r="18" spans="1:13">
      <c r="A18" s="240">
        <f t="shared" si="0"/>
        <v>6</v>
      </c>
      <c r="B18" s="98"/>
      <c r="C18" s="382"/>
      <c r="D18" s="382"/>
      <c r="E18" s="391"/>
      <c r="F18" s="384"/>
      <c r="G18" s="382"/>
      <c r="H18" s="656"/>
      <c r="I18" s="382"/>
      <c r="J18" s="656"/>
      <c r="K18" s="382"/>
      <c r="L18" s="410">
        <f>C18+D18-E18+F18-G18-I18+K18</f>
        <v>0</v>
      </c>
      <c r="M18" s="367">
        <f t="shared" si="1"/>
        <v>6</v>
      </c>
    </row>
    <row r="19" spans="1:13">
      <c r="A19" s="240">
        <f t="shared" si="0"/>
        <v>7</v>
      </c>
      <c r="B19" s="98" t="s">
        <v>233</v>
      </c>
      <c r="C19" s="382"/>
      <c r="D19" s="382"/>
      <c r="E19" s="391"/>
      <c r="F19" s="384"/>
      <c r="G19" s="382"/>
      <c r="H19" s="656"/>
      <c r="I19" s="382"/>
      <c r="J19" s="656"/>
      <c r="K19" s="382"/>
      <c r="L19" s="410">
        <f>C19+D19-E19+F19-G19-I19+K19</f>
        <v>0</v>
      </c>
      <c r="M19" s="367">
        <f t="shared" si="1"/>
        <v>7</v>
      </c>
    </row>
    <row r="20" spans="1:13">
      <c r="A20" s="240">
        <f t="shared" si="0"/>
        <v>8</v>
      </c>
      <c r="B20" s="98" t="s">
        <v>2005</v>
      </c>
      <c r="C20" s="382">
        <f>SUM(C15:C19)</f>
        <v>0</v>
      </c>
      <c r="D20" s="382">
        <f>SUM(D15:D19)</f>
        <v>0</v>
      </c>
      <c r="E20" s="391">
        <f>SUM(E15:E19)</f>
        <v>0</v>
      </c>
      <c r="F20" s="384">
        <f>SUM(F15:F19)</f>
        <v>0</v>
      </c>
      <c r="G20" s="382">
        <f>SUM(G15:G19)</f>
        <v>0</v>
      </c>
      <c r="H20" s="656"/>
      <c r="I20" s="382"/>
      <c r="J20" s="656"/>
      <c r="K20" s="382">
        <f>SUM(K15:K19)</f>
        <v>0</v>
      </c>
      <c r="L20" s="410">
        <f>SUM(L15:L19)</f>
        <v>0</v>
      </c>
      <c r="M20" s="367">
        <f t="shared" si="1"/>
        <v>8</v>
      </c>
    </row>
    <row r="21" spans="1:13">
      <c r="A21" s="240">
        <f t="shared" si="0"/>
        <v>9</v>
      </c>
      <c r="B21" s="98" t="s">
        <v>1007</v>
      </c>
      <c r="C21" s="382"/>
      <c r="D21" s="382"/>
      <c r="E21" s="391"/>
      <c r="F21" s="384"/>
      <c r="G21" s="382"/>
      <c r="H21" s="656"/>
      <c r="I21" s="382"/>
      <c r="J21" s="656"/>
      <c r="K21" s="382"/>
      <c r="L21" s="410">
        <f>C21+D21-E21+F21-G21-I21+K21</f>
        <v>0</v>
      </c>
      <c r="M21" s="367">
        <f t="shared" si="1"/>
        <v>9</v>
      </c>
    </row>
    <row r="22" spans="1:13">
      <c r="A22" s="240">
        <f t="shared" si="0"/>
        <v>10</v>
      </c>
      <c r="B22" s="98" t="s">
        <v>3955</v>
      </c>
      <c r="C22" s="378">
        <f>C20+C21</f>
        <v>0</v>
      </c>
      <c r="D22" s="378">
        <f>D20+D21</f>
        <v>0</v>
      </c>
      <c r="E22" s="490">
        <f>E20+E21</f>
        <v>0</v>
      </c>
      <c r="F22" s="380">
        <f>F20+F21</f>
        <v>0</v>
      </c>
      <c r="G22" s="378">
        <f>G20+G21</f>
        <v>0</v>
      </c>
      <c r="H22" s="656"/>
      <c r="I22" s="378">
        <f>I20+I21</f>
        <v>0</v>
      </c>
      <c r="J22" s="656"/>
      <c r="K22" s="378">
        <f>K20+K21</f>
        <v>0</v>
      </c>
      <c r="L22" s="412">
        <f>L20+L21</f>
        <v>0</v>
      </c>
      <c r="M22" s="367">
        <f t="shared" si="1"/>
        <v>10</v>
      </c>
    </row>
    <row r="23" spans="1:13">
      <c r="A23" s="240"/>
      <c r="B23" s="98"/>
      <c r="C23" s="648"/>
      <c r="D23" s="649"/>
      <c r="E23" s="650"/>
      <c r="F23" s="651"/>
      <c r="G23" s="649"/>
      <c r="H23" s="649"/>
      <c r="I23" s="649"/>
      <c r="J23" s="649"/>
      <c r="K23" s="649"/>
      <c r="L23" s="649"/>
      <c r="M23" s="367"/>
    </row>
    <row r="24" spans="1:13">
      <c r="A24" s="240" t="s">
        <v>218</v>
      </c>
      <c r="B24" s="98" t="s">
        <v>3956</v>
      </c>
      <c r="C24" s="644"/>
      <c r="D24" s="633"/>
      <c r="E24" s="657"/>
      <c r="F24" s="658"/>
      <c r="G24" s="633"/>
      <c r="H24" s="633"/>
      <c r="I24" s="633"/>
      <c r="J24" s="633"/>
      <c r="K24" s="633"/>
      <c r="L24" s="633"/>
      <c r="M24" s="367" t="s">
        <v>218</v>
      </c>
    </row>
    <row r="25" spans="1:13">
      <c r="A25" s="240">
        <v>11</v>
      </c>
      <c r="B25" s="98" t="s">
        <v>1008</v>
      </c>
      <c r="C25" s="652" t="s">
        <v>233</v>
      </c>
      <c r="D25" s="653" t="s">
        <v>233</v>
      </c>
      <c r="E25" s="654" t="s">
        <v>218</v>
      </c>
      <c r="F25" s="637"/>
      <c r="G25" s="653"/>
      <c r="H25" s="655" t="s">
        <v>218</v>
      </c>
      <c r="I25" s="653" t="s">
        <v>218</v>
      </c>
      <c r="J25" s="655"/>
      <c r="K25" s="653"/>
      <c r="L25" s="653" t="s">
        <v>218</v>
      </c>
      <c r="M25" s="367">
        <v>11</v>
      </c>
    </row>
    <row r="26" spans="1:13">
      <c r="A26" s="240">
        <f t="shared" ref="A26:A33" si="2">A25+1</f>
        <v>12</v>
      </c>
      <c r="B26" s="98"/>
      <c r="C26" s="378">
        <v>62001779.879999995</v>
      </c>
      <c r="D26" s="382">
        <v>4433639</v>
      </c>
      <c r="E26" s="382">
        <v>480304</v>
      </c>
      <c r="F26" s="380"/>
      <c r="G26" s="378"/>
      <c r="H26" s="1775"/>
      <c r="I26" s="378"/>
      <c r="J26" s="1775"/>
      <c r="K26" s="378"/>
      <c r="L26" s="412">
        <f>C26+D26-E26+F26-G26-I26+K26</f>
        <v>65955114.879999995</v>
      </c>
      <c r="M26" s="367">
        <f t="shared" ref="M26:M33" si="3">M25+1</f>
        <v>12</v>
      </c>
    </row>
    <row r="27" spans="1:13">
      <c r="A27" s="240">
        <f t="shared" si="2"/>
        <v>13</v>
      </c>
      <c r="B27" s="98"/>
      <c r="C27" s="382"/>
      <c r="D27" s="382"/>
      <c r="E27" s="382"/>
      <c r="F27" s="384"/>
      <c r="G27" s="382"/>
      <c r="H27" s="656"/>
      <c r="I27" s="656"/>
      <c r="J27" s="656"/>
      <c r="K27" s="378"/>
      <c r="L27" s="410">
        <f>C27+D27-E27+F27-G27-I27+K27</f>
        <v>0</v>
      </c>
      <c r="M27" s="367">
        <f t="shared" si="3"/>
        <v>13</v>
      </c>
    </row>
    <row r="28" spans="1:13">
      <c r="A28" s="240">
        <f t="shared" si="2"/>
        <v>14</v>
      </c>
      <c r="B28" s="98"/>
      <c r="C28" s="382"/>
      <c r="D28" s="382"/>
      <c r="E28" s="391"/>
      <c r="F28" s="384"/>
      <c r="G28" s="382"/>
      <c r="H28" s="656"/>
      <c r="I28" s="382"/>
      <c r="J28" s="656"/>
      <c r="K28" s="382"/>
      <c r="L28" s="410">
        <f>C28+D28-E28+F28-G28-I28+K28</f>
        <v>0</v>
      </c>
      <c r="M28" s="367">
        <f t="shared" si="3"/>
        <v>14</v>
      </c>
    </row>
    <row r="29" spans="1:13">
      <c r="A29" s="240">
        <f t="shared" si="2"/>
        <v>15</v>
      </c>
      <c r="B29" s="98"/>
      <c r="C29" s="382"/>
      <c r="D29" s="382"/>
      <c r="E29" s="391"/>
      <c r="F29" s="384"/>
      <c r="G29" s="382"/>
      <c r="H29" s="656"/>
      <c r="I29" s="382"/>
      <c r="J29" s="656"/>
      <c r="K29" s="382"/>
      <c r="L29" s="410">
        <f>C29+D29-E29+F29-G29-I29+K29</f>
        <v>0</v>
      </c>
      <c r="M29" s="367">
        <f t="shared" si="3"/>
        <v>15</v>
      </c>
    </row>
    <row r="30" spans="1:13">
      <c r="A30" s="240">
        <f t="shared" si="2"/>
        <v>16</v>
      </c>
      <c r="B30" s="98" t="s">
        <v>233</v>
      </c>
      <c r="C30" s="382"/>
      <c r="D30" s="382"/>
      <c r="E30" s="391"/>
      <c r="F30" s="384"/>
      <c r="G30" s="382"/>
      <c r="H30" s="656"/>
      <c r="I30" s="382"/>
      <c r="J30" s="1775"/>
      <c r="K30" s="382"/>
      <c r="L30" s="410">
        <f>C30+D30-E30+F30-G30-I30+K30</f>
        <v>0</v>
      </c>
      <c r="M30" s="367">
        <f t="shared" si="3"/>
        <v>16</v>
      </c>
    </row>
    <row r="31" spans="1:13">
      <c r="A31" s="240">
        <f t="shared" si="2"/>
        <v>17</v>
      </c>
      <c r="B31" s="98" t="s">
        <v>3957</v>
      </c>
      <c r="C31" s="382">
        <f>SUM(C26:C30)</f>
        <v>62001779.879999995</v>
      </c>
      <c r="D31" s="382">
        <f>SUM(D26:D30)</f>
        <v>4433639</v>
      </c>
      <c r="E31" s="391">
        <f>SUM(E26:E30)</f>
        <v>480304</v>
      </c>
      <c r="F31" s="384">
        <f>SUM(F26:F30)</f>
        <v>0</v>
      </c>
      <c r="G31" s="382">
        <f>SUM(G26:G30)</f>
        <v>0</v>
      </c>
      <c r="H31" s="656"/>
      <c r="I31" s="382">
        <f>SUM(I26:I30)</f>
        <v>0</v>
      </c>
      <c r="J31" s="656"/>
      <c r="K31" s="382">
        <f>SUM(K26:K30)</f>
        <v>0</v>
      </c>
      <c r="L31" s="410">
        <f>SUM(L26:L30)</f>
        <v>65955114.879999995</v>
      </c>
      <c r="M31" s="367">
        <f t="shared" si="3"/>
        <v>17</v>
      </c>
    </row>
    <row r="32" spans="1:13">
      <c r="A32" s="240">
        <f t="shared" si="2"/>
        <v>18</v>
      </c>
      <c r="B32" s="98" t="s">
        <v>3647</v>
      </c>
      <c r="C32" s="382">
        <v>1311252.72</v>
      </c>
      <c r="D32" s="382">
        <v>0</v>
      </c>
      <c r="E32" s="391">
        <v>218541.95999999996</v>
      </c>
      <c r="F32" s="384"/>
      <c r="G32" s="382"/>
      <c r="H32" s="1775"/>
      <c r="I32" s="382"/>
      <c r="J32" s="1775"/>
      <c r="K32" s="382"/>
      <c r="L32" s="410">
        <f>C32+D32-E32+F32-G32-I32+K32</f>
        <v>1092710.76</v>
      </c>
      <c r="M32" s="367">
        <f t="shared" si="3"/>
        <v>18</v>
      </c>
    </row>
    <row r="33" spans="1:16">
      <c r="A33" s="240">
        <f t="shared" si="2"/>
        <v>19</v>
      </c>
      <c r="B33" s="98" t="s">
        <v>3958</v>
      </c>
      <c r="C33" s="378">
        <f>C31+C32</f>
        <v>63313032.599999994</v>
      </c>
      <c r="D33" s="378">
        <f>D31+D32</f>
        <v>4433639</v>
      </c>
      <c r="E33" s="490">
        <f>E31+E32</f>
        <v>698845.96</v>
      </c>
      <c r="F33" s="380">
        <f>F31+F32</f>
        <v>0</v>
      </c>
      <c r="G33" s="378">
        <f>G31+G32</f>
        <v>0</v>
      </c>
      <c r="H33" s="656"/>
      <c r="I33" s="378">
        <f>I31+I32</f>
        <v>0</v>
      </c>
      <c r="J33" s="656"/>
      <c r="K33" s="378">
        <f>K31+K32</f>
        <v>0</v>
      </c>
      <c r="L33" s="412">
        <f>L31+L32</f>
        <v>67047825.639999993</v>
      </c>
      <c r="M33" s="367">
        <f t="shared" si="3"/>
        <v>19</v>
      </c>
    </row>
    <row r="34" spans="1:16">
      <c r="A34" s="237"/>
      <c r="B34" s="98"/>
      <c r="C34" s="648"/>
      <c r="D34" s="649"/>
      <c r="E34" s="650"/>
      <c r="F34" s="651"/>
      <c r="G34" s="649"/>
      <c r="H34" s="649"/>
      <c r="I34" s="649"/>
      <c r="J34" s="649"/>
      <c r="K34" s="649"/>
      <c r="L34" s="649"/>
      <c r="M34" s="363"/>
    </row>
    <row r="35" spans="1:16">
      <c r="A35" s="480">
        <v>20</v>
      </c>
      <c r="B35" s="98" t="s">
        <v>3959</v>
      </c>
      <c r="C35" s="644"/>
      <c r="D35" s="633"/>
      <c r="E35" s="657"/>
      <c r="F35" s="658"/>
      <c r="G35" s="633"/>
      <c r="H35" s="633"/>
      <c r="I35" s="633"/>
      <c r="J35" s="633"/>
      <c r="K35" s="633"/>
      <c r="L35" s="633"/>
      <c r="M35" s="593">
        <v>20</v>
      </c>
    </row>
    <row r="36" spans="1:16">
      <c r="A36" s="480">
        <f t="shared" ref="A36:A47" si="4">A35+1</f>
        <v>21</v>
      </c>
      <c r="B36" s="98" t="s">
        <v>1008</v>
      </c>
      <c r="C36" s="652" t="s">
        <v>233</v>
      </c>
      <c r="D36" s="653" t="s">
        <v>233</v>
      </c>
      <c r="E36" s="654" t="s">
        <v>218</v>
      </c>
      <c r="F36" s="637"/>
      <c r="G36" s="653"/>
      <c r="H36" s="655" t="s">
        <v>218</v>
      </c>
      <c r="I36" s="653" t="s">
        <v>218</v>
      </c>
      <c r="J36" s="655"/>
      <c r="K36" s="653"/>
      <c r="L36" s="653" t="s">
        <v>218</v>
      </c>
      <c r="M36" s="593">
        <f t="shared" ref="M36:M47" si="5">M35+1</f>
        <v>21</v>
      </c>
    </row>
    <row r="37" spans="1:16">
      <c r="A37" s="480">
        <f t="shared" si="4"/>
        <v>22</v>
      </c>
      <c r="B37" s="98"/>
      <c r="C37" s="378">
        <v>-6627715.7400000012</v>
      </c>
      <c r="D37" s="382">
        <v>1595577.45</v>
      </c>
      <c r="E37" s="391">
        <v>1016722</v>
      </c>
      <c r="F37" s="380"/>
      <c r="G37" s="378"/>
      <c r="H37" s="1775"/>
      <c r="I37" s="378"/>
      <c r="J37" s="1775"/>
      <c r="K37" s="378"/>
      <c r="L37" s="412">
        <f t="shared" ref="L37:L44" si="6">C37+D37-E37+F37-G37-I37+K37</f>
        <v>-6048860.290000001</v>
      </c>
      <c r="M37" s="593">
        <f t="shared" si="5"/>
        <v>22</v>
      </c>
      <c r="P37" s="136"/>
    </row>
    <row r="38" spans="1:16">
      <c r="A38" s="480">
        <f t="shared" si="4"/>
        <v>23</v>
      </c>
      <c r="B38" s="98"/>
      <c r="C38" s="382"/>
      <c r="D38" s="382"/>
      <c r="E38" s="391"/>
      <c r="F38" s="384"/>
      <c r="G38" s="382"/>
      <c r="H38" s="656"/>
      <c r="I38" s="378"/>
      <c r="J38" s="1775"/>
      <c r="K38" s="378"/>
      <c r="L38" s="410">
        <f t="shared" si="6"/>
        <v>0</v>
      </c>
      <c r="M38" s="593">
        <f t="shared" si="5"/>
        <v>23</v>
      </c>
      <c r="O38" s="136"/>
    </row>
    <row r="39" spans="1:16">
      <c r="A39" s="480">
        <f t="shared" si="4"/>
        <v>24</v>
      </c>
      <c r="B39" s="98"/>
      <c r="C39" s="382"/>
      <c r="D39" s="382"/>
      <c r="E39" s="490"/>
      <c r="F39" s="384"/>
      <c r="G39" s="382"/>
      <c r="H39" s="656"/>
      <c r="I39" s="378"/>
      <c r="J39" s="1775"/>
      <c r="K39" s="378"/>
      <c r="L39" s="410">
        <f t="shared" si="6"/>
        <v>0</v>
      </c>
      <c r="M39" s="593">
        <f t="shared" si="5"/>
        <v>24</v>
      </c>
    </row>
    <row r="40" spans="1:16">
      <c r="A40" s="480">
        <f t="shared" si="4"/>
        <v>25</v>
      </c>
      <c r="B40" s="98"/>
      <c r="C40" s="382"/>
      <c r="D40" s="382"/>
      <c r="E40" s="391"/>
      <c r="F40" s="384"/>
      <c r="G40" s="382"/>
      <c r="H40" s="656"/>
      <c r="I40" s="382"/>
      <c r="J40" s="656"/>
      <c r="K40" s="382"/>
      <c r="L40" s="410">
        <f t="shared" si="6"/>
        <v>0</v>
      </c>
      <c r="M40" s="593">
        <f t="shared" si="5"/>
        <v>25</v>
      </c>
    </row>
    <row r="41" spans="1:16">
      <c r="A41" s="480">
        <f t="shared" si="4"/>
        <v>26</v>
      </c>
      <c r="B41" s="98"/>
      <c r="C41" s="382"/>
      <c r="D41" s="382"/>
      <c r="E41" s="391"/>
      <c r="F41" s="384"/>
      <c r="G41" s="382"/>
      <c r="H41" s="656"/>
      <c r="I41" s="382"/>
      <c r="J41" s="656"/>
      <c r="K41" s="382"/>
      <c r="L41" s="410">
        <f t="shared" si="6"/>
        <v>0</v>
      </c>
      <c r="M41" s="593">
        <f t="shared" si="5"/>
        <v>26</v>
      </c>
    </row>
    <row r="42" spans="1:16">
      <c r="A42" s="480">
        <f t="shared" si="4"/>
        <v>27</v>
      </c>
      <c r="B42" s="98"/>
      <c r="C42" s="382"/>
      <c r="D42" s="382"/>
      <c r="E42" s="391"/>
      <c r="F42" s="384"/>
      <c r="G42" s="382"/>
      <c r="H42" s="656"/>
      <c r="I42" s="382"/>
      <c r="J42" s="656"/>
      <c r="K42" s="382"/>
      <c r="L42" s="410">
        <f t="shared" si="6"/>
        <v>0</v>
      </c>
      <c r="M42" s="593">
        <f t="shared" si="5"/>
        <v>27</v>
      </c>
    </row>
    <row r="43" spans="1:16">
      <c r="A43" s="480">
        <f t="shared" si="4"/>
        <v>28</v>
      </c>
      <c r="B43" s="98"/>
      <c r="C43" s="382"/>
      <c r="D43" s="382"/>
      <c r="E43" s="391"/>
      <c r="F43" s="384"/>
      <c r="G43" s="382"/>
      <c r="H43" s="656"/>
      <c r="I43" s="382"/>
      <c r="J43" s="656"/>
      <c r="K43" s="382"/>
      <c r="L43" s="410">
        <f t="shared" si="6"/>
        <v>0</v>
      </c>
      <c r="M43" s="593">
        <f t="shared" si="5"/>
        <v>28</v>
      </c>
    </row>
    <row r="44" spans="1:16">
      <c r="A44" s="480">
        <f t="shared" si="4"/>
        <v>29</v>
      </c>
      <c r="B44" s="98" t="s">
        <v>233</v>
      </c>
      <c r="C44" s="382"/>
      <c r="D44" s="382"/>
      <c r="E44" s="391"/>
      <c r="F44" s="384"/>
      <c r="G44" s="382"/>
      <c r="H44" s="656"/>
      <c r="I44" s="382"/>
      <c r="J44" s="656"/>
      <c r="K44" s="382"/>
      <c r="L44" s="410">
        <f t="shared" si="6"/>
        <v>0</v>
      </c>
      <c r="M44" s="593">
        <f t="shared" si="5"/>
        <v>29</v>
      </c>
    </row>
    <row r="45" spans="1:16">
      <c r="A45" s="480">
        <f t="shared" si="4"/>
        <v>30</v>
      </c>
      <c r="B45" s="98" t="s">
        <v>4166</v>
      </c>
      <c r="C45" s="382">
        <f>SUM(C37:C44)</f>
        <v>-6627715.7400000012</v>
      </c>
      <c r="D45" s="382">
        <f>SUM(D37:D44)</f>
        <v>1595577.45</v>
      </c>
      <c r="E45" s="391">
        <f>SUM(E37:E44)</f>
        <v>1016722</v>
      </c>
      <c r="F45" s="384">
        <f>SUM(F37:F44)</f>
        <v>0</v>
      </c>
      <c r="G45" s="382">
        <f>SUM(G37:G44)</f>
        <v>0</v>
      </c>
      <c r="H45" s="656"/>
      <c r="I45" s="382">
        <f>SUM(I37:I44)</f>
        <v>0</v>
      </c>
      <c r="J45" s="656"/>
      <c r="K45" s="382">
        <f>SUM(K37:K44)</f>
        <v>0</v>
      </c>
      <c r="L45" s="410">
        <f>SUM(L37:L44)</f>
        <v>-6048860.290000001</v>
      </c>
      <c r="M45" s="593">
        <f t="shared" si="5"/>
        <v>30</v>
      </c>
    </row>
    <row r="46" spans="1:16">
      <c r="A46" s="480">
        <f t="shared" si="4"/>
        <v>31</v>
      </c>
      <c r="B46" s="98" t="s">
        <v>4665</v>
      </c>
      <c r="C46" s="382">
        <v>-7446034.5700000003</v>
      </c>
      <c r="D46" s="382">
        <v>411307</v>
      </c>
      <c r="E46" s="391">
        <v>0</v>
      </c>
      <c r="F46" s="384"/>
      <c r="G46" s="382"/>
      <c r="H46" s="1775"/>
      <c r="I46" s="382"/>
      <c r="J46" s="1775"/>
      <c r="K46" s="382"/>
      <c r="L46" s="410">
        <f>C46+D46-E46+F46-G46-I46+K46</f>
        <v>-7034727.5700000003</v>
      </c>
      <c r="M46" s="593">
        <f t="shared" si="5"/>
        <v>31</v>
      </c>
    </row>
    <row r="47" spans="1:16">
      <c r="A47" s="368">
        <f t="shared" si="4"/>
        <v>32</v>
      </c>
      <c r="B47" s="98" t="s">
        <v>4167</v>
      </c>
      <c r="C47" s="378">
        <f>C45+C46</f>
        <v>-14073750.310000002</v>
      </c>
      <c r="D47" s="378">
        <f>D45+D46</f>
        <v>2006884.45</v>
      </c>
      <c r="E47" s="490">
        <f>E45+E46</f>
        <v>1016722</v>
      </c>
      <c r="F47" s="380">
        <f>F45+F46</f>
        <v>0</v>
      </c>
      <c r="G47" s="378">
        <f>G45+G46</f>
        <v>0</v>
      </c>
      <c r="H47" s="656"/>
      <c r="I47" s="378"/>
      <c r="J47" s="656"/>
      <c r="K47" s="378">
        <f>K45+K46</f>
        <v>0</v>
      </c>
      <c r="L47" s="412">
        <f>L45+L46</f>
        <v>-13083587.860000001</v>
      </c>
      <c r="M47" s="376">
        <f t="shared" si="5"/>
        <v>32</v>
      </c>
      <c r="O47" s="136"/>
    </row>
    <row r="48" spans="1:16">
      <c r="A48" s="187" t="s">
        <v>4168</v>
      </c>
      <c r="B48" s="98"/>
      <c r="C48" s="648"/>
      <c r="D48" s="649"/>
      <c r="E48" s="650"/>
      <c r="F48" s="651"/>
      <c r="G48" s="649"/>
      <c r="H48" s="649"/>
      <c r="I48" s="649"/>
      <c r="J48" s="649"/>
      <c r="K48" s="649"/>
      <c r="L48" s="649"/>
      <c r="M48" s="153" t="s">
        <v>4168</v>
      </c>
    </row>
    <row r="49" spans="1:16">
      <c r="A49" s="240">
        <v>33</v>
      </c>
      <c r="B49" s="98" t="s">
        <v>2884</v>
      </c>
      <c r="C49" s="638"/>
      <c r="D49" s="655"/>
      <c r="E49" s="659"/>
      <c r="F49" s="660"/>
      <c r="G49" s="655"/>
      <c r="H49" s="655"/>
      <c r="I49" s="655"/>
      <c r="J49" s="655"/>
      <c r="K49" s="655"/>
      <c r="L49" s="655"/>
      <c r="M49" s="367">
        <v>33</v>
      </c>
    </row>
    <row r="50" spans="1:16">
      <c r="A50" s="240">
        <v>34</v>
      </c>
      <c r="B50" s="99" t="s">
        <v>2885</v>
      </c>
      <c r="C50" s="661">
        <f>C20+C31+C45</f>
        <v>55374064.139999993</v>
      </c>
      <c r="D50" s="662">
        <f t="shared" ref="D50:G51" si="7">D20+D31+D45</f>
        <v>6029216.4500000002</v>
      </c>
      <c r="E50" s="663">
        <f t="shared" si="7"/>
        <v>1497026</v>
      </c>
      <c r="F50" s="664">
        <f t="shared" si="7"/>
        <v>0</v>
      </c>
      <c r="G50" s="662">
        <f t="shared" si="7"/>
        <v>0</v>
      </c>
      <c r="H50" s="100"/>
      <c r="I50" s="662">
        <f>I20+I31+I45</f>
        <v>0</v>
      </c>
      <c r="J50" s="100"/>
      <c r="K50" s="662">
        <f>K20+K31+K45</f>
        <v>0</v>
      </c>
      <c r="L50" s="1942">
        <f>L20+L31+L45</f>
        <v>59906254.589999996</v>
      </c>
      <c r="M50" s="367">
        <v>34</v>
      </c>
    </row>
    <row r="51" spans="1:16">
      <c r="A51" s="240">
        <v>35</v>
      </c>
      <c r="B51" s="99" t="s">
        <v>2104</v>
      </c>
      <c r="C51" s="422">
        <f>C21+C32+C46</f>
        <v>-6134781.8500000006</v>
      </c>
      <c r="D51" s="555">
        <f t="shared" si="7"/>
        <v>411307</v>
      </c>
      <c r="E51" s="445">
        <f t="shared" si="7"/>
        <v>218541.95999999996</v>
      </c>
      <c r="F51" s="665">
        <f t="shared" si="7"/>
        <v>0</v>
      </c>
      <c r="G51" s="555">
        <f t="shared" si="7"/>
        <v>0</v>
      </c>
      <c r="H51" s="100"/>
      <c r="I51" s="555">
        <f>I21+I32+I46</f>
        <v>0</v>
      </c>
      <c r="J51" s="100"/>
      <c r="K51" s="555">
        <f>K21+K32+K46</f>
        <v>0</v>
      </c>
      <c r="L51" s="482">
        <f>L21+L32+L46</f>
        <v>-5942016.8100000005</v>
      </c>
      <c r="M51" s="367">
        <v>35</v>
      </c>
    </row>
    <row r="52" spans="1:16">
      <c r="A52" s="240">
        <v>36</v>
      </c>
      <c r="B52" s="99" t="s">
        <v>2886</v>
      </c>
      <c r="C52" s="661">
        <f>SUM(C50:C51)</f>
        <v>49239282.289999992</v>
      </c>
      <c r="D52" s="662">
        <f>SUM(D50:D51)</f>
        <v>6440523.4500000002</v>
      </c>
      <c r="E52" s="663">
        <f>SUM(E50:E51)</f>
        <v>1715567.96</v>
      </c>
      <c r="F52" s="664">
        <f>SUM(F50:F51)</f>
        <v>0</v>
      </c>
      <c r="G52" s="662">
        <f>SUM(G50:G51)</f>
        <v>0</v>
      </c>
      <c r="H52" s="100"/>
      <c r="I52" s="662">
        <f>SUM(I50:I51)</f>
        <v>0</v>
      </c>
      <c r="J52" s="100"/>
      <c r="K52" s="662">
        <f>SUM(K50:K51)</f>
        <v>0</v>
      </c>
      <c r="L52" s="1942">
        <f>SUM(L50:L51)</f>
        <v>53964237.779999994</v>
      </c>
      <c r="M52" s="367">
        <v>36</v>
      </c>
      <c r="N52" t="str">
        <f>IF(ROUND(C52,0)=ROUND('114115'!E115,0),"ok","error")</f>
        <v>ok</v>
      </c>
      <c r="O52" t="str">
        <f>IF(ROUND(L52,0)=ROUND('114115'!F115,0),"ok","error")</f>
        <v>ok</v>
      </c>
      <c r="P52" s="1592"/>
    </row>
    <row r="53" spans="1:16">
      <c r="A53" s="85"/>
      <c r="B53" s="86"/>
      <c r="C53" s="86"/>
      <c r="D53" s="404"/>
      <c r="E53" s="87"/>
      <c r="F53" s="85"/>
      <c r="G53" s="86"/>
      <c r="H53" s="86"/>
      <c r="I53" s="86"/>
      <c r="J53" s="86"/>
      <c r="K53" s="86"/>
      <c r="L53" s="86"/>
      <c r="M53" s="135"/>
      <c r="N53" s="140"/>
      <c r="O53" s="140"/>
      <c r="P53" s="86"/>
    </row>
    <row r="54" spans="1:16">
      <c r="A54" s="85"/>
      <c r="B54" s="86"/>
      <c r="C54" s="86"/>
      <c r="D54" s="404"/>
      <c r="E54" s="87"/>
      <c r="F54" s="85"/>
      <c r="G54" s="86"/>
      <c r="H54" s="86"/>
      <c r="I54" s="86"/>
      <c r="J54" s="86"/>
      <c r="K54" s="86"/>
      <c r="L54" s="86"/>
      <c r="M54" s="135"/>
      <c r="O54" s="140"/>
      <c r="P54" s="86"/>
    </row>
    <row r="55" spans="1:16">
      <c r="A55" s="85"/>
      <c r="B55" s="86"/>
      <c r="C55" s="86"/>
      <c r="D55" s="404"/>
      <c r="E55" s="87"/>
      <c r="F55" s="85"/>
      <c r="G55" s="86"/>
      <c r="H55" s="86"/>
      <c r="I55" s="86"/>
      <c r="J55" s="86"/>
      <c r="K55" s="86"/>
      <c r="L55" s="86"/>
      <c r="M55" s="135"/>
    </row>
    <row r="56" spans="1:16">
      <c r="A56" s="85"/>
      <c r="B56" s="86"/>
      <c r="C56" s="86"/>
      <c r="D56" s="86"/>
      <c r="E56" s="87"/>
      <c r="F56" s="85"/>
      <c r="G56" s="86"/>
      <c r="H56" s="86"/>
      <c r="I56" s="86"/>
      <c r="J56" s="86"/>
      <c r="K56" s="86"/>
      <c r="L56" s="86"/>
      <c r="M56" s="135"/>
    </row>
    <row r="57" spans="1:16">
      <c r="A57" s="85"/>
      <c r="B57" s="86"/>
      <c r="C57" s="86"/>
      <c r="D57" s="86"/>
      <c r="E57" s="87"/>
      <c r="F57" s="85"/>
      <c r="G57" s="86"/>
      <c r="H57" s="86"/>
      <c r="I57" s="86"/>
      <c r="J57" s="86"/>
      <c r="K57" s="86"/>
      <c r="L57" s="86"/>
      <c r="M57" s="135"/>
    </row>
    <row r="58" spans="1:16" ht="15.75" thickBot="1">
      <c r="A58" s="154"/>
      <c r="B58" s="113"/>
      <c r="C58" s="113"/>
      <c r="D58" s="113"/>
      <c r="E58" s="116"/>
      <c r="F58" s="154"/>
      <c r="G58" s="113"/>
      <c r="H58" s="113"/>
      <c r="I58" s="113"/>
      <c r="J58" s="113"/>
      <c r="K58" s="113"/>
      <c r="L58" s="113"/>
      <c r="M58" s="1166"/>
    </row>
    <row r="59" spans="1:16">
      <c r="A59" s="14" t="s">
        <v>2024</v>
      </c>
      <c r="B59" s="5"/>
      <c r="D59" s="5"/>
      <c r="E59" s="5"/>
      <c r="F59" s="14"/>
      <c r="G59" s="5"/>
      <c r="H59" s="5"/>
      <c r="J59" s="5"/>
      <c r="K59" s="5"/>
      <c r="L59" s="14" t="s">
        <v>2024</v>
      </c>
      <c r="M59" s="5"/>
    </row>
    <row r="60" spans="1:16">
      <c r="A60" s="5" t="s">
        <v>2416</v>
      </c>
      <c r="B60" s="5"/>
      <c r="C60" s="5"/>
      <c r="D60" s="5"/>
      <c r="E60" s="5"/>
      <c r="F60" s="5" t="s">
        <v>2417</v>
      </c>
      <c r="G60" s="5"/>
      <c r="H60" s="5"/>
      <c r="I60" s="5"/>
      <c r="J60" s="5"/>
      <c r="K60" s="5"/>
      <c r="L60" s="5"/>
      <c r="M60" s="5"/>
    </row>
    <row r="61" spans="1:16">
      <c r="A61" s="5"/>
      <c r="B61" s="5"/>
      <c r="C61" s="5"/>
      <c r="D61" s="5"/>
      <c r="E61" s="5"/>
      <c r="F61" s="86"/>
      <c r="G61" s="86"/>
      <c r="H61" s="86"/>
      <c r="I61" s="86"/>
      <c r="J61" s="86"/>
      <c r="K61" s="86"/>
      <c r="L61" s="86"/>
      <c r="M61" s="86"/>
    </row>
    <row r="62" spans="1:16">
      <c r="A62" s="86"/>
      <c r="B62" s="86"/>
      <c r="C62" s="86"/>
      <c r="D62" s="86"/>
      <c r="E62" s="86"/>
      <c r="F62" s="86"/>
      <c r="G62" s="86"/>
      <c r="H62" s="86"/>
      <c r="I62" s="86"/>
      <c r="J62" s="86"/>
      <c r="K62" s="86"/>
      <c r="L62" s="86"/>
      <c r="M62" s="86"/>
    </row>
    <row r="63" spans="1:16" ht="15.75">
      <c r="A63" s="86"/>
      <c r="B63" s="233" t="s">
        <v>3656</v>
      </c>
      <c r="C63" s="86"/>
      <c r="D63" s="86"/>
      <c r="E63" s="86"/>
      <c r="F63" s="86"/>
      <c r="G63" s="86"/>
      <c r="H63" s="86"/>
      <c r="I63" s="86"/>
      <c r="J63" s="86"/>
      <c r="K63" s="86"/>
      <c r="L63" s="86"/>
      <c r="M63" s="86"/>
    </row>
    <row r="64" spans="1:16" ht="16.5" thickBot="1">
      <c r="A64" s="472"/>
      <c r="D64" s="128"/>
      <c r="F64" s="472"/>
      <c r="J64" s="128"/>
    </row>
    <row r="65" spans="1:13">
      <c r="A65" s="80"/>
      <c r="B65" s="81"/>
      <c r="C65" s="81"/>
      <c r="D65" s="81"/>
      <c r="E65" s="82"/>
      <c r="F65" s="80"/>
      <c r="G65" s="81"/>
      <c r="H65" s="81"/>
      <c r="I65" s="81"/>
      <c r="J65" s="81"/>
      <c r="K65" s="81"/>
      <c r="L65" s="81"/>
      <c r="M65" s="82"/>
    </row>
    <row r="66" spans="1:13" ht="15.75">
      <c r="A66" s="118" t="s">
        <v>1721</v>
      </c>
      <c r="B66" s="5"/>
      <c r="C66" s="5"/>
      <c r="D66" s="5"/>
      <c r="E66" s="132"/>
      <c r="F66" s="118" t="s">
        <v>1721</v>
      </c>
      <c r="G66" s="5"/>
      <c r="H66" s="5"/>
      <c r="I66" s="5"/>
      <c r="J66" s="5"/>
      <c r="K66" s="4"/>
      <c r="L66" s="5"/>
      <c r="M66" s="132"/>
    </row>
    <row r="67" spans="1:13">
      <c r="A67" s="499"/>
      <c r="B67" s="133"/>
      <c r="C67" s="133"/>
      <c r="D67" s="133"/>
      <c r="E67" s="500"/>
      <c r="F67" s="499"/>
      <c r="G67" s="133"/>
      <c r="H67" s="133"/>
      <c r="I67" s="133"/>
      <c r="J67" s="133"/>
      <c r="K67" s="133"/>
      <c r="L67" s="133"/>
      <c r="M67" s="500"/>
    </row>
    <row r="68" spans="1:13">
      <c r="A68" s="666"/>
      <c r="B68" s="147"/>
      <c r="C68" s="147"/>
      <c r="D68" s="667"/>
      <c r="E68" s="668"/>
      <c r="F68" s="669"/>
      <c r="G68" s="667"/>
      <c r="H68" s="667"/>
      <c r="I68" s="667"/>
      <c r="J68" s="667"/>
      <c r="K68" s="667"/>
      <c r="L68" s="147"/>
      <c r="M68" s="670"/>
    </row>
    <row r="69" spans="1:13">
      <c r="A69" s="666"/>
      <c r="B69" s="147"/>
      <c r="C69" s="147"/>
      <c r="D69" s="147"/>
      <c r="E69" s="671"/>
      <c r="F69" s="672"/>
      <c r="G69" s="147"/>
      <c r="H69" s="673"/>
      <c r="I69" s="147"/>
      <c r="J69" s="147"/>
      <c r="K69" s="147"/>
      <c r="L69" s="147"/>
      <c r="M69" s="670"/>
    </row>
    <row r="70" spans="1:13">
      <c r="A70" s="666"/>
      <c r="B70" s="147"/>
      <c r="C70" s="147"/>
      <c r="D70" s="147"/>
      <c r="E70" s="671"/>
      <c r="F70" s="672"/>
      <c r="G70" s="147"/>
      <c r="H70" s="147"/>
      <c r="I70" s="147"/>
      <c r="J70" s="147"/>
      <c r="K70" s="147"/>
      <c r="L70" s="147"/>
      <c r="M70" s="670"/>
    </row>
    <row r="71" spans="1:13">
      <c r="A71" s="666"/>
      <c r="B71" s="147"/>
      <c r="C71" s="147"/>
      <c r="D71" s="147"/>
      <c r="E71" s="671"/>
      <c r="F71" s="672"/>
      <c r="G71" s="147"/>
      <c r="H71" s="667"/>
      <c r="I71" s="147"/>
      <c r="J71" s="667"/>
      <c r="K71" s="147"/>
      <c r="L71" s="147"/>
      <c r="M71" s="670"/>
    </row>
    <row r="72" spans="1:13">
      <c r="A72" s="666"/>
      <c r="B72" s="147"/>
      <c r="C72" s="147"/>
      <c r="D72" s="147"/>
      <c r="E72" s="671"/>
      <c r="F72" s="672"/>
      <c r="G72" s="147"/>
      <c r="H72" s="147"/>
      <c r="I72" s="147"/>
      <c r="J72" s="147"/>
      <c r="K72" s="147"/>
      <c r="L72" s="147"/>
      <c r="M72" s="670"/>
    </row>
    <row r="73" spans="1:13">
      <c r="A73" s="666"/>
      <c r="B73" s="147"/>
      <c r="C73" s="147"/>
      <c r="D73" s="147"/>
      <c r="E73" s="671"/>
      <c r="F73" s="672"/>
      <c r="G73" s="147"/>
      <c r="H73" s="147"/>
      <c r="I73" s="147"/>
      <c r="J73" s="147"/>
      <c r="K73" s="147"/>
      <c r="L73" s="147"/>
      <c r="M73" s="670"/>
    </row>
    <row r="74" spans="1:13">
      <c r="A74" s="666"/>
      <c r="B74" s="147"/>
      <c r="C74" s="147"/>
      <c r="D74" s="147"/>
      <c r="E74" s="671"/>
      <c r="F74" s="672"/>
      <c r="G74" s="147"/>
      <c r="H74" s="147"/>
      <c r="I74" s="147"/>
      <c r="J74" s="147"/>
      <c r="K74" s="147"/>
      <c r="L74" s="147"/>
      <c r="M74" s="670"/>
    </row>
    <row r="75" spans="1:13">
      <c r="A75" s="666"/>
      <c r="B75" s="147"/>
      <c r="C75" s="147"/>
      <c r="D75" s="147"/>
      <c r="E75" s="671"/>
      <c r="F75" s="672"/>
      <c r="G75" s="147"/>
      <c r="H75" s="147"/>
      <c r="I75" s="147"/>
      <c r="J75" s="147"/>
      <c r="K75" s="147"/>
      <c r="L75" s="147"/>
      <c r="M75" s="670"/>
    </row>
    <row r="76" spans="1:13">
      <c r="A76" s="666"/>
      <c r="B76" s="147"/>
      <c r="C76" s="147"/>
      <c r="D76" s="147"/>
      <c r="E76" s="671"/>
      <c r="F76" s="672"/>
      <c r="G76" s="147"/>
      <c r="H76" s="147"/>
      <c r="I76" s="147"/>
      <c r="J76" s="147"/>
      <c r="K76" s="147"/>
      <c r="L76" s="147"/>
      <c r="M76" s="670"/>
    </row>
    <row r="77" spans="1:13">
      <c r="A77" s="666"/>
      <c r="B77" s="147"/>
      <c r="C77" s="147"/>
      <c r="D77" s="147"/>
      <c r="E77" s="671"/>
      <c r="F77" s="672"/>
      <c r="G77" s="147"/>
      <c r="H77" s="147"/>
      <c r="I77" s="147"/>
      <c r="J77" s="147"/>
      <c r="K77" s="147"/>
      <c r="L77" s="147"/>
      <c r="M77" s="670"/>
    </row>
    <row r="78" spans="1:13">
      <c r="A78" s="666"/>
      <c r="B78" s="147"/>
      <c r="C78" s="147"/>
      <c r="D78" s="147"/>
      <c r="E78" s="671"/>
      <c r="F78" s="672"/>
      <c r="G78" s="147"/>
      <c r="H78" s="147"/>
      <c r="I78" s="147"/>
      <c r="J78" s="147"/>
      <c r="K78" s="147"/>
      <c r="L78" s="147"/>
      <c r="M78" s="670"/>
    </row>
    <row r="79" spans="1:13">
      <c r="A79" s="666"/>
      <c r="B79" s="147"/>
      <c r="C79" s="147"/>
      <c r="D79" s="147"/>
      <c r="E79" s="671"/>
      <c r="F79" s="672"/>
      <c r="G79" s="147"/>
      <c r="H79" s="147"/>
      <c r="I79" s="147"/>
      <c r="J79" s="147"/>
      <c r="K79" s="147"/>
      <c r="L79" s="147"/>
      <c r="M79" s="670"/>
    </row>
    <row r="80" spans="1:13">
      <c r="A80" s="666"/>
      <c r="B80" s="147"/>
      <c r="C80" s="147"/>
      <c r="D80" s="147"/>
      <c r="E80" s="671"/>
      <c r="F80" s="672"/>
      <c r="G80" s="147"/>
      <c r="H80" s="147"/>
      <c r="I80" s="147"/>
      <c r="J80" s="147"/>
      <c r="K80" s="147"/>
      <c r="L80" s="147"/>
      <c r="M80" s="670"/>
    </row>
    <row r="81" spans="1:13">
      <c r="A81" s="666"/>
      <c r="B81" s="147"/>
      <c r="C81" s="147"/>
      <c r="D81" s="147"/>
      <c r="E81" s="671"/>
      <c r="F81" s="672"/>
      <c r="G81" s="147"/>
      <c r="H81" s="147"/>
      <c r="I81" s="147"/>
      <c r="J81" s="147"/>
      <c r="K81" s="147"/>
      <c r="L81" s="147"/>
      <c r="M81" s="670"/>
    </row>
    <row r="82" spans="1:13">
      <c r="A82" s="666"/>
      <c r="B82" s="147"/>
      <c r="C82" s="147"/>
      <c r="D82" s="147"/>
      <c r="E82" s="671"/>
      <c r="F82" s="672"/>
      <c r="G82" s="147"/>
      <c r="H82" s="147"/>
      <c r="I82" s="147"/>
      <c r="J82" s="147"/>
      <c r="K82" s="147"/>
      <c r="L82" s="147"/>
      <c r="M82" s="670"/>
    </row>
    <row r="83" spans="1:13">
      <c r="A83" s="666"/>
      <c r="B83" s="147"/>
      <c r="C83" s="147"/>
      <c r="D83" s="147"/>
      <c r="E83" s="671"/>
      <c r="F83" s="672"/>
      <c r="G83" s="147"/>
      <c r="H83" s="147"/>
      <c r="I83" s="147"/>
      <c r="J83" s="147"/>
      <c r="K83" s="147"/>
      <c r="L83" s="147"/>
      <c r="M83" s="670"/>
    </row>
    <row r="84" spans="1:13">
      <c r="A84" s="666"/>
      <c r="B84" s="147"/>
      <c r="C84" s="147"/>
      <c r="D84" s="147"/>
      <c r="E84" s="671"/>
      <c r="F84" s="672"/>
      <c r="G84" s="147"/>
      <c r="H84" s="147"/>
      <c r="I84" s="147"/>
      <c r="J84" s="147"/>
      <c r="K84" s="147"/>
      <c r="L84" s="147"/>
      <c r="M84" s="670"/>
    </row>
    <row r="85" spans="1:13">
      <c r="A85" s="666"/>
      <c r="B85" s="147"/>
      <c r="C85" s="147"/>
      <c r="D85" s="147"/>
      <c r="E85" s="671"/>
      <c r="F85" s="672"/>
      <c r="G85" s="147"/>
      <c r="H85" s="147"/>
      <c r="I85" s="147"/>
      <c r="J85" s="147"/>
      <c r="K85" s="147"/>
      <c r="L85" s="147"/>
      <c r="M85" s="670"/>
    </row>
    <row r="86" spans="1:13">
      <c r="A86" s="666"/>
      <c r="B86" s="147"/>
      <c r="C86" s="147"/>
      <c r="D86" s="147"/>
      <c r="E86" s="671"/>
      <c r="F86" s="672"/>
      <c r="G86" s="147"/>
      <c r="H86" s="147"/>
      <c r="I86" s="147"/>
      <c r="J86" s="147"/>
      <c r="K86" s="147"/>
      <c r="L86" s="147"/>
      <c r="M86" s="670"/>
    </row>
    <row r="87" spans="1:13">
      <c r="A87" s="666"/>
      <c r="B87" s="147"/>
      <c r="C87" s="147"/>
      <c r="D87" s="147"/>
      <c r="E87" s="671"/>
      <c r="F87" s="672"/>
      <c r="G87" s="147"/>
      <c r="H87" s="147"/>
      <c r="I87" s="147"/>
      <c r="J87" s="147"/>
      <c r="K87" s="147"/>
      <c r="L87" s="147"/>
      <c r="M87" s="670"/>
    </row>
    <row r="88" spans="1:13">
      <c r="A88" s="666"/>
      <c r="B88" s="147"/>
      <c r="C88" s="147"/>
      <c r="D88" s="147"/>
      <c r="E88" s="671"/>
      <c r="F88" s="672"/>
      <c r="G88" s="147"/>
      <c r="H88" s="147"/>
      <c r="I88" s="147"/>
      <c r="J88" s="147"/>
      <c r="K88" s="147"/>
      <c r="L88" s="147"/>
      <c r="M88" s="670"/>
    </row>
    <row r="89" spans="1:13">
      <c r="A89" s="666"/>
      <c r="B89" s="147"/>
      <c r="C89" s="147"/>
      <c r="D89" s="147"/>
      <c r="E89" s="671"/>
      <c r="F89" s="672"/>
      <c r="G89" s="147"/>
      <c r="H89" s="147"/>
      <c r="I89" s="147"/>
      <c r="J89" s="147"/>
      <c r="K89" s="147"/>
      <c r="L89" s="147"/>
      <c r="M89" s="670"/>
    </row>
    <row r="90" spans="1:13">
      <c r="A90" s="666"/>
      <c r="B90" s="147"/>
      <c r="C90" s="147"/>
      <c r="D90" s="147"/>
      <c r="E90" s="671"/>
      <c r="F90" s="672"/>
      <c r="G90" s="147"/>
      <c r="H90" s="147"/>
      <c r="I90" s="147"/>
      <c r="J90" s="147"/>
      <c r="K90" s="147"/>
      <c r="L90" s="147"/>
      <c r="M90" s="670"/>
    </row>
    <row r="91" spans="1:13">
      <c r="A91" s="666"/>
      <c r="B91" s="147"/>
      <c r="C91" s="147"/>
      <c r="D91" s="147"/>
      <c r="E91" s="671"/>
      <c r="F91" s="672"/>
      <c r="G91" s="147"/>
      <c r="H91" s="147"/>
      <c r="I91" s="147"/>
      <c r="J91" s="147"/>
      <c r="K91" s="147"/>
      <c r="L91" s="147"/>
      <c r="M91" s="670"/>
    </row>
    <row r="92" spans="1:13">
      <c r="A92" s="666"/>
      <c r="B92" s="147"/>
      <c r="C92" s="147"/>
      <c r="D92" s="147"/>
      <c r="E92" s="671"/>
      <c r="F92" s="672"/>
      <c r="G92" s="147"/>
      <c r="H92" s="147"/>
      <c r="I92" s="147"/>
      <c r="J92" s="147"/>
      <c r="K92" s="147"/>
      <c r="L92" s="147"/>
      <c r="M92" s="670"/>
    </row>
    <row r="93" spans="1:13">
      <c r="A93" s="666"/>
      <c r="B93" s="147"/>
      <c r="C93" s="147"/>
      <c r="D93" s="147"/>
      <c r="E93" s="671"/>
      <c r="F93" s="672"/>
      <c r="G93" s="147"/>
      <c r="H93" s="147"/>
      <c r="I93" s="147"/>
      <c r="J93" s="147"/>
      <c r="K93" s="147"/>
      <c r="L93" s="147"/>
      <c r="M93" s="670"/>
    </row>
    <row r="94" spans="1:13">
      <c r="A94" s="666"/>
      <c r="B94" s="147"/>
      <c r="C94" s="147"/>
      <c r="D94" s="147"/>
      <c r="E94" s="671"/>
      <c r="F94" s="672"/>
      <c r="G94" s="147"/>
      <c r="H94" s="147"/>
      <c r="I94" s="147"/>
      <c r="J94" s="147"/>
      <c r="K94" s="147"/>
      <c r="L94" s="147"/>
      <c r="M94" s="670"/>
    </row>
    <row r="95" spans="1:13">
      <c r="A95" s="666"/>
      <c r="B95" s="147"/>
      <c r="C95" s="147"/>
      <c r="D95" s="147"/>
      <c r="E95" s="671"/>
      <c r="F95" s="672"/>
      <c r="G95" s="147"/>
      <c r="H95" s="147"/>
      <c r="I95" s="147"/>
      <c r="J95" s="147"/>
      <c r="K95" s="147"/>
      <c r="L95" s="147"/>
      <c r="M95" s="670"/>
    </row>
    <row r="96" spans="1:13">
      <c r="A96" s="666"/>
      <c r="B96" s="147"/>
      <c r="C96" s="147"/>
      <c r="D96" s="147"/>
      <c r="E96" s="671"/>
      <c r="F96" s="672"/>
      <c r="G96" s="147"/>
      <c r="H96" s="147"/>
      <c r="I96" s="147"/>
      <c r="J96" s="147"/>
      <c r="K96" s="147"/>
      <c r="L96" s="147"/>
      <c r="M96" s="670"/>
    </row>
    <row r="97" spans="1:13">
      <c r="A97" s="666"/>
      <c r="B97" s="147"/>
      <c r="C97" s="147"/>
      <c r="D97" s="147"/>
      <c r="E97" s="671"/>
      <c r="F97" s="672"/>
      <c r="G97" s="147"/>
      <c r="H97" s="147"/>
      <c r="I97" s="147"/>
      <c r="J97" s="147"/>
      <c r="K97" s="147"/>
      <c r="L97" s="147"/>
      <c r="M97" s="670"/>
    </row>
    <row r="98" spans="1:13">
      <c r="A98" s="666"/>
      <c r="B98" s="147"/>
      <c r="C98" s="147"/>
      <c r="D98" s="147"/>
      <c r="E98" s="671"/>
      <c r="F98" s="672"/>
      <c r="G98" s="147"/>
      <c r="H98" s="147"/>
      <c r="I98" s="147"/>
      <c r="J98" s="147"/>
      <c r="K98" s="147"/>
      <c r="L98" s="147"/>
      <c r="M98" s="670"/>
    </row>
    <row r="99" spans="1:13">
      <c r="A99" s="666"/>
      <c r="B99" s="147"/>
      <c r="C99" s="147"/>
      <c r="D99" s="147"/>
      <c r="E99" s="671"/>
      <c r="F99" s="672"/>
      <c r="G99" s="147"/>
      <c r="H99" s="147"/>
      <c r="I99" s="147"/>
      <c r="J99" s="147"/>
      <c r="K99" s="147"/>
      <c r="L99" s="147"/>
      <c r="M99" s="670"/>
    </row>
    <row r="100" spans="1:13">
      <c r="A100" s="666"/>
      <c r="B100" s="147"/>
      <c r="C100" s="147"/>
      <c r="D100" s="147"/>
      <c r="E100" s="671"/>
      <c r="F100" s="672"/>
      <c r="G100" s="147"/>
      <c r="H100" s="147"/>
      <c r="I100" s="147"/>
      <c r="J100" s="147"/>
      <c r="K100" s="147"/>
      <c r="L100" s="147"/>
      <c r="M100" s="670"/>
    </row>
    <row r="101" spans="1:13">
      <c r="A101" s="666"/>
      <c r="B101" s="147"/>
      <c r="C101" s="147"/>
      <c r="D101" s="147"/>
      <c r="E101" s="671"/>
      <c r="F101" s="672"/>
      <c r="G101" s="147"/>
      <c r="H101" s="147"/>
      <c r="I101" s="147"/>
      <c r="J101" s="147"/>
      <c r="K101" s="147"/>
      <c r="L101" s="147"/>
      <c r="M101" s="670"/>
    </row>
    <row r="102" spans="1:13">
      <c r="A102" s="666"/>
      <c r="B102" s="147"/>
      <c r="C102" s="147"/>
      <c r="D102" s="147"/>
      <c r="E102" s="671"/>
      <c r="F102" s="672"/>
      <c r="G102" s="147"/>
      <c r="H102" s="147"/>
      <c r="I102" s="147"/>
      <c r="J102" s="147"/>
      <c r="K102" s="147"/>
      <c r="L102" s="147"/>
      <c r="M102" s="670"/>
    </row>
    <row r="103" spans="1:13">
      <c r="A103" s="666"/>
      <c r="B103" s="147"/>
      <c r="C103" s="147"/>
      <c r="D103" s="147"/>
      <c r="E103" s="671"/>
      <c r="F103" s="672"/>
      <c r="G103" s="147"/>
      <c r="H103" s="147"/>
      <c r="I103" s="147"/>
      <c r="J103" s="147"/>
      <c r="K103" s="147"/>
      <c r="L103" s="147"/>
      <c r="M103" s="670"/>
    </row>
    <row r="104" spans="1:13">
      <c r="A104" s="666"/>
      <c r="B104" s="147"/>
      <c r="C104" s="147"/>
      <c r="D104" s="147"/>
      <c r="E104" s="671"/>
      <c r="F104" s="672"/>
      <c r="G104" s="147"/>
      <c r="H104" s="147"/>
      <c r="I104" s="147"/>
      <c r="J104" s="147"/>
      <c r="K104" s="147"/>
      <c r="L104" s="147"/>
      <c r="M104" s="670"/>
    </row>
    <row r="105" spans="1:13">
      <c r="A105" s="666"/>
      <c r="B105" s="147"/>
      <c r="C105" s="147"/>
      <c r="D105" s="147"/>
      <c r="E105" s="671"/>
      <c r="F105" s="672"/>
      <c r="G105" s="147"/>
      <c r="H105" s="147"/>
      <c r="I105" s="147"/>
      <c r="J105" s="147"/>
      <c r="K105" s="147"/>
      <c r="L105" s="147"/>
      <c r="M105" s="670"/>
    </row>
    <row r="106" spans="1:13">
      <c r="A106" s="666"/>
      <c r="B106" s="147"/>
      <c r="C106" s="147"/>
      <c r="D106" s="147"/>
      <c r="E106" s="671"/>
      <c r="F106" s="672"/>
      <c r="G106" s="147"/>
      <c r="H106" s="147"/>
      <c r="I106" s="147"/>
      <c r="J106" s="147"/>
      <c r="K106" s="147"/>
      <c r="L106" s="147"/>
      <c r="M106" s="670"/>
    </row>
    <row r="107" spans="1:13">
      <c r="A107" s="666"/>
      <c r="B107" s="147"/>
      <c r="C107" s="147"/>
      <c r="D107" s="147"/>
      <c r="E107" s="671"/>
      <c r="F107" s="672"/>
      <c r="G107" s="147"/>
      <c r="H107" s="147"/>
      <c r="I107" s="147"/>
      <c r="J107" s="147"/>
      <c r="K107" s="147"/>
      <c r="L107" s="147"/>
      <c r="M107" s="670"/>
    </row>
    <row r="108" spans="1:13">
      <c r="A108" s="666"/>
      <c r="B108" s="147"/>
      <c r="C108" s="147"/>
      <c r="D108" s="147"/>
      <c r="E108" s="671"/>
      <c r="F108" s="672"/>
      <c r="G108" s="147"/>
      <c r="H108" s="147"/>
      <c r="I108" s="147"/>
      <c r="J108" s="147"/>
      <c r="K108" s="147"/>
      <c r="L108" s="147"/>
      <c r="M108" s="670"/>
    </row>
    <row r="109" spans="1:13">
      <c r="A109" s="666"/>
      <c r="B109" s="147"/>
      <c r="C109" s="147"/>
      <c r="D109" s="147"/>
      <c r="E109" s="671"/>
      <c r="F109" s="672"/>
      <c r="G109" s="147"/>
      <c r="H109" s="147"/>
      <c r="I109" s="147"/>
      <c r="J109" s="147"/>
      <c r="K109" s="147"/>
      <c r="L109" s="147"/>
      <c r="M109" s="670"/>
    </row>
    <row r="110" spans="1:13">
      <c r="A110" s="666"/>
      <c r="B110" s="147"/>
      <c r="C110" s="147"/>
      <c r="D110" s="147"/>
      <c r="E110" s="671"/>
      <c r="F110" s="672"/>
      <c r="G110" s="147"/>
      <c r="H110" s="147"/>
      <c r="I110" s="147"/>
      <c r="J110" s="147"/>
      <c r="K110" s="147"/>
      <c r="L110" s="147"/>
      <c r="M110" s="670"/>
    </row>
    <row r="111" spans="1:13">
      <c r="A111" s="666"/>
      <c r="B111" s="147"/>
      <c r="C111" s="147"/>
      <c r="D111" s="147"/>
      <c r="E111" s="671"/>
      <c r="F111" s="672"/>
      <c r="G111" s="147"/>
      <c r="H111" s="147"/>
      <c r="I111" s="147"/>
      <c r="J111" s="147"/>
      <c r="K111" s="147"/>
      <c r="L111" s="147"/>
      <c r="M111" s="670"/>
    </row>
    <row r="112" spans="1:13">
      <c r="A112" s="666"/>
      <c r="B112" s="147"/>
      <c r="C112" s="147"/>
      <c r="D112" s="147"/>
      <c r="E112" s="671"/>
      <c r="F112" s="672"/>
      <c r="G112" s="147"/>
      <c r="H112" s="147"/>
      <c r="I112" s="147"/>
      <c r="J112" s="147"/>
      <c r="K112" s="147"/>
      <c r="L112" s="147"/>
      <c r="M112" s="670"/>
    </row>
    <row r="113" spans="1:13">
      <c r="A113" s="666"/>
      <c r="B113" s="147"/>
      <c r="C113" s="147"/>
      <c r="D113" s="147"/>
      <c r="E113" s="671"/>
      <c r="F113" s="672"/>
      <c r="G113" s="147"/>
      <c r="H113" s="147"/>
      <c r="I113" s="147"/>
      <c r="J113" s="147"/>
      <c r="K113" s="147"/>
      <c r="L113" s="147"/>
      <c r="M113" s="670"/>
    </row>
    <row r="114" spans="1:13">
      <c r="A114" s="672"/>
      <c r="B114" s="147"/>
      <c r="C114" s="147"/>
      <c r="D114" s="147"/>
      <c r="E114" s="671"/>
      <c r="F114" s="672"/>
      <c r="G114" s="147"/>
      <c r="H114" s="147"/>
      <c r="I114" s="147"/>
      <c r="J114" s="147"/>
      <c r="K114" s="147"/>
      <c r="L114" s="147"/>
      <c r="M114" s="671"/>
    </row>
    <row r="115" spans="1:13">
      <c r="A115" s="672"/>
      <c r="B115" s="147"/>
      <c r="C115" s="147"/>
      <c r="D115" s="147"/>
      <c r="E115" s="671"/>
      <c r="F115" s="672"/>
      <c r="G115" s="147"/>
      <c r="H115" s="147"/>
      <c r="I115" s="147"/>
      <c r="J115" s="147"/>
      <c r="K115" s="147"/>
      <c r="L115" s="147"/>
      <c r="M115" s="671"/>
    </row>
    <row r="116" spans="1:13">
      <c r="A116" s="672"/>
      <c r="B116" s="147"/>
      <c r="C116" s="147"/>
      <c r="D116" s="147"/>
      <c r="E116" s="671"/>
      <c r="F116" s="672"/>
      <c r="G116" s="147"/>
      <c r="H116" s="147"/>
      <c r="I116" s="147"/>
      <c r="J116" s="147"/>
      <c r="K116" s="147"/>
      <c r="L116" s="147"/>
      <c r="M116" s="671"/>
    </row>
    <row r="117" spans="1:13">
      <c r="A117" s="672"/>
      <c r="B117" s="147"/>
      <c r="C117" s="147"/>
      <c r="D117" s="147"/>
      <c r="E117" s="671"/>
      <c r="F117" s="672"/>
      <c r="G117" s="147"/>
      <c r="H117" s="147"/>
      <c r="I117" s="147"/>
      <c r="J117" s="147"/>
      <c r="K117" s="147"/>
      <c r="L117" s="147"/>
      <c r="M117" s="671"/>
    </row>
    <row r="118" spans="1:13">
      <c r="A118" s="672"/>
      <c r="B118" s="147"/>
      <c r="C118" s="147"/>
      <c r="D118" s="147"/>
      <c r="E118" s="671"/>
      <c r="F118" s="672"/>
      <c r="G118" s="147"/>
      <c r="H118" s="147"/>
      <c r="I118" s="147"/>
      <c r="J118" s="147"/>
      <c r="K118" s="147"/>
      <c r="L118" s="147"/>
      <c r="M118" s="671"/>
    </row>
    <row r="119" spans="1:13">
      <c r="A119" s="672"/>
      <c r="B119" s="147"/>
      <c r="C119" s="147"/>
      <c r="D119" s="147"/>
      <c r="E119" s="671"/>
      <c r="F119" s="672"/>
      <c r="G119" s="147"/>
      <c r="H119" s="147"/>
      <c r="I119" s="147"/>
      <c r="J119" s="147"/>
      <c r="K119" s="147"/>
      <c r="L119" s="147"/>
      <c r="M119" s="671"/>
    </row>
    <row r="120" spans="1:13" ht="15.75" thickBot="1">
      <c r="A120" s="674"/>
      <c r="B120" s="675"/>
      <c r="C120" s="675"/>
      <c r="D120" s="675"/>
      <c r="E120" s="676"/>
      <c r="F120" s="674"/>
      <c r="G120" s="675"/>
      <c r="H120" s="675"/>
      <c r="I120" s="675"/>
      <c r="J120" s="675"/>
      <c r="K120" s="675"/>
      <c r="L120" s="675"/>
      <c r="M120" s="676"/>
    </row>
    <row r="121" spans="1:13">
      <c r="A121" s="14" t="s">
        <v>2024</v>
      </c>
      <c r="B121" s="5"/>
      <c r="D121" s="5"/>
      <c r="E121" s="5"/>
      <c r="F121" s="14"/>
      <c r="G121" s="5"/>
      <c r="H121" s="5"/>
      <c r="J121" s="5"/>
      <c r="K121" s="5"/>
      <c r="L121" s="14" t="s">
        <v>2024</v>
      </c>
      <c r="M121" s="5"/>
    </row>
    <row r="122" spans="1:13">
      <c r="A122" s="5" t="s">
        <v>3657</v>
      </c>
      <c r="B122" s="5"/>
      <c r="C122" s="5"/>
      <c r="D122" s="5"/>
      <c r="E122" s="5"/>
      <c r="F122" s="5" t="s">
        <v>3658</v>
      </c>
      <c r="G122" s="5"/>
      <c r="H122" s="5"/>
      <c r="I122" s="5"/>
      <c r="J122" s="5"/>
      <c r="K122" s="5"/>
      <c r="L122" s="5"/>
      <c r="M122" s="5"/>
    </row>
  </sheetData>
  <phoneticPr fontId="0" type="noConversion"/>
  <printOptions horizontalCentered="1" verticalCentered="1"/>
  <pageMargins left="0.4" right="0.4" top="0.3" bottom="0.3" header="0" footer="0"/>
  <pageSetup scale="77" pageOrder="overThenDown" orientation="portrait" r:id="rId1"/>
  <headerFooter alignWithMargins="0"/>
  <rowBreaks count="1" manualBreakCount="1">
    <brk id="60" max="16383" man="1"/>
  </rowBreaks>
  <colBreaks count="1" manualBreakCount="1">
    <brk id="5"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ransitionEvaluation="1" codeName="Sheet51"/>
  <dimension ref="A1:G53"/>
  <sheetViews>
    <sheetView defaultGridColor="0" colorId="22" zoomScale="87" zoomScaleNormal="87" workbookViewId="0">
      <selection activeCell="R36" sqref="R36"/>
    </sheetView>
  </sheetViews>
  <sheetFormatPr defaultColWidth="9.77734375" defaultRowHeight="15"/>
  <cols>
    <col min="1" max="1" width="5.77734375" customWidth="1"/>
    <col min="2" max="2" width="40.77734375" customWidth="1"/>
    <col min="3" max="7" width="15.77734375" customWidth="1"/>
    <col min="8" max="12" width="12.77734375" customWidth="1"/>
    <col min="13" max="13" width="4.77734375" customWidth="1"/>
  </cols>
  <sheetData>
    <row r="1" spans="1:7" ht="15.75" thickBot="1">
      <c r="A1" t="str">
        <f>'Data sheet'!A65</f>
        <v>Annual Report of Veolia Water New York, Inc.                                                                                          Year Ended  December 31, 2023</v>
      </c>
      <c r="F1" s="16"/>
      <c r="G1" s="4"/>
    </row>
    <row r="2" spans="1:7">
      <c r="A2" s="677"/>
      <c r="B2" s="678"/>
      <c r="C2" s="678"/>
      <c r="D2" s="678"/>
      <c r="E2" s="678"/>
      <c r="F2" s="678"/>
      <c r="G2" s="679"/>
    </row>
    <row r="3" spans="1:7" ht="15.75">
      <c r="A3" s="118" t="s">
        <v>3659</v>
      </c>
      <c r="B3" s="5"/>
      <c r="C3" s="5"/>
      <c r="D3" s="5"/>
      <c r="E3" s="5"/>
      <c r="F3" s="5"/>
      <c r="G3" s="680"/>
    </row>
    <row r="4" spans="1:7">
      <c r="A4" s="83"/>
      <c r="G4" s="681"/>
    </row>
    <row r="5" spans="1:7">
      <c r="A5" s="682" t="s">
        <v>3660</v>
      </c>
      <c r="B5" t="s">
        <v>3661</v>
      </c>
      <c r="G5" s="681"/>
    </row>
    <row r="6" spans="1:7">
      <c r="A6" s="682" t="s">
        <v>3662</v>
      </c>
      <c r="B6" t="s">
        <v>4065</v>
      </c>
      <c r="G6" s="681"/>
    </row>
    <row r="7" spans="1:7">
      <c r="A7" s="682"/>
      <c r="B7" t="s">
        <v>4066</v>
      </c>
      <c r="G7" s="681"/>
    </row>
    <row r="8" spans="1:7">
      <c r="A8" s="682" t="s">
        <v>4067</v>
      </c>
      <c r="B8" t="s">
        <v>3101</v>
      </c>
      <c r="G8" s="681"/>
    </row>
    <row r="9" spans="1:7">
      <c r="A9" s="682" t="s">
        <v>3102</v>
      </c>
      <c r="B9" t="s">
        <v>3103</v>
      </c>
      <c r="G9" s="681"/>
    </row>
    <row r="10" spans="1:7">
      <c r="A10" s="83"/>
      <c r="B10" t="s">
        <v>4192</v>
      </c>
      <c r="G10" s="681"/>
    </row>
    <row r="11" spans="1:7">
      <c r="A11" s="83"/>
      <c r="B11" t="s">
        <v>4193</v>
      </c>
      <c r="G11" s="681"/>
    </row>
    <row r="12" spans="1:7">
      <c r="A12" s="123"/>
      <c r="B12" s="224"/>
      <c r="C12" s="224"/>
      <c r="D12" s="224"/>
      <c r="E12" s="224"/>
      <c r="F12" s="224"/>
      <c r="G12" s="683"/>
    </row>
    <row r="13" spans="1:7">
      <c r="A13" s="234"/>
      <c r="C13" s="714" t="s">
        <v>2033</v>
      </c>
      <c r="D13" s="4" t="s">
        <v>2034</v>
      </c>
      <c r="E13" s="4"/>
      <c r="F13" s="4"/>
      <c r="G13" s="684"/>
    </row>
    <row r="14" spans="1:7">
      <c r="A14" s="479" t="s">
        <v>1727</v>
      </c>
      <c r="B14" s="600" t="s">
        <v>1290</v>
      </c>
      <c r="C14" s="1026" t="s">
        <v>4194</v>
      </c>
      <c r="D14" s="712" t="s">
        <v>4195</v>
      </c>
      <c r="E14" s="855" t="s">
        <v>4196</v>
      </c>
      <c r="F14" s="712" t="s">
        <v>4197</v>
      </c>
      <c r="G14" s="1027" t="s">
        <v>1738</v>
      </c>
    </row>
    <row r="15" spans="1:7">
      <c r="A15" s="567" t="s">
        <v>1739</v>
      </c>
      <c r="B15" s="797" t="s">
        <v>3279</v>
      </c>
      <c r="C15" s="914" t="s">
        <v>3280</v>
      </c>
      <c r="D15" s="715" t="s">
        <v>3281</v>
      </c>
      <c r="E15" s="797" t="s">
        <v>3282</v>
      </c>
      <c r="F15" s="715" t="s">
        <v>721</v>
      </c>
      <c r="G15" s="1028" t="s">
        <v>722</v>
      </c>
    </row>
    <row r="16" spans="1:7">
      <c r="A16" s="479"/>
      <c r="B16" s="686" t="s">
        <v>4198</v>
      </c>
      <c r="C16" s="522"/>
      <c r="D16" s="238"/>
      <c r="F16" s="238"/>
      <c r="G16" s="687"/>
    </row>
    <row r="17" spans="1:7">
      <c r="A17" s="479">
        <v>1</v>
      </c>
      <c r="B17" t="s">
        <v>4199</v>
      </c>
      <c r="C17" s="492"/>
      <c r="D17" s="241"/>
      <c r="E17" s="136"/>
      <c r="F17" s="241"/>
      <c r="G17" s="687">
        <f>SUM(C17:F17)</f>
        <v>0</v>
      </c>
    </row>
    <row r="18" spans="1:7">
      <c r="A18" s="479">
        <v>2</v>
      </c>
      <c r="B18" t="s">
        <v>1173</v>
      </c>
      <c r="C18" s="300"/>
      <c r="D18" s="470"/>
      <c r="E18" s="689"/>
      <c r="F18" s="470"/>
      <c r="G18" s="690"/>
    </row>
    <row r="19" spans="1:7" ht="15.75" thickBot="1">
      <c r="A19" s="479">
        <v>3</v>
      </c>
      <c r="B19" t="s">
        <v>1174</v>
      </c>
      <c r="C19" s="691">
        <f>SUM(C17:C18)</f>
        <v>0</v>
      </c>
      <c r="D19" s="691">
        <f>SUM(D17:D18)</f>
        <v>0</v>
      </c>
      <c r="E19" s="692">
        <f>SUM(E17:E18)</f>
        <v>0</v>
      </c>
      <c r="F19" s="691">
        <f>SUM(F17:F18)</f>
        <v>0</v>
      </c>
      <c r="G19" s="693">
        <f>SUM(C19:F19)</f>
        <v>0</v>
      </c>
    </row>
    <row r="20" spans="1:7" ht="15.75" thickTop="1">
      <c r="A20" s="479"/>
      <c r="B20" s="686" t="s">
        <v>1175</v>
      </c>
      <c r="C20" s="522"/>
      <c r="D20" s="238"/>
      <c r="F20" s="238"/>
      <c r="G20" s="687"/>
    </row>
    <row r="21" spans="1:7">
      <c r="A21" s="479"/>
      <c r="B21" t="s">
        <v>1176</v>
      </c>
      <c r="C21" s="522"/>
      <c r="D21" s="238"/>
      <c r="F21" s="238"/>
      <c r="G21" s="694"/>
    </row>
    <row r="22" spans="1:7">
      <c r="A22" s="479">
        <v>4</v>
      </c>
      <c r="B22" t="s">
        <v>1177</v>
      </c>
      <c r="C22" s="688"/>
      <c r="D22" s="241"/>
      <c r="E22" s="136"/>
      <c r="F22" s="241"/>
      <c r="G22" s="687">
        <f>SUM(C22:F22)</f>
        <v>0</v>
      </c>
    </row>
    <row r="23" spans="1:7">
      <c r="A23" s="479">
        <v>5</v>
      </c>
      <c r="B23" t="s">
        <v>758</v>
      </c>
      <c r="C23" s="2577" t="s">
        <v>4974</v>
      </c>
      <c r="D23" s="2577" t="s">
        <v>4974</v>
      </c>
      <c r="E23" s="2577" t="s">
        <v>4974</v>
      </c>
      <c r="F23" s="2578" t="s">
        <v>4974</v>
      </c>
      <c r="G23" s="694"/>
    </row>
    <row r="24" spans="1:7">
      <c r="A24" s="479"/>
      <c r="B24" t="s">
        <v>759</v>
      </c>
      <c r="C24" s="622"/>
      <c r="D24" s="582"/>
      <c r="E24" s="140"/>
      <c r="F24" s="582"/>
      <c r="G24" s="694"/>
    </row>
    <row r="25" spans="1:7">
      <c r="A25" s="479">
        <v>6</v>
      </c>
      <c r="B25" t="s">
        <v>760</v>
      </c>
      <c r="C25" s="622"/>
      <c r="D25" s="582"/>
      <c r="E25" s="140"/>
      <c r="F25" s="582"/>
      <c r="G25" s="694"/>
    </row>
    <row r="26" spans="1:7">
      <c r="A26" s="479">
        <v>7</v>
      </c>
      <c r="B26" t="s">
        <v>761</v>
      </c>
      <c r="C26" s="622"/>
      <c r="D26" s="582"/>
      <c r="E26" s="140"/>
      <c r="F26" s="582"/>
      <c r="G26" s="694"/>
    </row>
    <row r="27" spans="1:7">
      <c r="A27" s="479">
        <v>8</v>
      </c>
      <c r="B27" t="s">
        <v>3753</v>
      </c>
      <c r="C27" s="688"/>
      <c r="D27" s="241"/>
      <c r="E27" s="136"/>
      <c r="F27" s="241"/>
      <c r="G27" s="687">
        <f>SUM(C27:F27)</f>
        <v>0</v>
      </c>
    </row>
    <row r="28" spans="1:7">
      <c r="A28" s="520"/>
      <c r="B28" s="242" t="s">
        <v>4164</v>
      </c>
      <c r="C28" s="242"/>
      <c r="D28" s="242"/>
      <c r="E28" s="242"/>
      <c r="F28" s="242"/>
      <c r="G28" s="685"/>
    </row>
    <row r="29" spans="1:7">
      <c r="A29" s="234"/>
      <c r="G29" s="681"/>
    </row>
    <row r="30" spans="1:7">
      <c r="A30" s="234"/>
      <c r="G30" s="681"/>
    </row>
    <row r="31" spans="1:7">
      <c r="A31" s="234"/>
      <c r="G31" s="681"/>
    </row>
    <row r="32" spans="1:7">
      <c r="A32" s="234"/>
      <c r="G32" s="681"/>
    </row>
    <row r="33" spans="1:7">
      <c r="A33" s="234"/>
      <c r="G33" s="681"/>
    </row>
    <row r="34" spans="1:7">
      <c r="A34" s="234"/>
      <c r="G34" s="681"/>
    </row>
    <row r="35" spans="1:7">
      <c r="A35" s="234"/>
      <c r="G35" s="681"/>
    </row>
    <row r="36" spans="1:7" ht="15.75" thickBot="1">
      <c r="A36" s="235"/>
      <c r="G36" s="681"/>
    </row>
    <row r="37" spans="1:7">
      <c r="A37" t="s">
        <v>2024</v>
      </c>
      <c r="B37" s="678"/>
      <c r="C37" s="678"/>
      <c r="D37" s="678"/>
      <c r="E37" s="678"/>
      <c r="F37" s="678"/>
      <c r="G37" s="678"/>
    </row>
    <row r="38" spans="1:7">
      <c r="A38" s="4" t="s">
        <v>4165</v>
      </c>
      <c r="B38" s="4"/>
      <c r="C38" s="4"/>
      <c r="D38" s="4"/>
      <c r="E38" s="4"/>
      <c r="F38" s="4"/>
      <c r="G38" s="4"/>
    </row>
    <row r="44" spans="1:7" ht="18">
      <c r="B44" s="695"/>
    </row>
    <row r="45" spans="1:7">
      <c r="B45" s="108"/>
    </row>
    <row r="47" spans="1:7">
      <c r="B47" s="86"/>
    </row>
    <row r="48" spans="1:7">
      <c r="B48" s="108"/>
    </row>
    <row r="49" spans="2:2">
      <c r="B49" s="108"/>
    </row>
    <row r="50" spans="2:2">
      <c r="B50" s="108"/>
    </row>
    <row r="51" spans="2:2">
      <c r="B51" s="108"/>
    </row>
    <row r="52" spans="2:2">
      <c r="B52" s="86"/>
    </row>
    <row r="53" spans="2:2">
      <c r="B53" s="108"/>
    </row>
  </sheetData>
  <phoneticPr fontId="0" type="noConversion"/>
  <printOptions horizontalCentered="1" verticalCentered="1"/>
  <pageMargins left="0.4" right="0.4" top="0.3" bottom="0.3" header="0" footer="0"/>
  <pageSetup scale="86"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ransitionEvaluation="1" codeName="Sheet52">
    <pageSetUpPr fitToPage="1"/>
  </sheetPr>
  <dimension ref="A1:J110"/>
  <sheetViews>
    <sheetView defaultGridColor="0" colorId="22" zoomScaleNormal="100" workbookViewId="0">
      <selection activeCell="F35" sqref="F35"/>
    </sheetView>
  </sheetViews>
  <sheetFormatPr defaultColWidth="9.77734375" defaultRowHeight="15"/>
  <cols>
    <col min="1" max="1" width="4.77734375" customWidth="1"/>
    <col min="2" max="2" width="30.77734375" customWidth="1"/>
    <col min="3" max="6" width="16.6640625" customWidth="1"/>
    <col min="7" max="7" width="16.77734375" customWidth="1"/>
    <col min="8" max="8" width="10.6640625" bestFit="1" customWidth="1"/>
    <col min="9" max="9" width="10.33203125" style="1574" bestFit="1" customWidth="1"/>
    <col min="10" max="10" width="11.5546875" bestFit="1" customWidth="1"/>
  </cols>
  <sheetData>
    <row r="1" spans="1:7" ht="15.75" thickBot="1">
      <c r="A1" s="86" t="str">
        <f>'Data sheet'!A65</f>
        <v>Annual Report of Veolia Water New York, Inc.                                                                                          Year Ended  December 31, 2023</v>
      </c>
      <c r="B1" s="86"/>
      <c r="C1" s="86"/>
      <c r="D1" s="86"/>
      <c r="E1" s="86"/>
      <c r="F1" s="5"/>
      <c r="G1" s="5"/>
    </row>
    <row r="2" spans="1:7">
      <c r="A2" s="129"/>
      <c r="B2" s="130"/>
      <c r="C2" s="130"/>
      <c r="D2" s="130"/>
      <c r="E2" s="130"/>
      <c r="F2" s="130"/>
      <c r="G2" s="131"/>
    </row>
    <row r="3" spans="1:7" ht="15.75">
      <c r="A3" s="118" t="s">
        <v>199</v>
      </c>
      <c r="B3" s="3"/>
      <c r="C3" s="5"/>
      <c r="D3" s="5"/>
      <c r="E3" s="5"/>
      <c r="F3" s="5"/>
      <c r="G3" s="132"/>
    </row>
    <row r="4" spans="1:7">
      <c r="A4" s="85"/>
      <c r="B4" s="86"/>
      <c r="C4" s="86"/>
      <c r="D4" s="86"/>
      <c r="E4" s="86"/>
      <c r="F4" s="86"/>
      <c r="G4" s="87"/>
    </row>
    <row r="5" spans="1:7">
      <c r="A5" s="110" t="s">
        <v>284</v>
      </c>
      <c r="B5" s="2862" t="s">
        <v>2420</v>
      </c>
      <c r="C5" s="2862"/>
      <c r="D5" s="2862"/>
      <c r="E5" s="2862"/>
      <c r="F5" s="2862"/>
      <c r="G5" s="2863"/>
    </row>
    <row r="6" spans="1:7">
      <c r="A6" s="85"/>
      <c r="B6" s="2862" t="s">
        <v>2421</v>
      </c>
      <c r="C6" s="2862"/>
      <c r="D6" s="2862"/>
      <c r="E6" s="2862"/>
      <c r="F6" s="2862"/>
      <c r="G6" s="2863"/>
    </row>
    <row r="7" spans="1:7">
      <c r="A7" s="85"/>
      <c r="B7" s="2862" t="s">
        <v>2123</v>
      </c>
      <c r="C7" s="2862"/>
      <c r="D7" s="2862"/>
      <c r="E7" s="2862"/>
      <c r="F7" s="2862"/>
      <c r="G7" s="2863"/>
    </row>
    <row r="8" spans="1:7">
      <c r="A8" s="85"/>
      <c r="B8" s="86"/>
      <c r="C8" s="86"/>
      <c r="D8" s="98"/>
      <c r="E8" s="98"/>
      <c r="F8" s="98"/>
      <c r="G8" s="101"/>
    </row>
    <row r="9" spans="1:7">
      <c r="A9" s="480" t="s">
        <v>1727</v>
      </c>
      <c r="B9" s="90"/>
      <c r="C9" s="1014" t="s">
        <v>2033</v>
      </c>
      <c r="D9" s="365" t="s">
        <v>2034</v>
      </c>
      <c r="E9" s="133"/>
      <c r="F9" s="133"/>
      <c r="G9" s="500"/>
    </row>
    <row r="10" spans="1:7">
      <c r="A10" s="237" t="s">
        <v>1739</v>
      </c>
      <c r="B10" s="94" t="s">
        <v>1290</v>
      </c>
      <c r="C10" s="620" t="s">
        <v>4194</v>
      </c>
      <c r="D10" s="620" t="s">
        <v>4195</v>
      </c>
      <c r="E10" s="620" t="s">
        <v>4196</v>
      </c>
      <c r="F10" s="620" t="s">
        <v>4197</v>
      </c>
      <c r="G10" s="363"/>
    </row>
    <row r="11" spans="1:7">
      <c r="A11" s="187"/>
      <c r="B11" s="996" t="s">
        <v>3279</v>
      </c>
      <c r="C11" s="621" t="s">
        <v>3280</v>
      </c>
      <c r="D11" s="621" t="s">
        <v>3281</v>
      </c>
      <c r="E11" s="621" t="s">
        <v>3282</v>
      </c>
      <c r="F11" s="621" t="s">
        <v>721</v>
      </c>
      <c r="G11" s="367" t="s">
        <v>722</v>
      </c>
    </row>
    <row r="12" spans="1:7">
      <c r="A12" s="237"/>
      <c r="B12" s="239" t="s">
        <v>2422</v>
      </c>
      <c r="C12" s="1118"/>
      <c r="D12" s="1118"/>
      <c r="E12" s="1118"/>
      <c r="F12" s="1118"/>
      <c r="G12" s="1119"/>
    </row>
    <row r="13" spans="1:7">
      <c r="A13" s="237">
        <v>1</v>
      </c>
      <c r="B13" s="86" t="s">
        <v>1163</v>
      </c>
      <c r="C13" s="492"/>
      <c r="D13" s="492"/>
      <c r="E13" s="492"/>
      <c r="F13" s="492"/>
      <c r="G13" s="441">
        <f>SUM(D13:F13)</f>
        <v>0</v>
      </c>
    </row>
    <row r="14" spans="1:7">
      <c r="A14" s="237">
        <v>2</v>
      </c>
      <c r="B14" s="86" t="s">
        <v>4338</v>
      </c>
      <c r="C14" s="484"/>
      <c r="D14" s="1887"/>
      <c r="E14" s="484"/>
      <c r="F14" s="484"/>
      <c r="G14" s="442">
        <f>SUM(D14:F14)</f>
        <v>0</v>
      </c>
    </row>
    <row r="15" spans="1:7">
      <c r="A15" s="237">
        <v>3</v>
      </c>
      <c r="B15" s="86" t="s">
        <v>4339</v>
      </c>
      <c r="C15" s="484"/>
      <c r="D15" s="484"/>
      <c r="E15" s="484"/>
      <c r="F15" s="484"/>
      <c r="G15" s="442">
        <f>SUM(D15:F15)</f>
        <v>0</v>
      </c>
    </row>
    <row r="16" spans="1:7">
      <c r="A16" s="237">
        <v>4</v>
      </c>
      <c r="B16" s="86"/>
      <c r="C16" s="484"/>
      <c r="D16" s="484"/>
      <c r="E16" s="484"/>
      <c r="F16" s="484"/>
      <c r="G16" s="442">
        <f>SUM(D16:F16)</f>
        <v>0</v>
      </c>
    </row>
    <row r="17" spans="1:10">
      <c r="A17" s="237"/>
      <c r="B17" s="239" t="s">
        <v>4340</v>
      </c>
      <c r="C17" s="2579"/>
      <c r="D17" s="2579"/>
      <c r="E17" s="2579"/>
      <c r="F17" s="2579"/>
      <c r="G17" s="2580"/>
    </row>
    <row r="18" spans="1:10">
      <c r="A18" s="237">
        <v>5</v>
      </c>
      <c r="B18" s="5" t="s">
        <v>4341</v>
      </c>
      <c r="C18" s="484"/>
      <c r="D18" s="484"/>
      <c r="E18" s="484"/>
      <c r="F18" s="484">
        <v>863241.9</v>
      </c>
      <c r="G18" s="442">
        <f>SUM(D18:F18)</f>
        <v>863241.9</v>
      </c>
    </row>
    <row r="19" spans="1:10">
      <c r="A19" s="237">
        <v>6</v>
      </c>
      <c r="B19" s="5" t="s">
        <v>3170</v>
      </c>
      <c r="C19" s="484"/>
      <c r="D19" s="484"/>
      <c r="E19" s="484"/>
      <c r="F19" s="484"/>
      <c r="G19" s="442">
        <f>SUM(D19:F19)</f>
        <v>0</v>
      </c>
    </row>
    <row r="20" spans="1:10">
      <c r="A20" s="237">
        <v>7</v>
      </c>
      <c r="B20" s="86" t="s">
        <v>3171</v>
      </c>
      <c r="C20" s="484"/>
      <c r="D20" s="484"/>
      <c r="E20" s="484"/>
      <c r="F20" s="484"/>
      <c r="G20" s="442">
        <f>SUM(D20:F20)</f>
        <v>0</v>
      </c>
    </row>
    <row r="21" spans="1:10">
      <c r="A21" s="237">
        <v>8</v>
      </c>
      <c r="B21" s="5" t="s">
        <v>4368</v>
      </c>
      <c r="C21" s="484"/>
      <c r="D21" s="484"/>
      <c r="E21" s="484"/>
      <c r="F21" s="484">
        <v>229468.86</v>
      </c>
      <c r="G21" s="442">
        <f>SUM(D21:F21)</f>
        <v>229468.86</v>
      </c>
    </row>
    <row r="22" spans="1:10">
      <c r="A22" s="237"/>
      <c r="B22" s="239" t="s">
        <v>3172</v>
      </c>
      <c r="C22" s="2579"/>
      <c r="D22" s="2579"/>
      <c r="E22" s="2579"/>
      <c r="F22" s="2579"/>
      <c r="G22" s="2580"/>
    </row>
    <row r="23" spans="1:10">
      <c r="A23" s="237">
        <v>9</v>
      </c>
      <c r="B23" s="86" t="s">
        <v>3173</v>
      </c>
      <c r="C23" s="484">
        <v>61928.6</v>
      </c>
      <c r="D23" s="484"/>
      <c r="E23" s="484"/>
      <c r="F23" s="484"/>
      <c r="G23" s="442">
        <f>SUM(C23:F23)</f>
        <v>61928.6</v>
      </c>
    </row>
    <row r="24" spans="1:10">
      <c r="A24" s="237">
        <v>10</v>
      </c>
      <c r="B24" s="86" t="s">
        <v>4604</v>
      </c>
      <c r="C24" s="484">
        <v>23651.86</v>
      </c>
      <c r="D24" s="484"/>
      <c r="E24" s="484"/>
      <c r="F24" s="484"/>
      <c r="G24" s="442">
        <f>SUM(C24:F24)</f>
        <v>23651.86</v>
      </c>
    </row>
    <row r="25" spans="1:10">
      <c r="A25" s="237">
        <v>11</v>
      </c>
      <c r="B25" s="86"/>
      <c r="C25" s="484"/>
      <c r="D25" s="484"/>
      <c r="E25" s="484"/>
      <c r="F25" s="484"/>
      <c r="G25" s="442">
        <f>SUM(D25:F25)</f>
        <v>0</v>
      </c>
    </row>
    <row r="26" spans="1:10">
      <c r="A26" s="237"/>
      <c r="B26" s="239" t="s">
        <v>3174</v>
      </c>
      <c r="C26" s="2579"/>
      <c r="D26" s="2579"/>
      <c r="E26" s="2579"/>
      <c r="F26" s="2579"/>
      <c r="G26" s="2580"/>
    </row>
    <row r="27" spans="1:10">
      <c r="A27" s="237">
        <v>12</v>
      </c>
      <c r="B27" s="86"/>
      <c r="C27" s="484"/>
      <c r="D27" s="484"/>
      <c r="E27" s="484"/>
      <c r="F27" s="484"/>
      <c r="G27" s="442">
        <f>SUM(D27:F27)</f>
        <v>0</v>
      </c>
    </row>
    <row r="28" spans="1:10">
      <c r="A28" s="237">
        <v>13</v>
      </c>
      <c r="B28" s="86"/>
      <c r="C28" s="484"/>
      <c r="D28" s="484"/>
      <c r="E28" s="484"/>
      <c r="F28" s="484"/>
      <c r="G28" s="442">
        <f>SUM(D28:F28)</f>
        <v>0</v>
      </c>
    </row>
    <row r="29" spans="1:10">
      <c r="A29" s="237">
        <v>14</v>
      </c>
      <c r="B29" s="86"/>
      <c r="C29" s="484"/>
      <c r="D29" s="484"/>
      <c r="E29" s="484"/>
      <c r="F29" s="484"/>
      <c r="G29" s="442">
        <f>SUM(D29:F29)</f>
        <v>0</v>
      </c>
    </row>
    <row r="30" spans="1:10">
      <c r="A30" s="237">
        <v>15</v>
      </c>
      <c r="B30" s="86"/>
      <c r="C30" s="484"/>
      <c r="D30" s="484"/>
      <c r="E30" s="484"/>
      <c r="F30" s="484"/>
      <c r="G30" s="442">
        <f>SUM(D30:F30)</f>
        <v>0</v>
      </c>
    </row>
    <row r="31" spans="1:10" ht="15.75" thickBot="1">
      <c r="A31" s="240">
        <v>16</v>
      </c>
      <c r="B31" s="1009" t="s">
        <v>1738</v>
      </c>
      <c r="C31" s="776">
        <f>C13+C14+C15+C16+C18+C19+C20+C21+C23+C24+C25+SUM(C27:C30)</f>
        <v>85580.459999999992</v>
      </c>
      <c r="D31" s="776">
        <f>D13+D14+D15+D16+D18+D19+D20+D21+D23+D24+D25+SUM(D27:D30)</f>
        <v>0</v>
      </c>
      <c r="E31" s="776">
        <f>E13+E14+E15+E16+E18+E19+E20+E21+E23+E24+E25+SUM(E27:E30)</f>
        <v>0</v>
      </c>
      <c r="F31" s="776">
        <f>F13+F14+F15+F16+F18+F19+F20+F21+F23+F24+F25+SUM(F27:F30)</f>
        <v>1092710.76</v>
      </c>
      <c r="G31" s="512">
        <f>SUM(D31:F31)</f>
        <v>1092710.76</v>
      </c>
      <c r="H31" s="492" t="str">
        <f>IF(ROUND(G31,0)=ROUND('264265'!L32,0),"ok","error")</f>
        <v>ok</v>
      </c>
      <c r="J31" s="1574"/>
    </row>
    <row r="32" spans="1:10" ht="15.75" thickTop="1">
      <c r="A32" s="237"/>
      <c r="B32" s="86" t="s">
        <v>3175</v>
      </c>
      <c r="C32" s="142"/>
      <c r="D32" s="142"/>
      <c r="E32" s="142"/>
      <c r="F32" s="142"/>
      <c r="G32" s="135"/>
    </row>
    <row r="33" spans="1:7" ht="15.75" thickBot="1">
      <c r="A33" s="443">
        <v>17</v>
      </c>
      <c r="B33" s="113" t="s">
        <v>3176</v>
      </c>
      <c r="C33" s="1259" t="s">
        <v>218</v>
      </c>
      <c r="D33" s="1259"/>
      <c r="E33" s="1259"/>
      <c r="F33" s="1259"/>
      <c r="G33" s="1260"/>
    </row>
    <row r="34" spans="1:7">
      <c r="A34" s="86"/>
      <c r="B34" s="86"/>
      <c r="C34" s="86"/>
      <c r="D34" s="86"/>
      <c r="E34" s="86"/>
      <c r="F34" s="86"/>
      <c r="G34" s="86" t="s">
        <v>2024</v>
      </c>
    </row>
    <row r="35" spans="1:7">
      <c r="A35" s="5" t="s">
        <v>3177</v>
      </c>
      <c r="B35" s="5"/>
      <c r="C35" s="1603"/>
      <c r="D35" s="1603"/>
      <c r="E35" s="1603"/>
      <c r="F35" s="1602"/>
      <c r="G35" s="1603"/>
    </row>
    <row r="36" spans="1:7">
      <c r="A36" s="86"/>
      <c r="B36" s="86"/>
      <c r="C36" s="1604"/>
      <c r="D36" s="1604"/>
      <c r="E36" s="1604"/>
      <c r="F36" s="1604"/>
      <c r="G36" s="1604"/>
    </row>
    <row r="37" spans="1:7">
      <c r="A37" s="86"/>
      <c r="B37" s="86"/>
      <c r="C37" s="426"/>
      <c r="D37" s="1602"/>
      <c r="E37" s="1603"/>
      <c r="F37" s="1602"/>
      <c r="G37" s="1603"/>
    </row>
    <row r="38" spans="1:7">
      <c r="A38" s="86"/>
      <c r="B38" s="86"/>
      <c r="C38" s="86"/>
      <c r="D38" s="86"/>
      <c r="E38" s="86"/>
      <c r="F38" s="86"/>
      <c r="G38" s="86"/>
    </row>
    <row r="39" spans="1:7">
      <c r="A39" s="86"/>
      <c r="B39" s="86"/>
      <c r="C39" s="86"/>
      <c r="D39" s="86"/>
      <c r="E39" s="426"/>
      <c r="F39" s="86"/>
      <c r="G39" s="86"/>
    </row>
    <row r="40" spans="1:7">
      <c r="A40" s="86"/>
      <c r="B40" s="1117"/>
      <c r="C40" s="86"/>
      <c r="D40" s="86"/>
      <c r="E40" s="86"/>
      <c r="F40" s="426"/>
      <c r="G40" s="86"/>
    </row>
    <row r="41" spans="1:7">
      <c r="A41" s="86"/>
      <c r="B41" s="108"/>
      <c r="C41" s="86"/>
      <c r="D41" s="86"/>
      <c r="E41" s="86"/>
      <c r="F41" s="86"/>
      <c r="G41" s="86"/>
    </row>
    <row r="42" spans="1:7">
      <c r="A42" s="86"/>
      <c r="B42" s="86"/>
      <c r="C42" s="86"/>
      <c r="D42" s="86"/>
      <c r="E42" s="86"/>
      <c r="F42" s="86"/>
      <c r="G42" s="86"/>
    </row>
    <row r="43" spans="1:7">
      <c r="A43" s="86"/>
      <c r="B43" s="86"/>
      <c r="C43" s="86"/>
      <c r="D43" s="86"/>
      <c r="E43" s="86"/>
      <c r="F43" s="86"/>
      <c r="G43" s="86"/>
    </row>
    <row r="44" spans="1:7">
      <c r="A44" s="86"/>
      <c r="B44" s="108"/>
      <c r="C44" s="86"/>
      <c r="D44" s="86"/>
      <c r="E44" s="86"/>
      <c r="F44" s="86"/>
      <c r="G44" s="86"/>
    </row>
    <row r="45" spans="1:7">
      <c r="A45" s="86"/>
      <c r="B45" s="108"/>
      <c r="C45" s="86"/>
      <c r="D45" s="86"/>
      <c r="E45" s="86"/>
      <c r="F45" s="86"/>
      <c r="G45" s="86"/>
    </row>
    <row r="46" spans="1:7">
      <c r="A46" s="86"/>
      <c r="B46" s="108"/>
      <c r="C46" s="86"/>
      <c r="D46" s="86"/>
      <c r="E46" s="86"/>
      <c r="F46" s="86"/>
      <c r="G46" s="86"/>
    </row>
    <row r="47" spans="1:7">
      <c r="A47" s="86"/>
      <c r="B47" s="108"/>
      <c r="C47" s="86"/>
      <c r="D47" s="86"/>
      <c r="E47" s="86"/>
      <c r="F47" s="86"/>
      <c r="G47" s="86"/>
    </row>
    <row r="48" spans="1:7">
      <c r="A48" s="86"/>
      <c r="B48" s="86"/>
      <c r="C48" s="86"/>
      <c r="D48" s="86"/>
      <c r="E48" s="86"/>
      <c r="F48" s="86"/>
      <c r="G48" s="86"/>
    </row>
    <row r="49" spans="1:7">
      <c r="A49" s="86"/>
      <c r="B49" s="108"/>
      <c r="C49" s="86"/>
      <c r="D49" s="86"/>
      <c r="E49" s="86"/>
      <c r="F49" s="86"/>
      <c r="G49" s="86"/>
    </row>
    <row r="50" spans="1:7">
      <c r="A50" s="86"/>
      <c r="B50" s="86"/>
      <c r="C50" s="86"/>
      <c r="D50" s="86"/>
      <c r="E50" s="86"/>
      <c r="F50" s="86"/>
      <c r="G50" s="86"/>
    </row>
    <row r="51" spans="1:7">
      <c r="A51" s="86"/>
      <c r="B51" s="86"/>
      <c r="C51" s="86"/>
      <c r="D51" s="86"/>
      <c r="E51" s="86"/>
      <c r="F51" s="86"/>
      <c r="G51" s="86"/>
    </row>
    <row r="52" spans="1:7">
      <c r="A52" s="86"/>
      <c r="B52" s="86"/>
      <c r="C52" s="86"/>
      <c r="D52" s="86"/>
      <c r="E52" s="86"/>
      <c r="F52" s="86"/>
      <c r="G52" s="86"/>
    </row>
    <row r="53" spans="1:7">
      <c r="A53" s="86"/>
      <c r="B53" s="86"/>
      <c r="C53" s="86"/>
      <c r="D53" s="86"/>
      <c r="E53" s="86"/>
      <c r="F53" s="86"/>
      <c r="G53" s="86"/>
    </row>
    <row r="54" spans="1:7">
      <c r="A54" s="86"/>
      <c r="B54" s="86"/>
      <c r="C54" s="86"/>
      <c r="D54" s="86"/>
      <c r="E54" s="86"/>
      <c r="F54" s="86"/>
      <c r="G54" s="86"/>
    </row>
    <row r="55" spans="1:7">
      <c r="A55" s="86"/>
      <c r="B55" s="86"/>
      <c r="C55" s="86"/>
      <c r="D55" s="86"/>
      <c r="E55" s="86"/>
      <c r="F55" s="86"/>
      <c r="G55" s="86"/>
    </row>
    <row r="56" spans="1:7">
      <c r="A56" s="86"/>
      <c r="B56" s="86"/>
      <c r="C56" s="86"/>
      <c r="D56" s="86"/>
      <c r="E56" s="86"/>
      <c r="F56" s="86"/>
      <c r="G56" s="86"/>
    </row>
    <row r="57" spans="1:7">
      <c r="A57" s="86"/>
      <c r="B57" s="86"/>
      <c r="C57" s="86"/>
      <c r="D57" s="86"/>
      <c r="E57" s="86"/>
      <c r="F57" s="86"/>
      <c r="G57" s="86"/>
    </row>
    <row r="58" spans="1:7">
      <c r="A58" s="86"/>
      <c r="B58" s="86"/>
      <c r="C58" s="86"/>
      <c r="D58" s="86"/>
      <c r="E58" s="86"/>
      <c r="F58" s="86"/>
      <c r="G58" s="86"/>
    </row>
    <row r="59" spans="1:7">
      <c r="A59" s="86"/>
      <c r="B59" s="86"/>
      <c r="C59" s="86"/>
      <c r="D59" s="86"/>
      <c r="E59" s="86"/>
      <c r="F59" s="86"/>
      <c r="G59" s="86"/>
    </row>
    <row r="60" spans="1:7">
      <c r="A60" s="86"/>
      <c r="B60" s="86"/>
      <c r="C60" s="86"/>
      <c r="D60" s="86"/>
      <c r="E60" s="86"/>
      <c r="F60" s="86"/>
      <c r="G60" s="86"/>
    </row>
    <row r="61" spans="1:7">
      <c r="A61" s="86"/>
      <c r="B61" s="86"/>
      <c r="C61" s="86"/>
      <c r="D61" s="86"/>
      <c r="E61" s="86"/>
      <c r="F61" s="86"/>
      <c r="G61" s="86"/>
    </row>
    <row r="62" spans="1:7">
      <c r="A62" s="86"/>
      <c r="B62" s="86"/>
      <c r="C62" s="86"/>
      <c r="D62" s="86"/>
      <c r="E62" s="86"/>
      <c r="F62" s="86"/>
      <c r="G62" s="86"/>
    </row>
    <row r="63" spans="1:7">
      <c r="A63" s="86"/>
      <c r="B63" s="86"/>
      <c r="C63" s="86"/>
      <c r="D63" s="86"/>
      <c r="E63" s="86"/>
      <c r="F63" s="86"/>
      <c r="G63" s="86"/>
    </row>
    <row r="64" spans="1:7">
      <c r="A64" s="86"/>
      <c r="B64" s="86"/>
      <c r="C64" s="86"/>
      <c r="D64" s="86"/>
      <c r="E64" s="86"/>
      <c r="F64" s="86"/>
      <c r="G64" s="86"/>
    </row>
    <row r="65" spans="1:7">
      <c r="A65" s="86"/>
      <c r="B65" s="86"/>
      <c r="C65" s="86"/>
      <c r="D65" s="86"/>
      <c r="E65" s="86"/>
      <c r="F65" s="86"/>
      <c r="G65" s="86"/>
    </row>
    <row r="66" spans="1:7">
      <c r="A66" s="86"/>
      <c r="B66" s="86"/>
      <c r="C66" s="86"/>
      <c r="D66" s="86"/>
      <c r="E66" s="86"/>
      <c r="F66" s="86"/>
      <c r="G66" s="86"/>
    </row>
    <row r="67" spans="1:7">
      <c r="A67" s="86"/>
      <c r="B67" s="86"/>
      <c r="C67" s="86"/>
      <c r="D67" s="86"/>
      <c r="E67" s="86"/>
      <c r="F67" s="86"/>
      <c r="G67" s="86"/>
    </row>
    <row r="68" spans="1:7">
      <c r="A68" s="86"/>
      <c r="B68" s="86"/>
      <c r="C68" s="86"/>
      <c r="D68" s="86"/>
      <c r="E68" s="86"/>
      <c r="F68" s="86"/>
      <c r="G68" s="86"/>
    </row>
    <row r="69" spans="1:7">
      <c r="A69" s="86"/>
      <c r="B69" s="86"/>
      <c r="C69" s="86"/>
      <c r="D69" s="86"/>
      <c r="E69" s="86"/>
      <c r="F69" s="86"/>
      <c r="G69" s="86"/>
    </row>
    <row r="70" spans="1:7">
      <c r="A70" s="86"/>
      <c r="B70" s="86"/>
      <c r="C70" s="86"/>
      <c r="D70" s="86"/>
      <c r="E70" s="86"/>
      <c r="F70" s="86"/>
      <c r="G70" s="86"/>
    </row>
    <row r="71" spans="1:7">
      <c r="A71" s="86"/>
      <c r="B71" s="86"/>
      <c r="C71" s="86"/>
      <c r="D71" s="86"/>
      <c r="E71" s="86"/>
      <c r="F71" s="86"/>
      <c r="G71" s="86"/>
    </row>
    <row r="72" spans="1:7">
      <c r="A72" s="86"/>
      <c r="B72" s="86"/>
      <c r="C72" s="86"/>
      <c r="D72" s="86"/>
      <c r="E72" s="86"/>
      <c r="F72" s="86"/>
      <c r="G72" s="86"/>
    </row>
    <row r="73" spans="1:7">
      <c r="A73" s="86"/>
      <c r="B73" s="86"/>
      <c r="C73" s="86"/>
      <c r="D73" s="86"/>
      <c r="E73" s="86"/>
      <c r="F73" s="86"/>
      <c r="G73" s="86"/>
    </row>
    <row r="74" spans="1:7">
      <c r="A74" s="86"/>
      <c r="B74" s="86"/>
      <c r="C74" s="86"/>
      <c r="D74" s="86"/>
      <c r="E74" s="86"/>
      <c r="F74" s="86"/>
      <c r="G74" s="86"/>
    </row>
    <row r="75" spans="1:7">
      <c r="A75" s="86"/>
      <c r="B75" s="86"/>
      <c r="C75" s="86"/>
      <c r="D75" s="86"/>
      <c r="E75" s="86"/>
      <c r="F75" s="86"/>
      <c r="G75" s="86"/>
    </row>
    <row r="76" spans="1:7">
      <c r="A76" s="86"/>
      <c r="B76" s="86"/>
      <c r="C76" s="86"/>
      <c r="D76" s="86"/>
      <c r="E76" s="86"/>
      <c r="F76" s="86"/>
      <c r="G76" s="86"/>
    </row>
    <row r="77" spans="1:7">
      <c r="A77" s="86"/>
      <c r="B77" s="86"/>
      <c r="C77" s="86"/>
      <c r="D77" s="86"/>
      <c r="E77" s="86"/>
      <c r="F77" s="86"/>
      <c r="G77" s="86"/>
    </row>
    <row r="78" spans="1:7">
      <c r="A78" s="86"/>
      <c r="B78" s="86"/>
      <c r="C78" s="86"/>
      <c r="D78" s="86"/>
      <c r="E78" s="86"/>
      <c r="F78" s="86"/>
      <c r="G78" s="86"/>
    </row>
    <row r="79" spans="1:7">
      <c r="A79" s="86"/>
      <c r="B79" s="86"/>
      <c r="C79" s="86"/>
      <c r="D79" s="86"/>
      <c r="E79" s="86"/>
      <c r="F79" s="86"/>
      <c r="G79" s="86"/>
    </row>
    <row r="80" spans="1:7">
      <c r="A80" s="86"/>
      <c r="B80" s="86"/>
      <c r="C80" s="86"/>
      <c r="D80" s="86"/>
      <c r="E80" s="86"/>
      <c r="F80" s="86"/>
      <c r="G80" s="86"/>
    </row>
    <row r="81" spans="1:7">
      <c r="A81" s="86"/>
      <c r="B81" s="86"/>
      <c r="C81" s="86"/>
      <c r="D81" s="86"/>
      <c r="E81" s="86"/>
      <c r="F81" s="86"/>
      <c r="G81" s="86"/>
    </row>
    <row r="82" spans="1:7">
      <c r="A82" s="86"/>
      <c r="B82" s="86"/>
      <c r="C82" s="86"/>
      <c r="D82" s="86"/>
      <c r="E82" s="86"/>
      <c r="F82" s="86"/>
      <c r="G82" s="86"/>
    </row>
    <row r="83" spans="1:7">
      <c r="A83" s="86"/>
      <c r="B83" s="86"/>
      <c r="C83" s="86"/>
      <c r="D83" s="86"/>
      <c r="E83" s="86"/>
      <c r="F83" s="86"/>
      <c r="G83" s="86"/>
    </row>
    <row r="84" spans="1:7">
      <c r="A84" s="86"/>
      <c r="B84" s="86"/>
      <c r="C84" s="86"/>
      <c r="D84" s="86"/>
      <c r="E84" s="86"/>
      <c r="F84" s="86"/>
      <c r="G84" s="86"/>
    </row>
    <row r="85" spans="1:7">
      <c r="A85" s="86"/>
      <c r="B85" s="86"/>
      <c r="C85" s="86"/>
      <c r="D85" s="86"/>
      <c r="E85" s="86"/>
      <c r="F85" s="86"/>
      <c r="G85" s="86"/>
    </row>
    <row r="86" spans="1:7">
      <c r="A86" s="86"/>
      <c r="B86" s="86"/>
      <c r="C86" s="86"/>
      <c r="D86" s="86"/>
      <c r="E86" s="86"/>
      <c r="F86" s="86"/>
      <c r="G86" s="86"/>
    </row>
    <row r="87" spans="1:7">
      <c r="A87" s="86"/>
      <c r="B87" s="86"/>
      <c r="C87" s="86"/>
      <c r="D87" s="86"/>
      <c r="E87" s="86"/>
      <c r="F87" s="86"/>
      <c r="G87" s="86"/>
    </row>
    <row r="88" spans="1:7">
      <c r="A88" s="86"/>
      <c r="B88" s="86"/>
      <c r="C88" s="86"/>
      <c r="D88" s="86"/>
      <c r="E88" s="86"/>
      <c r="F88" s="86"/>
      <c r="G88" s="86"/>
    </row>
    <row r="89" spans="1:7">
      <c r="A89" s="86"/>
      <c r="B89" s="86"/>
      <c r="C89" s="86"/>
      <c r="D89" s="86"/>
      <c r="E89" s="86"/>
      <c r="F89" s="86"/>
      <c r="G89" s="86"/>
    </row>
    <row r="90" spans="1:7">
      <c r="A90" s="86"/>
      <c r="B90" s="86"/>
      <c r="C90" s="86"/>
      <c r="D90" s="86"/>
      <c r="E90" s="86"/>
      <c r="F90" s="86"/>
      <c r="G90" s="86"/>
    </row>
    <row r="91" spans="1:7">
      <c r="A91" s="86"/>
      <c r="B91" s="86"/>
      <c r="C91" s="86"/>
      <c r="D91" s="86"/>
      <c r="E91" s="86"/>
      <c r="F91" s="86"/>
      <c r="G91" s="86"/>
    </row>
    <row r="92" spans="1:7">
      <c r="A92" s="86"/>
      <c r="B92" s="86"/>
      <c r="C92" s="86"/>
      <c r="D92" s="86"/>
      <c r="E92" s="86"/>
      <c r="F92" s="86"/>
      <c r="G92" s="86"/>
    </row>
    <row r="93" spans="1:7">
      <c r="A93" s="86"/>
      <c r="B93" s="86"/>
      <c r="C93" s="86"/>
      <c r="D93" s="86"/>
      <c r="E93" s="86"/>
      <c r="F93" s="86"/>
      <c r="G93" s="86"/>
    </row>
    <row r="94" spans="1:7">
      <c r="A94" s="86"/>
      <c r="B94" s="86"/>
      <c r="C94" s="86"/>
      <c r="D94" s="86"/>
      <c r="E94" s="86"/>
      <c r="F94" s="86"/>
      <c r="G94" s="86"/>
    </row>
    <row r="95" spans="1:7">
      <c r="A95" s="86"/>
      <c r="B95" s="86"/>
      <c r="C95" s="86"/>
      <c r="D95" s="86"/>
      <c r="E95" s="86"/>
      <c r="F95" s="86"/>
      <c r="G95" s="86"/>
    </row>
    <row r="96" spans="1:7">
      <c r="A96" s="86"/>
      <c r="B96" s="86"/>
      <c r="C96" s="86"/>
      <c r="D96" s="86"/>
      <c r="E96" s="86"/>
      <c r="F96" s="86"/>
      <c r="G96" s="86"/>
    </row>
    <row r="97" spans="1:7">
      <c r="A97" s="86"/>
      <c r="B97" s="86"/>
      <c r="C97" s="86"/>
      <c r="D97" s="86"/>
      <c r="E97" s="86"/>
      <c r="F97" s="86"/>
      <c r="G97" s="86"/>
    </row>
    <row r="98" spans="1:7">
      <c r="A98" s="86"/>
      <c r="B98" s="86"/>
      <c r="C98" s="86"/>
      <c r="D98" s="86"/>
      <c r="E98" s="86"/>
      <c r="F98" s="86"/>
      <c r="G98" s="86"/>
    </row>
    <row r="99" spans="1:7">
      <c r="A99" s="86"/>
      <c r="B99" s="86"/>
      <c r="C99" s="86"/>
      <c r="D99" s="86"/>
      <c r="E99" s="86"/>
      <c r="F99" s="86"/>
      <c r="G99" s="86"/>
    </row>
    <row r="100" spans="1:7">
      <c r="A100" s="86"/>
      <c r="B100" s="86"/>
      <c r="C100" s="86"/>
      <c r="D100" s="86"/>
      <c r="E100" s="86"/>
      <c r="F100" s="86"/>
      <c r="G100" s="86"/>
    </row>
    <row r="101" spans="1:7">
      <c r="A101" s="86"/>
      <c r="B101" s="86"/>
      <c r="C101" s="86"/>
      <c r="D101" s="86"/>
      <c r="E101" s="86"/>
      <c r="F101" s="86"/>
      <c r="G101" s="86"/>
    </row>
    <row r="102" spans="1:7">
      <c r="A102" s="86"/>
      <c r="B102" s="86"/>
      <c r="C102" s="86"/>
      <c r="D102" s="86"/>
      <c r="E102" s="86"/>
      <c r="F102" s="86"/>
      <c r="G102" s="86"/>
    </row>
    <row r="103" spans="1:7">
      <c r="A103" s="86"/>
      <c r="B103" s="86"/>
      <c r="C103" s="86"/>
      <c r="D103" s="86"/>
      <c r="E103" s="86"/>
      <c r="F103" s="86"/>
      <c r="G103" s="86"/>
    </row>
    <row r="104" spans="1:7">
      <c r="A104" s="86"/>
      <c r="B104" s="86"/>
      <c r="C104" s="86"/>
      <c r="D104" s="86"/>
      <c r="E104" s="86"/>
      <c r="F104" s="86"/>
      <c r="G104" s="86"/>
    </row>
    <row r="105" spans="1:7">
      <c r="A105" s="86"/>
      <c r="B105" s="86"/>
      <c r="C105" s="86"/>
      <c r="D105" s="86"/>
      <c r="E105" s="86"/>
      <c r="F105" s="86"/>
      <c r="G105" s="86"/>
    </row>
    <row r="106" spans="1:7">
      <c r="A106" s="86"/>
      <c r="B106" s="86"/>
      <c r="C106" s="86"/>
      <c r="D106" s="86"/>
      <c r="E106" s="86"/>
      <c r="F106" s="86"/>
      <c r="G106" s="86"/>
    </row>
    <row r="107" spans="1:7">
      <c r="A107" s="86"/>
      <c r="B107" s="86"/>
      <c r="C107" s="86"/>
      <c r="D107" s="86"/>
      <c r="E107" s="86"/>
      <c r="F107" s="86"/>
      <c r="G107" s="86"/>
    </row>
    <row r="108" spans="1:7">
      <c r="A108" s="86"/>
      <c r="B108" s="86"/>
      <c r="C108" s="86"/>
      <c r="D108" s="86"/>
      <c r="E108" s="86"/>
      <c r="F108" s="86"/>
      <c r="G108" s="86"/>
    </row>
    <row r="109" spans="1:7">
      <c r="A109" s="86"/>
      <c r="B109" s="86"/>
      <c r="C109" s="86"/>
      <c r="D109" s="86"/>
      <c r="E109" s="86"/>
      <c r="F109" s="86"/>
      <c r="G109" s="86"/>
    </row>
    <row r="110" spans="1:7">
      <c r="A110" s="86"/>
      <c r="B110" s="86"/>
      <c r="C110" s="86"/>
      <c r="D110" s="86"/>
      <c r="E110" s="86"/>
      <c r="F110" s="86"/>
      <c r="G110" s="86"/>
    </row>
  </sheetData>
  <mergeCells count="3">
    <mergeCell ref="B5:G5"/>
    <mergeCell ref="B6:G6"/>
    <mergeCell ref="B7:G7"/>
  </mergeCells>
  <phoneticPr fontId="0" type="noConversion"/>
  <pageMargins left="0.4" right="0.4" top="0.3" bottom="0.3" header="0.5" footer="0.5"/>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5"/>
  <dimension ref="A1:I168"/>
  <sheetViews>
    <sheetView defaultGridColor="0" topLeftCell="A31" colorId="22" zoomScale="87" zoomScaleNormal="87" workbookViewId="0">
      <selection activeCell="R36" sqref="R36"/>
    </sheetView>
  </sheetViews>
  <sheetFormatPr defaultColWidth="9.77734375" defaultRowHeight="15"/>
  <cols>
    <col min="1" max="1" width="2.77734375" customWidth="1"/>
    <col min="2" max="2" width="38.77734375" customWidth="1"/>
    <col min="3" max="3" width="7.77734375" customWidth="1"/>
    <col min="4" max="4" width="3.77734375" customWidth="1"/>
    <col min="5" max="6" width="0" hidden="1" customWidth="1"/>
    <col min="7" max="7" width="12.77734375" customWidth="1"/>
    <col min="9" max="9" width="15.77734375" customWidth="1"/>
  </cols>
  <sheetData>
    <row r="1" spans="1:9" ht="15.75" thickBot="1">
      <c r="A1" t="str">
        <f>'Data sheet'!A55</f>
        <v>Annual Report of Veolia Water New York, Inc.                                  Year Ended  December 31, 2023</v>
      </c>
    </row>
    <row r="2" spans="1:9">
      <c r="A2" s="80"/>
      <c r="B2" s="81"/>
      <c r="C2" s="81"/>
      <c r="D2" s="81"/>
      <c r="E2" s="81"/>
      <c r="F2" s="81"/>
      <c r="G2" s="81"/>
      <c r="H2" s="81"/>
      <c r="I2" s="82"/>
    </row>
    <row r="3" spans="1:9" ht="15.75">
      <c r="A3" s="83"/>
      <c r="B3" s="3" t="s">
        <v>3272</v>
      </c>
      <c r="C3" s="3"/>
      <c r="D3" s="3"/>
      <c r="E3" s="3"/>
      <c r="F3" s="3"/>
      <c r="G3" s="3"/>
      <c r="H3" s="3"/>
      <c r="I3" s="84"/>
    </row>
    <row r="4" spans="1:9">
      <c r="A4" s="85"/>
      <c r="B4" s="86"/>
      <c r="C4" s="86"/>
      <c r="D4" s="86"/>
      <c r="E4" s="86"/>
      <c r="F4" s="86"/>
      <c r="G4" s="86"/>
      <c r="H4" s="86"/>
      <c r="I4" s="87"/>
    </row>
    <row r="5" spans="1:9">
      <c r="A5" s="88"/>
      <c r="B5" s="89"/>
      <c r="C5" s="90"/>
      <c r="D5" s="91"/>
      <c r="E5" s="994" t="s">
        <v>3273</v>
      </c>
      <c r="F5" s="995" t="s">
        <v>3274</v>
      </c>
      <c r="G5" s="994" t="s">
        <v>3273</v>
      </c>
      <c r="H5" s="995" t="s">
        <v>3274</v>
      </c>
      <c r="I5" s="93"/>
    </row>
    <row r="6" spans="1:9">
      <c r="A6" s="85"/>
      <c r="B6" s="94" t="s">
        <v>3275</v>
      </c>
      <c r="C6" s="86"/>
      <c r="D6" s="95"/>
      <c r="E6" s="94" t="s">
        <v>3276</v>
      </c>
      <c r="F6" s="109" t="s">
        <v>3277</v>
      </c>
      <c r="G6" s="94" t="s">
        <v>3276</v>
      </c>
      <c r="H6" s="109" t="s">
        <v>3277</v>
      </c>
      <c r="I6" s="428" t="s">
        <v>3278</v>
      </c>
    </row>
    <row r="7" spans="1:9">
      <c r="A7" s="97"/>
      <c r="B7" s="996" t="s">
        <v>3279</v>
      </c>
      <c r="C7" s="98"/>
      <c r="D7" s="99"/>
      <c r="E7" s="996" t="s">
        <v>3280</v>
      </c>
      <c r="F7" s="997" t="s">
        <v>3281</v>
      </c>
      <c r="G7" s="996" t="s">
        <v>3280</v>
      </c>
      <c r="H7" s="997" t="s">
        <v>3281</v>
      </c>
      <c r="I7" s="424" t="s">
        <v>3282</v>
      </c>
    </row>
    <row r="8" spans="1:9" ht="15.75">
      <c r="A8" s="85"/>
      <c r="B8" s="3" t="s">
        <v>3283</v>
      </c>
      <c r="C8" s="3"/>
      <c r="D8" s="102"/>
      <c r="E8" s="86"/>
      <c r="F8" s="103"/>
      <c r="G8" s="103"/>
      <c r="H8" s="103"/>
      <c r="I8" s="87"/>
    </row>
    <row r="9" spans="1:9" ht="15.75">
      <c r="A9" s="104"/>
      <c r="B9" s="3" t="s">
        <v>3284</v>
      </c>
      <c r="C9" s="3"/>
      <c r="D9" s="102"/>
      <c r="E9" s="105"/>
      <c r="F9" s="103"/>
      <c r="G9" s="103"/>
      <c r="H9" s="103"/>
      <c r="I9" s="87"/>
    </row>
    <row r="10" spans="1:9" ht="15.75">
      <c r="A10" s="104"/>
      <c r="B10" s="86" t="s">
        <v>2029</v>
      </c>
      <c r="C10" s="106"/>
      <c r="D10" s="107"/>
      <c r="E10" s="105"/>
      <c r="F10" s="103"/>
      <c r="G10" s="103"/>
      <c r="H10" s="103" t="s">
        <v>3285</v>
      </c>
      <c r="I10" s="87"/>
    </row>
    <row r="11" spans="1:9" ht="15.75">
      <c r="A11" s="104"/>
      <c r="B11" s="86" t="s">
        <v>3196</v>
      </c>
      <c r="C11" s="106"/>
      <c r="D11" s="107"/>
      <c r="E11" s="105"/>
      <c r="F11" s="103"/>
      <c r="G11" s="103" t="s">
        <v>3197</v>
      </c>
      <c r="H11" s="103" t="s">
        <v>3198</v>
      </c>
      <c r="I11" s="87"/>
    </row>
    <row r="12" spans="1:9" ht="15.75">
      <c r="A12" s="104"/>
      <c r="B12" s="86" t="s">
        <v>3199</v>
      </c>
      <c r="C12" s="106"/>
      <c r="D12" s="107"/>
      <c r="E12" s="105"/>
      <c r="F12" s="103"/>
      <c r="G12" s="103" t="s">
        <v>3200</v>
      </c>
      <c r="H12" s="103" t="s">
        <v>3508</v>
      </c>
      <c r="I12" s="87"/>
    </row>
    <row r="13" spans="1:9" ht="15.75">
      <c r="A13" s="104"/>
      <c r="B13" s="86" t="s">
        <v>3509</v>
      </c>
      <c r="C13" s="106"/>
      <c r="D13" s="107"/>
      <c r="E13" s="105"/>
      <c r="F13" s="103"/>
      <c r="G13" s="103" t="s">
        <v>3510</v>
      </c>
      <c r="H13" s="103" t="s">
        <v>3198</v>
      </c>
      <c r="I13" s="87"/>
    </row>
    <row r="14" spans="1:9" ht="15.75">
      <c r="A14" s="104"/>
      <c r="B14" s="86" t="s">
        <v>3511</v>
      </c>
      <c r="C14" s="106"/>
      <c r="D14" s="107"/>
      <c r="E14" s="105"/>
      <c r="F14" s="103"/>
      <c r="G14" s="103" t="s">
        <v>3512</v>
      </c>
      <c r="H14" s="103" t="s">
        <v>3198</v>
      </c>
      <c r="I14" s="87"/>
    </row>
    <row r="15" spans="1:9" ht="15.75">
      <c r="A15" s="104"/>
      <c r="B15" s="86" t="s">
        <v>3513</v>
      </c>
      <c r="C15" s="106"/>
      <c r="D15" s="107"/>
      <c r="E15" s="105"/>
      <c r="F15" s="103"/>
      <c r="G15" s="103" t="s">
        <v>3514</v>
      </c>
      <c r="H15" s="103" t="s">
        <v>3198</v>
      </c>
      <c r="I15" s="87"/>
    </row>
    <row r="16" spans="1:9">
      <c r="A16" s="104"/>
      <c r="B16" s="86" t="s">
        <v>3515</v>
      </c>
      <c r="C16" s="86"/>
      <c r="D16" s="95"/>
      <c r="E16" s="998" t="s">
        <v>3512</v>
      </c>
      <c r="F16" s="103" t="s">
        <v>3516</v>
      </c>
      <c r="G16" s="103" t="s">
        <v>3517</v>
      </c>
      <c r="H16" s="103" t="s">
        <v>3198</v>
      </c>
      <c r="I16" s="87"/>
    </row>
    <row r="17" spans="1:9">
      <c r="A17" s="104"/>
      <c r="B17" s="86" t="s">
        <v>3518</v>
      </c>
      <c r="C17" s="86"/>
      <c r="D17" s="95"/>
      <c r="E17" s="998" t="s">
        <v>3514</v>
      </c>
      <c r="F17" s="103" t="s">
        <v>3519</v>
      </c>
      <c r="G17" s="103" t="s">
        <v>3520</v>
      </c>
      <c r="H17" s="103" t="s">
        <v>3198</v>
      </c>
      <c r="I17" s="87"/>
    </row>
    <row r="18" spans="1:9">
      <c r="A18" s="104"/>
      <c r="B18" s="108" t="s">
        <v>3521</v>
      </c>
      <c r="C18" s="86"/>
      <c r="D18" s="95"/>
      <c r="E18" s="998" t="s">
        <v>3522</v>
      </c>
      <c r="F18" s="103" t="s">
        <v>3519</v>
      </c>
      <c r="G18" s="103" t="s">
        <v>3523</v>
      </c>
      <c r="H18" s="103" t="s">
        <v>3198</v>
      </c>
      <c r="I18" s="87"/>
    </row>
    <row r="19" spans="1:9">
      <c r="A19" s="104"/>
      <c r="B19" s="108" t="s">
        <v>3524</v>
      </c>
      <c r="C19" s="86"/>
      <c r="D19" s="95"/>
      <c r="E19" s="105"/>
      <c r="F19" s="103"/>
      <c r="G19" s="103" t="s">
        <v>3525</v>
      </c>
      <c r="H19" s="103" t="s">
        <v>3198</v>
      </c>
      <c r="I19" s="87"/>
    </row>
    <row r="20" spans="1:9">
      <c r="A20" s="104"/>
      <c r="B20" s="86" t="s">
        <v>3526</v>
      </c>
      <c r="C20" s="86"/>
      <c r="D20" s="95"/>
      <c r="E20" s="998" t="s">
        <v>3523</v>
      </c>
      <c r="F20" s="103" t="s">
        <v>3519</v>
      </c>
      <c r="G20" s="103" t="s">
        <v>3527</v>
      </c>
      <c r="H20" s="103" t="s">
        <v>3198</v>
      </c>
      <c r="I20" s="87"/>
    </row>
    <row r="21" spans="1:9">
      <c r="A21" s="104"/>
      <c r="B21" s="86" t="s">
        <v>3528</v>
      </c>
      <c r="C21" s="86"/>
      <c r="D21" s="95"/>
      <c r="E21" s="105"/>
      <c r="F21" s="103"/>
      <c r="G21" s="103" t="s">
        <v>3529</v>
      </c>
      <c r="H21" s="103" t="s">
        <v>3198</v>
      </c>
      <c r="I21" s="87"/>
    </row>
    <row r="22" spans="1:9" ht="15.75">
      <c r="A22" s="104"/>
      <c r="B22" s="86"/>
      <c r="C22" s="106"/>
      <c r="D22" s="107"/>
      <c r="E22" s="86" t="s">
        <v>220</v>
      </c>
      <c r="F22" s="103"/>
      <c r="G22" s="103"/>
      <c r="H22" s="103"/>
      <c r="I22" s="87"/>
    </row>
    <row r="23" spans="1:9" ht="15.75">
      <c r="A23" s="104"/>
      <c r="B23" s="3" t="s">
        <v>3530</v>
      </c>
      <c r="C23" s="3"/>
      <c r="D23" s="102"/>
      <c r="E23" s="86"/>
      <c r="F23" s="103"/>
      <c r="G23" s="103"/>
      <c r="H23" s="103"/>
      <c r="I23" s="87"/>
    </row>
    <row r="24" spans="1:9" ht="15.75">
      <c r="A24" s="104"/>
      <c r="B24" s="3" t="s">
        <v>3531</v>
      </c>
      <c r="C24" s="3"/>
      <c r="D24" s="102"/>
      <c r="E24" s="86"/>
      <c r="F24" s="103"/>
      <c r="G24" s="103"/>
      <c r="H24" s="103"/>
      <c r="I24" s="87"/>
    </row>
    <row r="25" spans="1:9">
      <c r="A25" s="104"/>
      <c r="B25" s="86" t="s">
        <v>2409</v>
      </c>
      <c r="C25" s="86"/>
      <c r="D25" s="95"/>
      <c r="E25" s="86"/>
      <c r="F25" s="103"/>
      <c r="G25" s="103"/>
      <c r="H25" s="103"/>
      <c r="I25" s="87"/>
    </row>
    <row r="26" spans="1:9">
      <c r="A26" s="104"/>
      <c r="B26" s="86" t="s">
        <v>2410</v>
      </c>
      <c r="C26" s="86"/>
      <c r="D26" s="95"/>
      <c r="E26" s="94" t="s">
        <v>2411</v>
      </c>
      <c r="F26" s="103" t="s">
        <v>2412</v>
      </c>
      <c r="G26" s="103" t="s">
        <v>2411</v>
      </c>
      <c r="H26" s="103" t="s">
        <v>3198</v>
      </c>
      <c r="I26" s="87"/>
    </row>
    <row r="27" spans="1:9">
      <c r="A27" s="104"/>
      <c r="B27" s="86" t="s">
        <v>2413</v>
      </c>
      <c r="C27" s="86"/>
      <c r="D27" s="95"/>
      <c r="E27" s="94" t="s">
        <v>1390</v>
      </c>
      <c r="F27" s="103" t="s">
        <v>2412</v>
      </c>
      <c r="G27" s="103" t="s">
        <v>1391</v>
      </c>
      <c r="H27" s="103" t="s">
        <v>3198</v>
      </c>
      <c r="I27" s="87"/>
    </row>
    <row r="28" spans="1:9">
      <c r="A28" s="104"/>
      <c r="B28" s="86" t="s">
        <v>1392</v>
      </c>
      <c r="C28" s="86"/>
      <c r="D28" s="95"/>
      <c r="E28" s="94" t="s">
        <v>1393</v>
      </c>
      <c r="F28" s="109" t="s">
        <v>3508</v>
      </c>
      <c r="G28" s="109" t="s">
        <v>1394</v>
      </c>
      <c r="H28" s="103" t="s">
        <v>3198</v>
      </c>
      <c r="I28" s="87"/>
    </row>
    <row r="29" spans="1:9">
      <c r="A29" s="104"/>
      <c r="B29" s="86" t="s">
        <v>1395</v>
      </c>
      <c r="C29" s="86"/>
      <c r="D29" s="95"/>
      <c r="E29" s="94" t="s">
        <v>4299</v>
      </c>
      <c r="F29" s="109" t="s">
        <v>3508</v>
      </c>
      <c r="G29" s="109" t="s">
        <v>4300</v>
      </c>
      <c r="H29" s="103" t="s">
        <v>3198</v>
      </c>
      <c r="I29" s="87"/>
    </row>
    <row r="30" spans="1:9">
      <c r="A30" s="104"/>
      <c r="B30" s="86" t="s">
        <v>432</v>
      </c>
      <c r="C30" s="86"/>
      <c r="D30" s="95"/>
      <c r="E30" s="94" t="s">
        <v>433</v>
      </c>
      <c r="F30" s="103" t="s">
        <v>2412</v>
      </c>
      <c r="G30" s="103" t="s">
        <v>434</v>
      </c>
      <c r="H30" s="103" t="s">
        <v>3198</v>
      </c>
      <c r="I30" s="87"/>
    </row>
    <row r="31" spans="1:9">
      <c r="A31" s="104"/>
      <c r="B31" s="86" t="s">
        <v>435</v>
      </c>
      <c r="C31" s="86"/>
      <c r="D31" s="95"/>
      <c r="E31" s="94" t="s">
        <v>436</v>
      </c>
      <c r="F31" s="103" t="s">
        <v>437</v>
      </c>
      <c r="G31" s="103" t="s">
        <v>3754</v>
      </c>
      <c r="H31" s="103" t="s">
        <v>3198</v>
      </c>
      <c r="I31" s="87"/>
    </row>
    <row r="32" spans="1:9">
      <c r="A32" s="104"/>
      <c r="B32" s="86" t="s">
        <v>3755</v>
      </c>
      <c r="C32" s="86"/>
      <c r="D32" s="95"/>
      <c r="E32" s="94" t="s">
        <v>3756</v>
      </c>
      <c r="F32" s="103" t="s">
        <v>2412</v>
      </c>
      <c r="G32" s="103"/>
      <c r="H32" s="103"/>
      <c r="I32" s="87"/>
    </row>
    <row r="33" spans="1:9">
      <c r="A33" s="104"/>
      <c r="B33" s="86" t="s">
        <v>3086</v>
      </c>
      <c r="C33" s="86"/>
      <c r="D33" s="95"/>
      <c r="E33" s="86"/>
      <c r="F33" s="103"/>
      <c r="G33" s="103" t="s">
        <v>3087</v>
      </c>
      <c r="H33" s="103" t="s">
        <v>3198</v>
      </c>
      <c r="I33" s="87"/>
    </row>
    <row r="34" spans="1:9">
      <c r="A34" s="104"/>
      <c r="B34" s="86" t="s">
        <v>3088</v>
      </c>
      <c r="C34" s="86"/>
      <c r="D34" s="95"/>
      <c r="E34" s="94" t="s">
        <v>3089</v>
      </c>
      <c r="F34" s="103" t="s">
        <v>2412</v>
      </c>
      <c r="G34" s="103" t="s">
        <v>3090</v>
      </c>
      <c r="H34" s="103" t="s">
        <v>3198</v>
      </c>
      <c r="I34" s="87"/>
    </row>
    <row r="35" spans="1:9">
      <c r="A35" s="104"/>
      <c r="B35" s="86" t="s">
        <v>3091</v>
      </c>
      <c r="C35" s="86"/>
      <c r="D35" s="95"/>
      <c r="E35" s="94" t="s">
        <v>3092</v>
      </c>
      <c r="F35" s="109" t="s">
        <v>3508</v>
      </c>
      <c r="G35" s="109" t="s">
        <v>3093</v>
      </c>
      <c r="H35" s="103" t="s">
        <v>3198</v>
      </c>
      <c r="I35" s="87"/>
    </row>
    <row r="36" spans="1:9">
      <c r="A36" s="104"/>
      <c r="B36" s="86" t="s">
        <v>763</v>
      </c>
      <c r="C36" s="86"/>
      <c r="D36" s="95"/>
      <c r="E36" s="94" t="s">
        <v>764</v>
      </c>
      <c r="F36" s="103" t="s">
        <v>2412</v>
      </c>
      <c r="G36" s="103" t="s">
        <v>765</v>
      </c>
      <c r="H36" s="103" t="s">
        <v>3198</v>
      </c>
      <c r="I36" s="87"/>
    </row>
    <row r="37" spans="1:9">
      <c r="A37" s="104"/>
      <c r="B37" s="86" t="s">
        <v>766</v>
      </c>
      <c r="C37" s="86"/>
      <c r="D37" s="95"/>
      <c r="E37" s="94" t="s">
        <v>2791</v>
      </c>
      <c r="F37" s="109" t="s">
        <v>3508</v>
      </c>
      <c r="G37" s="109" t="s">
        <v>4299</v>
      </c>
      <c r="H37" s="103" t="s">
        <v>3198</v>
      </c>
      <c r="I37" s="87"/>
    </row>
    <row r="38" spans="1:9">
      <c r="A38" s="110"/>
      <c r="B38" s="86" t="s">
        <v>2792</v>
      </c>
      <c r="C38" s="86"/>
      <c r="D38" s="95"/>
      <c r="E38" s="94" t="s">
        <v>2793</v>
      </c>
      <c r="F38" s="103" t="s">
        <v>2794</v>
      </c>
      <c r="G38" s="103" t="s">
        <v>433</v>
      </c>
      <c r="H38" s="103" t="s">
        <v>3198</v>
      </c>
      <c r="I38" s="87"/>
    </row>
    <row r="39" spans="1:9">
      <c r="A39" s="110"/>
      <c r="B39" s="86" t="s">
        <v>2795</v>
      </c>
      <c r="C39" s="86"/>
      <c r="D39" s="95"/>
      <c r="E39" s="94" t="s">
        <v>2793</v>
      </c>
      <c r="F39" s="103" t="s">
        <v>2794</v>
      </c>
      <c r="G39" s="103" t="s">
        <v>2796</v>
      </c>
      <c r="H39" s="103" t="s">
        <v>3198</v>
      </c>
      <c r="I39" s="87"/>
    </row>
    <row r="40" spans="1:9">
      <c r="A40" s="104"/>
      <c r="B40" s="86" t="s">
        <v>2797</v>
      </c>
      <c r="C40" s="86"/>
      <c r="D40" s="95"/>
      <c r="E40" s="94" t="s">
        <v>2798</v>
      </c>
      <c r="F40" s="109" t="s">
        <v>3508</v>
      </c>
      <c r="G40" s="109" t="s">
        <v>2796</v>
      </c>
      <c r="H40" s="103" t="s">
        <v>3198</v>
      </c>
      <c r="I40" s="87"/>
    </row>
    <row r="41" spans="1:9">
      <c r="A41" s="104"/>
      <c r="B41" s="86" t="s">
        <v>1705</v>
      </c>
      <c r="C41" s="86"/>
      <c r="D41" s="95"/>
      <c r="E41" s="86"/>
      <c r="F41" s="109"/>
      <c r="G41" s="109" t="s">
        <v>436</v>
      </c>
      <c r="H41" s="103" t="s">
        <v>3198</v>
      </c>
      <c r="I41" s="87"/>
    </row>
    <row r="42" spans="1:9">
      <c r="A42" s="104"/>
      <c r="B42" s="86" t="s">
        <v>1706</v>
      </c>
      <c r="C42" s="86"/>
      <c r="D42" s="95"/>
      <c r="E42" s="94" t="s">
        <v>1707</v>
      </c>
      <c r="F42" s="103" t="s">
        <v>3519</v>
      </c>
      <c r="G42" s="103" t="s">
        <v>436</v>
      </c>
      <c r="H42" s="103" t="s">
        <v>3198</v>
      </c>
      <c r="I42" s="87"/>
    </row>
    <row r="43" spans="1:9">
      <c r="A43" s="104"/>
      <c r="B43" s="108" t="s">
        <v>1708</v>
      </c>
      <c r="C43" s="108"/>
      <c r="D43" s="111"/>
      <c r="E43" s="94" t="s">
        <v>1709</v>
      </c>
      <c r="F43" s="103" t="s">
        <v>1710</v>
      </c>
      <c r="G43" s="103" t="s">
        <v>3756</v>
      </c>
      <c r="H43" s="103" t="s">
        <v>3198</v>
      </c>
      <c r="I43" s="87"/>
    </row>
    <row r="44" spans="1:9">
      <c r="A44" s="104"/>
      <c r="B44" s="86"/>
      <c r="C44" s="86"/>
      <c r="D44" s="95"/>
      <c r="E44" s="86" t="s">
        <v>220</v>
      </c>
      <c r="F44" s="103"/>
      <c r="G44" s="103"/>
      <c r="H44" s="103"/>
      <c r="I44" s="87"/>
    </row>
    <row r="45" spans="1:9" ht="15.75">
      <c r="A45" s="104"/>
      <c r="B45" s="3" t="s">
        <v>1711</v>
      </c>
      <c r="C45" s="3"/>
      <c r="D45" s="102"/>
      <c r="E45" s="86" t="s">
        <v>220</v>
      </c>
      <c r="F45" s="103"/>
      <c r="G45" s="103"/>
      <c r="H45" s="103"/>
      <c r="I45" s="87"/>
    </row>
    <row r="46" spans="1:9" ht="15.75">
      <c r="A46" s="104"/>
      <c r="B46" s="3" t="s">
        <v>1712</v>
      </c>
      <c r="C46" s="3"/>
      <c r="D46" s="102"/>
      <c r="E46" s="86" t="s">
        <v>220</v>
      </c>
      <c r="F46" s="103"/>
      <c r="G46" s="103"/>
      <c r="H46" s="103"/>
      <c r="I46" s="87"/>
    </row>
    <row r="47" spans="1:9">
      <c r="A47" s="104"/>
      <c r="B47" s="86" t="s">
        <v>1713</v>
      </c>
      <c r="C47" s="86"/>
      <c r="D47" s="95"/>
      <c r="E47" s="94" t="s">
        <v>1714</v>
      </c>
      <c r="F47" s="103" t="s">
        <v>1715</v>
      </c>
      <c r="G47" s="103" t="s">
        <v>1714</v>
      </c>
      <c r="H47" s="103" t="s">
        <v>3198</v>
      </c>
      <c r="I47" s="87"/>
    </row>
    <row r="48" spans="1:9">
      <c r="A48" s="104"/>
      <c r="B48" s="86" t="s">
        <v>3689</v>
      </c>
      <c r="C48" s="86"/>
      <c r="D48" s="95"/>
      <c r="E48" s="86"/>
      <c r="F48" s="96"/>
      <c r="G48" s="96"/>
      <c r="H48" s="96"/>
      <c r="I48" s="87"/>
    </row>
    <row r="49" spans="1:9">
      <c r="A49" s="104"/>
      <c r="B49" s="86" t="s">
        <v>3362</v>
      </c>
      <c r="C49" s="86"/>
      <c r="D49" s="95"/>
      <c r="E49" s="86"/>
      <c r="F49" s="96"/>
      <c r="G49" s="96"/>
      <c r="H49" s="96"/>
      <c r="I49" s="87"/>
    </row>
    <row r="50" spans="1:9">
      <c r="A50" s="104"/>
      <c r="B50" s="86" t="s">
        <v>3363</v>
      </c>
      <c r="C50" s="86"/>
      <c r="D50" s="95"/>
      <c r="E50" s="94" t="s">
        <v>3364</v>
      </c>
      <c r="F50" s="103" t="s">
        <v>3508</v>
      </c>
      <c r="G50" s="103" t="s">
        <v>3364</v>
      </c>
      <c r="H50" s="103" t="s">
        <v>3198</v>
      </c>
      <c r="I50" s="87"/>
    </row>
    <row r="51" spans="1:9">
      <c r="A51" s="104"/>
      <c r="B51" s="86" t="s">
        <v>3365</v>
      </c>
      <c r="C51" s="86"/>
      <c r="D51" s="95"/>
      <c r="E51" s="94" t="s">
        <v>3035</v>
      </c>
      <c r="F51" s="103" t="s">
        <v>437</v>
      </c>
      <c r="G51" s="103" t="s">
        <v>3035</v>
      </c>
      <c r="H51" s="103" t="s">
        <v>3198</v>
      </c>
      <c r="I51" s="87"/>
    </row>
    <row r="52" spans="1:9">
      <c r="A52" s="104"/>
      <c r="B52" s="86" t="s">
        <v>3036</v>
      </c>
      <c r="C52" s="86"/>
      <c r="D52" s="95"/>
      <c r="E52" s="94" t="s">
        <v>3037</v>
      </c>
      <c r="F52" s="103" t="s">
        <v>437</v>
      </c>
      <c r="G52" s="103" t="s">
        <v>3037</v>
      </c>
      <c r="H52" s="103" t="s">
        <v>3198</v>
      </c>
      <c r="I52" s="87"/>
    </row>
    <row r="53" spans="1:9">
      <c r="A53" s="104"/>
      <c r="B53" s="108" t="s">
        <v>3038</v>
      </c>
      <c r="D53" s="95"/>
      <c r="E53" s="94" t="s">
        <v>3037</v>
      </c>
      <c r="F53" s="103" t="s">
        <v>3039</v>
      </c>
      <c r="G53" s="103" t="s">
        <v>3040</v>
      </c>
      <c r="H53" s="103" t="s">
        <v>3198</v>
      </c>
      <c r="I53" s="87"/>
    </row>
    <row r="54" spans="1:9">
      <c r="A54" s="104"/>
      <c r="B54" s="86" t="s">
        <v>3041</v>
      </c>
      <c r="C54" s="86"/>
      <c r="D54" s="95"/>
      <c r="E54" s="94" t="s">
        <v>3042</v>
      </c>
      <c r="F54" s="103" t="s">
        <v>1715</v>
      </c>
      <c r="G54" s="103" t="s">
        <v>3042</v>
      </c>
      <c r="H54" s="103" t="s">
        <v>3198</v>
      </c>
      <c r="I54" s="87"/>
    </row>
    <row r="55" spans="1:9" ht="15.75">
      <c r="A55" s="104"/>
      <c r="B55" s="108" t="s">
        <v>3043</v>
      </c>
      <c r="C55" s="106"/>
      <c r="D55" s="107"/>
      <c r="E55" s="105"/>
      <c r="F55" s="103"/>
      <c r="G55" s="103" t="s">
        <v>3044</v>
      </c>
      <c r="H55" s="103" t="s">
        <v>3198</v>
      </c>
      <c r="I55" s="87"/>
    </row>
    <row r="56" spans="1:9" ht="15.75">
      <c r="A56" s="104"/>
      <c r="B56" s="86" t="s">
        <v>3045</v>
      </c>
      <c r="C56" s="106"/>
      <c r="D56" s="107"/>
      <c r="E56" s="105"/>
      <c r="F56" s="103"/>
      <c r="G56" s="103" t="s">
        <v>2689</v>
      </c>
      <c r="H56" s="103" t="s">
        <v>3198</v>
      </c>
      <c r="I56" s="87"/>
    </row>
    <row r="57" spans="1:9" ht="15.75">
      <c r="A57" s="104"/>
      <c r="B57" s="86" t="s">
        <v>2690</v>
      </c>
      <c r="C57" s="106"/>
      <c r="D57" s="107"/>
      <c r="E57" s="105"/>
      <c r="F57" s="103"/>
      <c r="G57" s="103" t="s">
        <v>2691</v>
      </c>
      <c r="H57" s="103" t="s">
        <v>3198</v>
      </c>
      <c r="I57" s="87"/>
    </row>
    <row r="58" spans="1:9" ht="15.75">
      <c r="A58" s="104"/>
      <c r="B58" s="86" t="s">
        <v>1708</v>
      </c>
      <c r="C58" s="106"/>
      <c r="D58" s="107"/>
      <c r="E58" s="105"/>
      <c r="F58" s="103"/>
      <c r="G58" s="103" t="s">
        <v>2692</v>
      </c>
      <c r="H58" s="103" t="s">
        <v>3198</v>
      </c>
      <c r="I58" s="87"/>
    </row>
    <row r="59" spans="1:9" ht="15.75" thickBot="1">
      <c r="A59" s="112"/>
      <c r="B59" s="113"/>
      <c r="C59" s="113"/>
      <c r="D59" s="114"/>
      <c r="E59" s="113"/>
      <c r="F59" s="115"/>
      <c r="G59" s="115"/>
      <c r="H59" s="115"/>
      <c r="I59" s="116"/>
    </row>
    <row r="60" spans="1:9" ht="15.75" thickBot="1">
      <c r="A60" s="86" t="str">
        <f>'Data sheet'!A55</f>
        <v>Annual Report of Veolia Water New York, Inc.                                  Year Ended  December 31, 2023</v>
      </c>
      <c r="B60" s="86"/>
      <c r="C60" s="86"/>
      <c r="D60" s="86"/>
      <c r="E60" s="86"/>
      <c r="F60" s="86"/>
      <c r="G60" s="86"/>
      <c r="H60" s="86"/>
      <c r="I60" s="86"/>
    </row>
    <row r="61" spans="1:9">
      <c r="A61" s="80"/>
      <c r="B61" s="81"/>
      <c r="C61" s="81"/>
      <c r="D61" s="81"/>
      <c r="E61" s="81"/>
      <c r="F61" s="81"/>
      <c r="G61" s="81"/>
      <c r="H61" s="81"/>
      <c r="I61" s="82"/>
    </row>
    <row r="62" spans="1:9" ht="15.75">
      <c r="A62" s="83"/>
      <c r="B62" s="3" t="s">
        <v>3272</v>
      </c>
      <c r="C62" s="3"/>
      <c r="D62" s="3"/>
      <c r="E62" s="3"/>
      <c r="F62" s="3"/>
      <c r="G62" s="3"/>
      <c r="H62" s="3"/>
      <c r="I62" s="84"/>
    </row>
    <row r="63" spans="1:9">
      <c r="A63" s="85"/>
      <c r="B63" s="86"/>
      <c r="C63" s="86"/>
      <c r="D63" s="86"/>
      <c r="E63" s="86"/>
      <c r="F63" s="86"/>
      <c r="G63" s="86"/>
      <c r="H63" s="86"/>
      <c r="I63" s="87"/>
    </row>
    <row r="64" spans="1:9">
      <c r="A64" s="88"/>
      <c r="B64" s="90"/>
      <c r="C64" s="90"/>
      <c r="D64" s="91"/>
      <c r="E64" s="994" t="s">
        <v>3273</v>
      </c>
      <c r="F64" s="995" t="s">
        <v>3274</v>
      </c>
      <c r="G64" s="994" t="s">
        <v>3273</v>
      </c>
      <c r="H64" s="995" t="s">
        <v>3274</v>
      </c>
      <c r="I64" s="93"/>
    </row>
    <row r="65" spans="1:9">
      <c r="A65" s="85"/>
      <c r="B65" s="94" t="s">
        <v>3275</v>
      </c>
      <c r="C65" s="86"/>
      <c r="D65" s="95"/>
      <c r="E65" s="94" t="s">
        <v>3276</v>
      </c>
      <c r="F65" s="109" t="s">
        <v>3277</v>
      </c>
      <c r="G65" s="94" t="s">
        <v>3276</v>
      </c>
      <c r="H65" s="109" t="s">
        <v>3277</v>
      </c>
      <c r="I65" s="428" t="s">
        <v>3278</v>
      </c>
    </row>
    <row r="66" spans="1:9">
      <c r="A66" s="97"/>
      <c r="B66" s="996" t="s">
        <v>3279</v>
      </c>
      <c r="C66" s="98"/>
      <c r="D66" s="99"/>
      <c r="E66" s="996" t="s">
        <v>3280</v>
      </c>
      <c r="F66" s="997" t="s">
        <v>3281</v>
      </c>
      <c r="G66" s="996" t="s">
        <v>3280</v>
      </c>
      <c r="H66" s="997" t="s">
        <v>3281</v>
      </c>
      <c r="I66" s="424" t="s">
        <v>3282</v>
      </c>
    </row>
    <row r="67" spans="1:9" ht="15.75">
      <c r="A67" s="85"/>
      <c r="B67" s="3" t="s">
        <v>1711</v>
      </c>
      <c r="C67" s="3"/>
      <c r="D67" s="102"/>
      <c r="E67" s="86"/>
      <c r="F67" s="103"/>
      <c r="G67" s="103"/>
      <c r="H67" s="103"/>
      <c r="I67" s="87"/>
    </row>
    <row r="68" spans="1:9" ht="15.75">
      <c r="A68" s="104"/>
      <c r="B68" s="3" t="s">
        <v>2693</v>
      </c>
      <c r="C68" s="3"/>
      <c r="D68" s="102"/>
      <c r="E68" s="105"/>
      <c r="F68" s="103"/>
      <c r="G68" s="103"/>
      <c r="H68" s="103"/>
      <c r="I68" s="87"/>
    </row>
    <row r="69" spans="1:9" ht="15.75">
      <c r="A69" s="104"/>
      <c r="B69" s="86" t="s">
        <v>1556</v>
      </c>
      <c r="C69" s="106"/>
      <c r="D69" s="107"/>
      <c r="E69" s="105"/>
      <c r="F69" s="103"/>
      <c r="G69" s="103" t="s">
        <v>1557</v>
      </c>
      <c r="H69" s="103" t="s">
        <v>3198</v>
      </c>
      <c r="I69" s="87"/>
    </row>
    <row r="70" spans="1:9" ht="15.75">
      <c r="A70" s="104"/>
      <c r="B70" s="86" t="s">
        <v>442</v>
      </c>
      <c r="C70" s="106"/>
      <c r="D70" s="107"/>
      <c r="E70" s="105"/>
      <c r="F70" s="103"/>
      <c r="G70" s="103" t="s">
        <v>443</v>
      </c>
      <c r="H70" s="103" t="s">
        <v>3198</v>
      </c>
      <c r="I70" s="87"/>
    </row>
    <row r="71" spans="1:9">
      <c r="A71" s="104"/>
      <c r="B71" s="86"/>
      <c r="C71" s="86"/>
      <c r="D71" s="95"/>
      <c r="E71" s="105"/>
      <c r="F71" s="103"/>
      <c r="G71" s="103"/>
      <c r="H71" s="103"/>
      <c r="I71" s="87"/>
    </row>
    <row r="72" spans="1:9" ht="15.75">
      <c r="A72" s="104"/>
      <c r="B72" s="3" t="s">
        <v>444</v>
      </c>
      <c r="C72" s="3"/>
      <c r="D72" s="102"/>
      <c r="E72" s="86" t="s">
        <v>220</v>
      </c>
      <c r="F72" s="103"/>
      <c r="G72" s="103"/>
      <c r="H72" s="103"/>
      <c r="I72" s="87"/>
    </row>
    <row r="73" spans="1:9">
      <c r="A73" s="104"/>
      <c r="B73" s="86" t="s">
        <v>445</v>
      </c>
      <c r="C73" s="86"/>
      <c r="D73" s="95"/>
      <c r="E73" s="94" t="s">
        <v>446</v>
      </c>
      <c r="F73" s="103" t="s">
        <v>3516</v>
      </c>
      <c r="G73" s="103" t="s">
        <v>447</v>
      </c>
      <c r="H73" s="103" t="s">
        <v>3198</v>
      </c>
      <c r="I73" s="87"/>
    </row>
    <row r="74" spans="1:9">
      <c r="A74" s="104"/>
      <c r="B74" s="86" t="s">
        <v>448</v>
      </c>
      <c r="C74" s="86"/>
      <c r="D74" s="95"/>
      <c r="E74" s="86"/>
      <c r="F74" s="103"/>
      <c r="G74" s="103" t="s">
        <v>449</v>
      </c>
      <c r="H74" s="103" t="s">
        <v>3198</v>
      </c>
      <c r="I74" s="87"/>
    </row>
    <row r="75" spans="1:9">
      <c r="A75" s="104"/>
      <c r="B75" s="86" t="s">
        <v>450</v>
      </c>
      <c r="C75" s="86"/>
      <c r="D75" s="95"/>
      <c r="E75" s="94" t="s">
        <v>451</v>
      </c>
      <c r="F75" s="103" t="s">
        <v>3508</v>
      </c>
      <c r="G75" s="103" t="s">
        <v>452</v>
      </c>
      <c r="H75" s="103" t="s">
        <v>3198</v>
      </c>
      <c r="I75" s="87"/>
    </row>
    <row r="76" spans="1:9">
      <c r="A76" s="104"/>
      <c r="B76" s="86" t="s">
        <v>453</v>
      </c>
      <c r="C76" s="86"/>
      <c r="D76" s="95"/>
      <c r="E76" s="94" t="s">
        <v>454</v>
      </c>
      <c r="F76" s="103" t="s">
        <v>1710</v>
      </c>
      <c r="G76" s="103" t="s">
        <v>455</v>
      </c>
      <c r="H76" s="103" t="s">
        <v>3198</v>
      </c>
      <c r="I76" s="87"/>
    </row>
    <row r="77" spans="1:9">
      <c r="A77" s="104"/>
      <c r="B77" s="86" t="s">
        <v>456</v>
      </c>
      <c r="C77" s="86"/>
      <c r="D77" s="95"/>
      <c r="E77" s="86"/>
      <c r="F77" s="103"/>
      <c r="G77" s="103" t="s">
        <v>457</v>
      </c>
      <c r="H77" s="103" t="s">
        <v>3198</v>
      </c>
      <c r="I77" s="87"/>
    </row>
    <row r="78" spans="1:9">
      <c r="A78" s="104"/>
      <c r="B78" s="86" t="s">
        <v>458</v>
      </c>
      <c r="C78" s="86"/>
      <c r="D78" s="95"/>
      <c r="E78" s="94" t="s">
        <v>459</v>
      </c>
      <c r="F78" s="109" t="s">
        <v>3508</v>
      </c>
      <c r="G78" s="109" t="s">
        <v>460</v>
      </c>
      <c r="H78" s="103" t="s">
        <v>3198</v>
      </c>
      <c r="I78" s="87"/>
    </row>
    <row r="79" spans="1:9">
      <c r="A79" s="104"/>
      <c r="B79" s="86" t="s">
        <v>461</v>
      </c>
      <c r="C79" s="86"/>
      <c r="D79" s="95"/>
      <c r="E79" s="94" t="s">
        <v>462</v>
      </c>
      <c r="F79" s="109" t="s">
        <v>2794</v>
      </c>
      <c r="G79" s="109" t="s">
        <v>463</v>
      </c>
      <c r="H79" s="103" t="s">
        <v>3198</v>
      </c>
      <c r="I79" s="87"/>
    </row>
    <row r="80" spans="1:9">
      <c r="A80" s="104"/>
      <c r="B80" s="86" t="s">
        <v>464</v>
      </c>
      <c r="C80" s="86"/>
      <c r="D80" s="95"/>
      <c r="E80" s="94" t="s">
        <v>465</v>
      </c>
      <c r="F80" s="109" t="s">
        <v>3508</v>
      </c>
      <c r="G80" s="109" t="s">
        <v>466</v>
      </c>
      <c r="H80" s="103" t="s">
        <v>3198</v>
      </c>
      <c r="I80" s="87"/>
    </row>
    <row r="81" spans="1:9">
      <c r="A81" s="104"/>
      <c r="B81" s="86" t="s">
        <v>467</v>
      </c>
      <c r="C81" s="86"/>
      <c r="D81" s="95"/>
      <c r="E81" s="86"/>
      <c r="F81" s="109"/>
      <c r="G81" s="109" t="s">
        <v>3419</v>
      </c>
      <c r="H81" s="103" t="s">
        <v>3198</v>
      </c>
      <c r="I81" s="87"/>
    </row>
    <row r="82" spans="1:9">
      <c r="A82" s="104"/>
      <c r="B82" s="86" t="s">
        <v>3420</v>
      </c>
      <c r="C82" s="86"/>
      <c r="D82" s="95"/>
      <c r="E82" s="94" t="s">
        <v>3421</v>
      </c>
      <c r="F82" s="103" t="s">
        <v>3516</v>
      </c>
      <c r="G82" s="103" t="s">
        <v>3422</v>
      </c>
      <c r="H82" s="103" t="s">
        <v>3198</v>
      </c>
      <c r="I82" s="87"/>
    </row>
    <row r="83" spans="1:9">
      <c r="A83" s="104"/>
      <c r="B83" s="86" t="s">
        <v>3423</v>
      </c>
      <c r="C83" s="86"/>
      <c r="D83" s="95"/>
      <c r="E83" s="86"/>
      <c r="F83" s="103"/>
      <c r="G83" s="103"/>
      <c r="H83" s="103"/>
      <c r="I83" s="87"/>
    </row>
    <row r="84" spans="1:9">
      <c r="A84" s="104"/>
      <c r="B84" s="86" t="s">
        <v>3424</v>
      </c>
      <c r="C84" s="86"/>
      <c r="D84" s="95"/>
      <c r="E84" s="86"/>
      <c r="F84" s="103"/>
      <c r="G84" s="103" t="s">
        <v>3425</v>
      </c>
      <c r="H84" s="103" t="s">
        <v>3198</v>
      </c>
      <c r="I84" s="87"/>
    </row>
    <row r="85" spans="1:9">
      <c r="A85" s="104"/>
      <c r="B85" s="86" t="s">
        <v>1208</v>
      </c>
      <c r="C85" s="86"/>
      <c r="D85" s="95"/>
      <c r="E85" s="86"/>
      <c r="F85" s="103"/>
      <c r="G85" s="103" t="s">
        <v>2517</v>
      </c>
      <c r="H85" s="103" t="s">
        <v>3198</v>
      </c>
      <c r="I85" s="87"/>
    </row>
    <row r="86" spans="1:9">
      <c r="A86" s="104"/>
      <c r="B86" s="86" t="s">
        <v>2518</v>
      </c>
      <c r="C86" s="86"/>
      <c r="D86" s="95"/>
      <c r="E86" s="94" t="s">
        <v>2519</v>
      </c>
      <c r="F86" s="103" t="s">
        <v>3516</v>
      </c>
      <c r="G86" s="103" t="s">
        <v>2520</v>
      </c>
      <c r="H86" s="103" t="s">
        <v>3198</v>
      </c>
      <c r="I86" s="87"/>
    </row>
    <row r="87" spans="1:9">
      <c r="A87" s="104"/>
      <c r="B87" s="86" t="s">
        <v>2521</v>
      </c>
      <c r="C87" s="86"/>
      <c r="D87" s="95"/>
      <c r="E87" s="86"/>
      <c r="F87" s="103"/>
      <c r="G87" s="103" t="s">
        <v>2522</v>
      </c>
      <c r="H87" s="103" t="s">
        <v>3198</v>
      </c>
      <c r="I87" s="87"/>
    </row>
    <row r="88" spans="1:9">
      <c r="A88" s="104"/>
      <c r="B88" s="86" t="s">
        <v>4030</v>
      </c>
      <c r="C88" s="86"/>
      <c r="D88" s="95"/>
      <c r="E88" s="86"/>
      <c r="F88" s="109"/>
      <c r="G88" s="109"/>
      <c r="H88" s="109"/>
      <c r="I88" s="87"/>
    </row>
    <row r="89" spans="1:9">
      <c r="A89" s="104"/>
      <c r="B89" s="86" t="s">
        <v>4031</v>
      </c>
      <c r="C89" s="86"/>
      <c r="D89" s="95"/>
      <c r="E89" s="94" t="s">
        <v>4032</v>
      </c>
      <c r="F89" s="103" t="s">
        <v>437</v>
      </c>
      <c r="G89" s="103" t="s">
        <v>4033</v>
      </c>
      <c r="H89" s="103" t="s">
        <v>3198</v>
      </c>
      <c r="I89" s="87"/>
    </row>
    <row r="90" spans="1:9">
      <c r="A90" s="104"/>
      <c r="B90" s="86" t="s">
        <v>4034</v>
      </c>
      <c r="C90" s="86"/>
      <c r="D90" s="95"/>
      <c r="E90" s="86"/>
      <c r="F90" s="103"/>
      <c r="G90" s="103" t="s">
        <v>4035</v>
      </c>
      <c r="H90" s="103" t="s">
        <v>3198</v>
      </c>
      <c r="I90" s="87"/>
    </row>
    <row r="91" spans="1:9">
      <c r="A91" s="104"/>
      <c r="B91" s="86"/>
      <c r="C91" s="86"/>
      <c r="D91" s="95"/>
      <c r="E91" s="86"/>
      <c r="F91" s="103"/>
      <c r="G91" s="103"/>
      <c r="H91" s="103"/>
      <c r="I91" s="87"/>
    </row>
    <row r="92" spans="1:9" ht="15.75">
      <c r="A92" s="104"/>
      <c r="B92" s="3" t="s">
        <v>4036</v>
      </c>
      <c r="C92" s="3"/>
      <c r="D92" s="102"/>
      <c r="E92" s="86"/>
      <c r="F92" s="109"/>
      <c r="G92" s="109"/>
      <c r="H92" s="109"/>
      <c r="I92" s="87"/>
    </row>
    <row r="93" spans="1:9">
      <c r="A93" s="110"/>
      <c r="B93" s="86" t="s">
        <v>4037</v>
      </c>
      <c r="C93" s="86"/>
      <c r="D93" s="95"/>
      <c r="E93" s="86"/>
      <c r="F93" s="103"/>
      <c r="G93" s="103" t="s">
        <v>4038</v>
      </c>
      <c r="H93" s="103" t="s">
        <v>3198</v>
      </c>
      <c r="I93" s="87"/>
    </row>
    <row r="94" spans="1:9">
      <c r="A94" s="110"/>
      <c r="B94" s="86" t="s">
        <v>4039</v>
      </c>
      <c r="C94" s="86"/>
      <c r="D94" s="95"/>
      <c r="E94" s="86"/>
      <c r="F94" s="103"/>
      <c r="G94" s="103" t="s">
        <v>4040</v>
      </c>
      <c r="H94" s="103" t="s">
        <v>3198</v>
      </c>
      <c r="I94" s="87"/>
    </row>
    <row r="95" spans="1:9">
      <c r="A95" s="110"/>
      <c r="B95" s="86" t="s">
        <v>4041</v>
      </c>
      <c r="C95" s="86"/>
      <c r="D95" s="95"/>
      <c r="E95" s="86"/>
      <c r="F95" s="103"/>
      <c r="G95" s="103" t="s">
        <v>4042</v>
      </c>
      <c r="H95" s="103" t="s">
        <v>3198</v>
      </c>
      <c r="I95" s="87"/>
    </row>
    <row r="96" spans="1:9">
      <c r="A96" s="110"/>
      <c r="B96" s="86" t="s">
        <v>4043</v>
      </c>
      <c r="C96" s="86"/>
      <c r="D96" s="95"/>
      <c r="E96" s="86"/>
      <c r="F96" s="103"/>
      <c r="G96" s="103"/>
      <c r="H96" s="103"/>
      <c r="I96" s="87"/>
    </row>
    <row r="97" spans="1:9">
      <c r="A97" s="110"/>
      <c r="B97" s="86" t="s">
        <v>4044</v>
      </c>
      <c r="C97" s="86"/>
      <c r="D97" s="95"/>
      <c r="E97" s="86"/>
      <c r="F97" s="103"/>
      <c r="G97" s="103" t="s">
        <v>4045</v>
      </c>
      <c r="H97" s="103" t="s">
        <v>3198</v>
      </c>
      <c r="I97" s="87"/>
    </row>
    <row r="98" spans="1:9">
      <c r="A98" s="110"/>
      <c r="B98" s="86" t="s">
        <v>4046</v>
      </c>
      <c r="C98" s="86"/>
      <c r="D98" s="95"/>
      <c r="E98" s="86"/>
      <c r="F98" s="103"/>
      <c r="G98" s="103" t="s">
        <v>4047</v>
      </c>
      <c r="H98" s="103" t="s">
        <v>3198</v>
      </c>
      <c r="I98" s="87"/>
    </row>
    <row r="99" spans="1:9">
      <c r="A99" s="110"/>
      <c r="B99" s="86" t="s">
        <v>4048</v>
      </c>
      <c r="C99" s="86"/>
      <c r="D99" s="95"/>
      <c r="E99" s="86"/>
      <c r="F99" s="103"/>
      <c r="G99" s="103" t="s">
        <v>4049</v>
      </c>
      <c r="H99" s="103" t="s">
        <v>3198</v>
      </c>
      <c r="I99" s="87"/>
    </row>
    <row r="100" spans="1:9">
      <c r="A100" s="110"/>
      <c r="B100" s="86" t="s">
        <v>4050</v>
      </c>
      <c r="C100" s="86"/>
      <c r="D100" s="95"/>
      <c r="E100" s="86"/>
      <c r="F100" s="103"/>
      <c r="G100" s="103"/>
      <c r="H100" s="103"/>
      <c r="I100" s="87"/>
    </row>
    <row r="101" spans="1:9">
      <c r="A101" s="110"/>
      <c r="B101" s="86" t="s">
        <v>4051</v>
      </c>
      <c r="C101" s="86"/>
      <c r="D101" s="95"/>
      <c r="E101" s="86"/>
      <c r="F101" s="103"/>
      <c r="G101" s="103" t="s">
        <v>4052</v>
      </c>
      <c r="H101" s="103" t="s">
        <v>3198</v>
      </c>
      <c r="I101" s="87"/>
    </row>
    <row r="102" spans="1:9">
      <c r="A102" s="110"/>
      <c r="B102" s="86" t="s">
        <v>4053</v>
      </c>
      <c r="C102" s="86"/>
      <c r="D102" s="95"/>
      <c r="E102" s="86"/>
      <c r="F102" s="103"/>
      <c r="G102" s="103" t="s">
        <v>4054</v>
      </c>
      <c r="H102" s="103" t="s">
        <v>3198</v>
      </c>
      <c r="I102" s="87"/>
    </row>
    <row r="103" spans="1:9">
      <c r="A103" s="104"/>
      <c r="B103" s="86" t="s">
        <v>4055</v>
      </c>
      <c r="C103" s="86"/>
      <c r="D103" s="95"/>
      <c r="E103" s="94" t="s">
        <v>4056</v>
      </c>
      <c r="F103" s="103" t="s">
        <v>1710</v>
      </c>
      <c r="G103" s="103" t="s">
        <v>4057</v>
      </c>
      <c r="H103" s="103" t="s">
        <v>3198</v>
      </c>
      <c r="I103" s="87"/>
    </row>
    <row r="104" spans="1:9">
      <c r="A104" s="104"/>
      <c r="B104" s="86"/>
      <c r="C104" s="86"/>
      <c r="D104" s="95"/>
      <c r="E104" s="86"/>
      <c r="F104" s="103"/>
      <c r="G104" s="103"/>
      <c r="H104" s="103"/>
      <c r="I104" s="87"/>
    </row>
    <row r="105" spans="1:9" ht="15.75">
      <c r="A105" s="104"/>
      <c r="B105" s="3" t="s">
        <v>4058</v>
      </c>
      <c r="C105" s="5"/>
      <c r="D105" s="117"/>
      <c r="E105" s="86"/>
      <c r="F105" s="103"/>
      <c r="G105" s="103"/>
      <c r="H105" s="103"/>
      <c r="I105" s="87"/>
    </row>
    <row r="106" spans="1:9">
      <c r="A106" s="104"/>
      <c r="B106" s="86" t="s">
        <v>4059</v>
      </c>
      <c r="C106" s="86"/>
      <c r="D106" s="95"/>
      <c r="E106" s="86"/>
      <c r="F106" s="103"/>
      <c r="G106" s="103" t="s">
        <v>4060</v>
      </c>
      <c r="H106" s="103" t="s">
        <v>3198</v>
      </c>
      <c r="I106" s="87"/>
    </row>
    <row r="107" spans="1:9">
      <c r="A107" s="104"/>
      <c r="B107" s="86" t="s">
        <v>4061</v>
      </c>
      <c r="C107" s="86"/>
      <c r="D107" s="95"/>
      <c r="E107" s="86"/>
      <c r="F107" s="103"/>
      <c r="G107" s="103" t="s">
        <v>4062</v>
      </c>
      <c r="H107" s="103" t="s">
        <v>3198</v>
      </c>
      <c r="I107" s="87"/>
    </row>
    <row r="108" spans="1:9">
      <c r="A108" s="104"/>
      <c r="B108" s="86" t="s">
        <v>4063</v>
      </c>
      <c r="C108" s="86"/>
      <c r="D108" s="95"/>
      <c r="E108" s="86"/>
      <c r="F108" s="103"/>
      <c r="G108" s="103" t="s">
        <v>4064</v>
      </c>
      <c r="H108" s="103" t="s">
        <v>3198</v>
      </c>
      <c r="I108" s="87"/>
    </row>
    <row r="109" spans="1:9">
      <c r="A109" s="104"/>
      <c r="B109" s="86" t="s">
        <v>2753</v>
      </c>
      <c r="C109" s="86"/>
      <c r="D109" s="95"/>
      <c r="E109" s="86"/>
      <c r="F109" s="103"/>
      <c r="G109" s="103" t="s">
        <v>3104</v>
      </c>
      <c r="H109" s="103" t="s">
        <v>3198</v>
      </c>
      <c r="I109" s="87"/>
    </row>
    <row r="110" spans="1:9">
      <c r="A110" s="104"/>
      <c r="B110" s="86" t="s">
        <v>830</v>
      </c>
      <c r="C110" s="86"/>
      <c r="D110" s="95"/>
      <c r="E110" s="86"/>
      <c r="F110" s="103"/>
      <c r="G110" s="103" t="s">
        <v>831</v>
      </c>
      <c r="H110" s="103" t="s">
        <v>3198</v>
      </c>
      <c r="I110" s="87"/>
    </row>
    <row r="111" spans="1:9">
      <c r="A111" s="104"/>
      <c r="B111" s="86" t="s">
        <v>832</v>
      </c>
      <c r="C111" s="86"/>
      <c r="D111" s="95"/>
      <c r="E111" s="86"/>
      <c r="F111" s="103"/>
      <c r="G111" s="103" t="s">
        <v>833</v>
      </c>
      <c r="H111" s="103" t="s">
        <v>3198</v>
      </c>
      <c r="I111" s="87"/>
    </row>
    <row r="112" spans="1:9">
      <c r="A112" s="104"/>
      <c r="B112" s="86" t="s">
        <v>834</v>
      </c>
      <c r="C112" s="86"/>
      <c r="D112" s="95"/>
      <c r="E112" s="86"/>
      <c r="F112" s="103"/>
      <c r="G112" s="103" t="s">
        <v>835</v>
      </c>
      <c r="H112" s="103" t="s">
        <v>3198</v>
      </c>
      <c r="I112" s="87"/>
    </row>
    <row r="113" spans="1:9">
      <c r="A113" s="104"/>
      <c r="B113" s="86" t="s">
        <v>836</v>
      </c>
      <c r="C113" s="86"/>
      <c r="D113" s="86"/>
      <c r="E113" s="86"/>
      <c r="F113" s="86"/>
      <c r="G113" s="109" t="s">
        <v>837</v>
      </c>
      <c r="H113" s="103" t="s">
        <v>3198</v>
      </c>
      <c r="I113" s="87"/>
    </row>
    <row r="114" spans="1:9">
      <c r="A114" s="104"/>
      <c r="B114" s="86" t="s">
        <v>838</v>
      </c>
      <c r="C114" s="86"/>
      <c r="D114" s="86"/>
      <c r="E114" s="86"/>
      <c r="F114" s="86"/>
      <c r="G114" s="109" t="s">
        <v>839</v>
      </c>
      <c r="H114" s="103" t="s">
        <v>3198</v>
      </c>
      <c r="I114" s="87"/>
    </row>
    <row r="115" spans="1:9">
      <c r="A115" s="104"/>
      <c r="B115" s="86"/>
      <c r="C115" s="86"/>
      <c r="D115" s="95"/>
      <c r="E115" s="94" t="s">
        <v>454</v>
      </c>
      <c r="F115" s="103" t="s">
        <v>1710</v>
      </c>
      <c r="G115" s="103"/>
      <c r="H115" s="103"/>
      <c r="I115" s="87"/>
    </row>
    <row r="116" spans="1:9" ht="15.75">
      <c r="A116" s="104"/>
      <c r="B116" s="3" t="s">
        <v>840</v>
      </c>
      <c r="C116" s="5"/>
      <c r="D116" s="117"/>
      <c r="E116" s="86"/>
      <c r="F116" s="103"/>
      <c r="G116" s="103"/>
      <c r="H116" s="103"/>
      <c r="I116" s="87"/>
    </row>
    <row r="117" spans="1:9" ht="15.75">
      <c r="A117" s="104"/>
      <c r="B117" s="106"/>
      <c r="C117" s="86"/>
      <c r="D117" s="95"/>
      <c r="E117" s="86"/>
      <c r="F117" s="103"/>
      <c r="G117" s="103"/>
      <c r="H117" s="103"/>
      <c r="I117" s="87"/>
    </row>
    <row r="118" spans="1:9" ht="15.75">
      <c r="A118" s="104"/>
      <c r="B118" s="3" t="s">
        <v>841</v>
      </c>
      <c r="C118" s="5"/>
      <c r="D118" s="117"/>
      <c r="E118" s="86"/>
      <c r="F118" s="103"/>
      <c r="G118" s="103"/>
      <c r="H118" s="103"/>
      <c r="I118" s="87"/>
    </row>
    <row r="119" spans="1:9" ht="15.75" thickBot="1">
      <c r="A119" s="112"/>
      <c r="B119" s="113"/>
      <c r="C119" s="113"/>
      <c r="D119" s="114"/>
      <c r="E119" s="113"/>
      <c r="F119" s="115"/>
      <c r="G119" s="115"/>
      <c r="H119" s="115"/>
      <c r="I119" s="116"/>
    </row>
    <row r="120" spans="1:9">
      <c r="A120" s="86"/>
      <c r="B120" s="86"/>
      <c r="C120" s="86"/>
      <c r="D120" s="86"/>
      <c r="E120" s="86"/>
      <c r="F120" s="86"/>
      <c r="G120" s="86"/>
      <c r="H120" s="86"/>
      <c r="I120" s="86"/>
    </row>
    <row r="121" spans="1:9">
      <c r="A121" s="86"/>
      <c r="B121" s="86"/>
      <c r="C121" s="86"/>
      <c r="D121" s="86"/>
      <c r="E121" s="86"/>
      <c r="F121" s="86"/>
      <c r="G121" s="86"/>
      <c r="H121" s="86"/>
      <c r="I121" s="86"/>
    </row>
    <row r="122" spans="1:9">
      <c r="A122" s="86"/>
      <c r="B122" s="86"/>
      <c r="C122" s="86"/>
      <c r="D122" s="86"/>
      <c r="E122" s="86"/>
      <c r="F122" s="86"/>
      <c r="G122" s="86"/>
      <c r="H122" s="86"/>
      <c r="I122" s="86"/>
    </row>
    <row r="123" spans="1:9">
      <c r="A123" s="86"/>
      <c r="B123" s="86"/>
      <c r="C123" s="86"/>
      <c r="D123" s="86"/>
      <c r="E123" s="86"/>
      <c r="F123" s="86"/>
      <c r="G123" s="86"/>
      <c r="H123" s="86"/>
      <c r="I123" s="86"/>
    </row>
    <row r="124" spans="1:9">
      <c r="A124" s="86"/>
      <c r="B124" s="86"/>
      <c r="C124" s="86"/>
      <c r="D124" s="86"/>
      <c r="E124" s="86"/>
      <c r="F124" s="86"/>
      <c r="G124" s="86"/>
      <c r="H124" s="86"/>
      <c r="I124" s="86"/>
    </row>
    <row r="125" spans="1:9">
      <c r="A125" s="86"/>
      <c r="B125" s="86"/>
      <c r="C125" s="86"/>
      <c r="D125" s="86"/>
      <c r="E125" s="86"/>
      <c r="F125" s="86"/>
      <c r="G125" s="86"/>
      <c r="H125" s="86"/>
      <c r="I125" s="86"/>
    </row>
    <row r="126" spans="1:9">
      <c r="A126" s="86"/>
      <c r="B126" s="86"/>
      <c r="C126" s="86"/>
      <c r="D126" s="86"/>
      <c r="E126" s="5"/>
      <c r="F126" s="5"/>
      <c r="G126" s="5"/>
      <c r="H126" s="5"/>
      <c r="I126" s="5"/>
    </row>
    <row r="127" spans="1:9">
      <c r="A127" s="86"/>
      <c r="B127" s="86"/>
      <c r="C127" s="86"/>
      <c r="D127" s="86"/>
      <c r="E127" s="86"/>
      <c r="F127" s="86"/>
      <c r="G127" s="86"/>
      <c r="H127" s="86"/>
      <c r="I127" s="86"/>
    </row>
    <row r="128" spans="1:9">
      <c r="A128" s="86"/>
      <c r="B128" s="86"/>
      <c r="C128" s="86"/>
      <c r="D128" s="86"/>
      <c r="E128" s="86"/>
      <c r="F128" s="86"/>
      <c r="G128" s="86"/>
      <c r="H128" s="86"/>
      <c r="I128" s="86"/>
    </row>
    <row r="129" spans="1:9">
      <c r="A129" s="86"/>
      <c r="B129" s="86"/>
      <c r="C129" s="86"/>
      <c r="D129" s="86"/>
      <c r="E129" s="86" t="s">
        <v>3234</v>
      </c>
      <c r="F129" s="86"/>
      <c r="G129" s="86"/>
      <c r="H129" s="86"/>
      <c r="I129" s="86"/>
    </row>
    <row r="130" spans="1:9">
      <c r="A130" s="86"/>
      <c r="B130" s="86"/>
      <c r="C130" s="86"/>
      <c r="D130" s="86"/>
      <c r="E130" s="86" t="s">
        <v>2000</v>
      </c>
      <c r="F130" s="86"/>
      <c r="G130" s="86"/>
      <c r="H130" s="86"/>
      <c r="I130" s="86"/>
    </row>
    <row r="131" spans="1:9">
      <c r="A131" s="86"/>
      <c r="B131" s="86"/>
      <c r="C131" s="86"/>
      <c r="D131" s="86"/>
      <c r="E131" s="86" t="s">
        <v>2001</v>
      </c>
      <c r="F131" s="86"/>
      <c r="G131" s="86"/>
      <c r="H131" s="86"/>
      <c r="I131" s="86"/>
    </row>
    <row r="132" spans="1:9">
      <c r="A132" s="86"/>
      <c r="B132" s="86"/>
      <c r="C132" s="86"/>
      <c r="D132" s="86"/>
      <c r="E132" s="86" t="s">
        <v>3269</v>
      </c>
      <c r="F132" s="86"/>
      <c r="G132" s="86"/>
      <c r="H132" s="86"/>
      <c r="I132" s="86"/>
    </row>
    <row r="133" spans="1:9">
      <c r="A133" s="86"/>
      <c r="B133" s="86"/>
      <c r="C133" s="86"/>
      <c r="D133" s="86"/>
      <c r="E133" s="86" t="s">
        <v>3270</v>
      </c>
      <c r="F133" s="86"/>
      <c r="G133" s="86"/>
      <c r="H133" s="86"/>
      <c r="I133" s="86"/>
    </row>
    <row r="134" spans="1:9">
      <c r="A134" s="86"/>
      <c r="B134" s="86"/>
      <c r="C134" s="86"/>
      <c r="D134" s="86"/>
      <c r="E134" s="86" t="s">
        <v>842</v>
      </c>
      <c r="F134" s="86"/>
      <c r="G134" s="86"/>
      <c r="H134" s="86"/>
      <c r="I134" s="86"/>
    </row>
    <row r="135" spans="1:9">
      <c r="A135" s="86"/>
      <c r="B135" s="86"/>
      <c r="C135" s="86"/>
      <c r="D135" s="86"/>
      <c r="E135" s="86" t="s">
        <v>3271</v>
      </c>
      <c r="F135" s="86"/>
      <c r="G135" s="86"/>
      <c r="H135" s="86"/>
      <c r="I135" s="86"/>
    </row>
    <row r="136" spans="1:9">
      <c r="A136" s="86"/>
      <c r="B136" s="86"/>
      <c r="C136" s="86"/>
      <c r="D136" s="86"/>
      <c r="E136" s="86" t="s">
        <v>843</v>
      </c>
      <c r="F136" s="86"/>
      <c r="G136" s="86"/>
      <c r="H136" s="86"/>
      <c r="I136" s="86"/>
    </row>
    <row r="137" spans="1:9">
      <c r="A137" s="86"/>
      <c r="B137" s="86"/>
      <c r="C137" s="86"/>
      <c r="D137" s="86"/>
      <c r="E137" s="86" t="s">
        <v>844</v>
      </c>
      <c r="F137" s="86"/>
      <c r="G137" s="86"/>
      <c r="H137" s="86"/>
      <c r="I137" s="86"/>
    </row>
    <row r="138" spans="1:9">
      <c r="A138" s="86"/>
      <c r="B138" s="86"/>
      <c r="C138" s="86"/>
      <c r="D138" s="86"/>
      <c r="E138" s="86"/>
      <c r="F138" s="86"/>
      <c r="G138" s="86"/>
      <c r="H138" s="86"/>
      <c r="I138" s="86"/>
    </row>
    <row r="139" spans="1:9">
      <c r="A139" s="86"/>
      <c r="B139" s="86"/>
      <c r="C139" s="86"/>
      <c r="D139" s="86"/>
      <c r="E139" s="86"/>
      <c r="F139" s="86"/>
      <c r="G139" s="86"/>
      <c r="H139" s="86"/>
      <c r="I139" s="86"/>
    </row>
    <row r="140" spans="1:9">
      <c r="A140" s="86"/>
      <c r="B140" s="86"/>
      <c r="C140" s="86"/>
      <c r="D140" s="86"/>
      <c r="E140" s="86"/>
      <c r="F140" s="86"/>
      <c r="G140" s="86"/>
      <c r="H140" s="86"/>
      <c r="I140" s="86"/>
    </row>
    <row r="141" spans="1:9">
      <c r="A141" s="86"/>
      <c r="B141" s="86"/>
      <c r="C141" s="86"/>
      <c r="D141" s="86"/>
      <c r="E141" s="86"/>
      <c r="F141" s="86"/>
      <c r="G141" s="86"/>
      <c r="H141" s="86"/>
      <c r="I141" s="86"/>
    </row>
    <row r="142" spans="1:9">
      <c r="A142" s="86"/>
      <c r="B142" s="86"/>
      <c r="C142" s="86"/>
      <c r="D142" s="86"/>
      <c r="E142" s="86"/>
      <c r="F142" s="86"/>
      <c r="G142" s="86"/>
      <c r="H142" s="86"/>
      <c r="I142" s="86"/>
    </row>
    <row r="143" spans="1:9">
      <c r="A143" s="86"/>
      <c r="B143" s="86"/>
      <c r="C143" s="86"/>
      <c r="D143" s="86"/>
      <c r="E143" s="86"/>
      <c r="F143" s="86"/>
      <c r="G143" s="86"/>
      <c r="H143" s="86"/>
      <c r="I143" s="86"/>
    </row>
    <row r="144" spans="1:9">
      <c r="A144" s="86"/>
      <c r="B144" s="86"/>
      <c r="C144" s="86"/>
      <c r="D144" s="86"/>
      <c r="E144" s="86"/>
      <c r="F144" s="86"/>
      <c r="G144" s="86"/>
      <c r="H144" s="86"/>
      <c r="I144" s="86"/>
    </row>
    <row r="145" spans="1:9">
      <c r="A145" s="86"/>
      <c r="B145" s="86"/>
      <c r="C145" s="86"/>
      <c r="D145" s="86"/>
      <c r="E145" s="86"/>
      <c r="F145" s="86"/>
      <c r="G145" s="86"/>
      <c r="H145" s="86"/>
      <c r="I145" s="86"/>
    </row>
    <row r="146" spans="1:9">
      <c r="A146" s="86"/>
      <c r="B146" s="86"/>
      <c r="C146" s="86"/>
      <c r="D146" s="86"/>
      <c r="E146" s="86"/>
      <c r="F146" s="86"/>
      <c r="G146" s="86"/>
      <c r="H146" s="86"/>
      <c r="I146" s="86"/>
    </row>
    <row r="147" spans="1:9">
      <c r="A147" s="86"/>
      <c r="B147" s="86"/>
      <c r="C147" s="86"/>
      <c r="D147" s="86"/>
      <c r="E147" s="86"/>
      <c r="F147" s="86"/>
      <c r="G147" s="86"/>
      <c r="H147" s="86"/>
      <c r="I147" s="86"/>
    </row>
    <row r="148" spans="1:9">
      <c r="A148" s="86"/>
      <c r="B148" s="86"/>
      <c r="C148" s="86"/>
      <c r="D148" s="86"/>
      <c r="E148" s="86"/>
      <c r="F148" s="86"/>
      <c r="G148" s="86"/>
      <c r="H148" s="86"/>
      <c r="I148" s="86"/>
    </row>
    <row r="149" spans="1:9">
      <c r="A149" s="86"/>
      <c r="B149" s="86"/>
      <c r="C149" s="86"/>
      <c r="D149" s="86"/>
      <c r="E149" s="86"/>
      <c r="F149" s="86"/>
      <c r="G149" s="86"/>
      <c r="H149" s="86"/>
      <c r="I149" s="86"/>
    </row>
    <row r="150" spans="1:9">
      <c r="A150" s="86"/>
      <c r="B150" s="86"/>
      <c r="C150" s="86"/>
      <c r="D150" s="86"/>
      <c r="E150" s="86"/>
      <c r="F150" s="86"/>
      <c r="G150" s="86"/>
      <c r="H150" s="86"/>
      <c r="I150" s="86"/>
    </row>
    <row r="151" spans="1:9">
      <c r="A151" s="86"/>
      <c r="B151" s="86"/>
      <c r="C151" s="86"/>
      <c r="D151" s="86"/>
      <c r="E151" s="86"/>
      <c r="F151" s="86"/>
      <c r="G151" s="86"/>
      <c r="H151" s="86"/>
      <c r="I151" s="86"/>
    </row>
    <row r="152" spans="1:9">
      <c r="A152" s="86"/>
      <c r="B152" s="86"/>
      <c r="C152" s="86"/>
      <c r="D152" s="86"/>
      <c r="E152" s="86"/>
      <c r="F152" s="86"/>
      <c r="G152" s="86"/>
      <c r="H152" s="86"/>
      <c r="I152" s="86"/>
    </row>
    <row r="153" spans="1:9">
      <c r="A153" s="86"/>
      <c r="B153" s="86"/>
      <c r="C153" s="86"/>
      <c r="D153" s="86"/>
      <c r="E153" s="86"/>
      <c r="F153" s="86"/>
      <c r="G153" s="86"/>
      <c r="H153" s="86"/>
      <c r="I153" s="86"/>
    </row>
    <row r="154" spans="1:9">
      <c r="A154" s="86"/>
      <c r="B154" s="86"/>
      <c r="C154" s="86"/>
      <c r="D154" s="86"/>
      <c r="E154" s="86"/>
      <c r="F154" s="86"/>
      <c r="G154" s="86"/>
      <c r="H154" s="86"/>
      <c r="I154" s="86"/>
    </row>
    <row r="155" spans="1:9">
      <c r="A155" s="86"/>
      <c r="B155" s="86"/>
      <c r="C155" s="86"/>
      <c r="D155" s="86"/>
      <c r="E155" s="86"/>
      <c r="F155" s="86"/>
      <c r="G155" s="86"/>
      <c r="H155" s="86"/>
      <c r="I155" s="86"/>
    </row>
    <row r="156" spans="1:9">
      <c r="A156" s="86"/>
      <c r="B156" s="86"/>
      <c r="C156" s="86"/>
      <c r="D156" s="86"/>
      <c r="E156" s="86"/>
      <c r="F156" s="86"/>
      <c r="G156" s="86"/>
      <c r="H156" s="86"/>
      <c r="I156" s="86"/>
    </row>
    <row r="157" spans="1:9">
      <c r="A157" s="86"/>
      <c r="B157" s="86"/>
      <c r="C157" s="86"/>
      <c r="D157" s="86"/>
      <c r="E157" s="86"/>
      <c r="F157" s="86"/>
      <c r="G157" s="86"/>
      <c r="H157" s="86"/>
      <c r="I157" s="86"/>
    </row>
    <row r="158" spans="1:9">
      <c r="A158" s="86"/>
      <c r="B158" s="86"/>
      <c r="C158" s="86"/>
      <c r="D158" s="86"/>
      <c r="E158" s="86"/>
      <c r="F158" s="86"/>
      <c r="G158" s="86"/>
      <c r="H158" s="86"/>
      <c r="I158" s="86"/>
    </row>
    <row r="159" spans="1:9">
      <c r="A159" s="86"/>
      <c r="B159" s="86"/>
      <c r="C159" s="86"/>
      <c r="D159" s="86"/>
      <c r="E159" s="86"/>
      <c r="F159" s="86"/>
      <c r="G159" s="86"/>
      <c r="H159" s="86"/>
      <c r="I159" s="86"/>
    </row>
    <row r="160" spans="1:9">
      <c r="A160" s="86"/>
      <c r="B160" s="86"/>
      <c r="C160" s="86"/>
      <c r="D160" s="86"/>
      <c r="E160" s="86"/>
      <c r="F160" s="86"/>
      <c r="G160" s="86"/>
      <c r="H160" s="86"/>
      <c r="I160" s="86"/>
    </row>
    <row r="161" spans="1:9">
      <c r="A161" s="86"/>
      <c r="B161" s="86"/>
      <c r="C161" s="86"/>
      <c r="D161" s="86"/>
      <c r="E161" s="86"/>
      <c r="F161" s="86"/>
      <c r="G161" s="86"/>
      <c r="H161" s="86"/>
      <c r="I161" s="86"/>
    </row>
    <row r="162" spans="1:9">
      <c r="A162" s="86"/>
      <c r="B162" s="86"/>
      <c r="C162" s="86"/>
      <c r="D162" s="86"/>
      <c r="E162" s="86"/>
      <c r="F162" s="86"/>
      <c r="G162" s="86"/>
      <c r="H162" s="86"/>
      <c r="I162" s="86"/>
    </row>
    <row r="163" spans="1:9">
      <c r="A163" s="86"/>
      <c r="B163" s="86"/>
      <c r="C163" s="86"/>
      <c r="D163" s="86"/>
      <c r="E163" s="86"/>
      <c r="F163" s="86"/>
      <c r="G163" s="86"/>
      <c r="H163" s="86"/>
      <c r="I163" s="86"/>
    </row>
    <row r="164" spans="1:9">
      <c r="A164" s="86"/>
      <c r="B164" s="86"/>
      <c r="C164" s="86"/>
      <c r="D164" s="86"/>
      <c r="E164" s="86"/>
      <c r="F164" s="86"/>
      <c r="G164" s="86"/>
      <c r="H164" s="86"/>
      <c r="I164" s="86"/>
    </row>
    <row r="165" spans="1:9">
      <c r="A165" s="86"/>
      <c r="B165" s="86"/>
      <c r="C165" s="86"/>
      <c r="D165" s="86"/>
      <c r="E165" s="86"/>
      <c r="F165" s="86"/>
      <c r="G165" s="86"/>
      <c r="H165" s="86"/>
      <c r="I165" s="86"/>
    </row>
    <row r="166" spans="1:9">
      <c r="A166" s="86"/>
      <c r="B166" s="86"/>
      <c r="C166" s="86"/>
      <c r="D166" s="86"/>
      <c r="E166" s="86"/>
      <c r="F166" s="86"/>
      <c r="G166" s="86"/>
      <c r="H166" s="86"/>
      <c r="I166" s="86"/>
    </row>
    <row r="167" spans="1:9">
      <c r="A167" s="86"/>
      <c r="B167" s="86"/>
      <c r="C167" s="86"/>
      <c r="D167" s="86"/>
      <c r="E167" s="86"/>
      <c r="F167" s="86"/>
      <c r="G167" s="86"/>
      <c r="H167" s="86"/>
      <c r="I167" s="86"/>
    </row>
    <row r="168" spans="1:9">
      <c r="A168" s="86"/>
      <c r="B168" s="86"/>
      <c r="C168" s="86"/>
      <c r="D168" s="86"/>
      <c r="E168" s="86"/>
      <c r="F168" s="86"/>
      <c r="G168" s="86"/>
      <c r="H168" s="86"/>
      <c r="I168" s="86"/>
    </row>
  </sheetData>
  <phoneticPr fontId="0" type="noConversion"/>
  <printOptions horizontalCentered="1" verticalCentered="1"/>
  <pageMargins left="0.25" right="0.25" top="0.3" bottom="0.3" header="0" footer="0"/>
  <pageSetup scale="77" fitToHeight="2" orientation="portrait" r:id="rId1"/>
  <headerFooter alignWithMargins="0"/>
  <rowBreaks count="1" manualBreakCount="1">
    <brk id="59"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ransitionEvaluation="1" codeName="Sheet53">
    <pageSetUpPr fitToPage="1"/>
  </sheetPr>
  <dimension ref="A1:K68"/>
  <sheetViews>
    <sheetView defaultGridColor="0" colorId="22" zoomScale="80" zoomScaleNormal="80" workbookViewId="0">
      <selection activeCell="K33" sqref="K33"/>
    </sheetView>
  </sheetViews>
  <sheetFormatPr defaultColWidth="9.77734375" defaultRowHeight="15"/>
  <cols>
    <col min="1" max="1" width="5.77734375" customWidth="1"/>
    <col min="2" max="2" width="14.77734375" customWidth="1"/>
    <col min="3" max="3" width="40.77734375" customWidth="1"/>
    <col min="4" max="5" width="15.77734375" customWidth="1"/>
    <col min="6" max="7" width="16.6640625" customWidth="1"/>
    <col min="8" max="8" width="17.6640625" customWidth="1"/>
    <col min="9" max="9" width="15.77734375" customWidth="1"/>
    <col min="11" max="12" width="12.44140625" bestFit="1" customWidth="1"/>
  </cols>
  <sheetData>
    <row r="1" spans="1:9" ht="16.5" thickBot="1">
      <c r="A1" s="86" t="str">
        <f>'Data sheet'!A65</f>
        <v>Annual Report of Veolia Water New York, Inc.                                                                                          Year Ended  December 31, 2023</v>
      </c>
      <c r="B1" s="86"/>
      <c r="C1" s="233"/>
      <c r="D1" s="233"/>
      <c r="E1" s="233"/>
      <c r="F1" s="233"/>
      <c r="G1" s="86"/>
      <c r="H1" s="5"/>
      <c r="I1" s="5"/>
    </row>
    <row r="2" spans="1:9" ht="15.75">
      <c r="A2" s="699"/>
      <c r="B2" s="700"/>
      <c r="C2" s="700"/>
      <c r="D2" s="700"/>
      <c r="E2" s="700"/>
      <c r="F2" s="700"/>
      <c r="G2" s="700"/>
      <c r="H2" s="700"/>
      <c r="I2" s="131"/>
    </row>
    <row r="3" spans="1:9" ht="15.75">
      <c r="A3" s="118" t="s">
        <v>3814</v>
      </c>
      <c r="B3" s="3"/>
      <c r="C3" s="3"/>
      <c r="D3" s="3"/>
      <c r="E3" s="3"/>
      <c r="F3" s="3"/>
      <c r="G3" s="3"/>
      <c r="H3" s="3"/>
      <c r="I3" s="132"/>
    </row>
    <row r="4" spans="1:9" ht="15.75">
      <c r="A4" s="562"/>
      <c r="B4" s="233"/>
      <c r="C4" s="233"/>
      <c r="D4" s="233"/>
      <c r="E4" s="233"/>
      <c r="F4" s="233"/>
      <c r="G4" s="233"/>
      <c r="H4" s="233"/>
      <c r="I4" s="87"/>
    </row>
    <row r="5" spans="1:9">
      <c r="A5" s="85"/>
      <c r="B5" s="2862" t="s">
        <v>3815</v>
      </c>
      <c r="C5" s="2862"/>
      <c r="D5" s="2862"/>
      <c r="E5" s="2862"/>
      <c r="F5" s="2862"/>
      <c r="G5" s="2862"/>
      <c r="H5" s="2862"/>
      <c r="I5" s="2863"/>
    </row>
    <row r="6" spans="1:9">
      <c r="A6" s="85"/>
      <c r="B6" s="86"/>
      <c r="C6" s="86"/>
      <c r="D6" s="215"/>
      <c r="E6" s="215"/>
      <c r="F6" s="215"/>
      <c r="G6" s="215"/>
      <c r="H6" s="215"/>
      <c r="I6" s="87"/>
    </row>
    <row r="7" spans="1:9">
      <c r="A7" s="85"/>
      <c r="B7" s="2862" t="s">
        <v>4018</v>
      </c>
      <c r="C7" s="2862"/>
      <c r="D7" s="2862"/>
      <c r="E7" s="2862"/>
      <c r="F7" s="2862"/>
      <c r="G7" s="2862"/>
      <c r="H7" s="2862"/>
      <c r="I7" s="2863"/>
    </row>
    <row r="8" spans="1:9">
      <c r="A8" s="85"/>
      <c r="B8" s="2862" t="s">
        <v>4019</v>
      </c>
      <c r="C8" s="2862"/>
      <c r="D8" s="2862"/>
      <c r="E8" s="2862"/>
      <c r="F8" s="2862"/>
      <c r="G8" s="2862"/>
      <c r="H8" s="2862"/>
      <c r="I8" s="2863"/>
    </row>
    <row r="9" spans="1:9">
      <c r="A9" s="85"/>
      <c r="B9" s="2862" t="s">
        <v>2486</v>
      </c>
      <c r="C9" s="2862"/>
      <c r="D9" s="2862"/>
      <c r="E9" s="2862"/>
      <c r="F9" s="2862"/>
      <c r="G9" s="2862"/>
      <c r="H9" s="2862"/>
      <c r="I9" s="2863"/>
    </row>
    <row r="10" spans="1:9">
      <c r="A10" s="85"/>
      <c r="B10" s="2862" t="s">
        <v>73</v>
      </c>
      <c r="C10" s="2862"/>
      <c r="D10" s="2862"/>
      <c r="E10" s="2862"/>
      <c r="F10" s="2862"/>
      <c r="G10" s="2862"/>
      <c r="H10" s="2862"/>
      <c r="I10" s="2863"/>
    </row>
    <row r="11" spans="1:9">
      <c r="A11" s="85"/>
      <c r="B11" s="5"/>
      <c r="C11" s="86"/>
      <c r="D11" s="244"/>
      <c r="E11" s="244"/>
      <c r="F11" s="244"/>
      <c r="G11" s="244"/>
      <c r="H11" s="244"/>
      <c r="I11" s="132"/>
    </row>
    <row r="12" spans="1:9">
      <c r="A12" s="85"/>
      <c r="B12" s="2862" t="s">
        <v>611</v>
      </c>
      <c r="C12" s="2862"/>
      <c r="D12" s="2862"/>
      <c r="E12" s="2862"/>
      <c r="F12" s="2862"/>
      <c r="G12" s="2862"/>
      <c r="H12" s="2862"/>
      <c r="I12" s="2863"/>
    </row>
    <row r="13" spans="1:9">
      <c r="A13" s="85"/>
      <c r="B13" s="86"/>
      <c r="C13" s="86"/>
      <c r="D13" s="86"/>
      <c r="E13" s="86"/>
      <c r="F13" s="86"/>
      <c r="G13" s="86"/>
      <c r="H13" s="86"/>
      <c r="I13" s="87"/>
    </row>
    <row r="14" spans="1:9">
      <c r="A14" s="501"/>
      <c r="B14" s="91"/>
      <c r="C14" s="92"/>
      <c r="D14" s="137"/>
      <c r="E14" s="91"/>
      <c r="F14" s="137"/>
      <c r="G14" s="91"/>
      <c r="H14" s="137"/>
      <c r="I14" s="93"/>
    </row>
    <row r="15" spans="1:9">
      <c r="A15" s="226"/>
      <c r="B15" s="95"/>
      <c r="C15" s="96"/>
      <c r="D15" s="134" t="s">
        <v>1321</v>
      </c>
      <c r="E15" s="117"/>
      <c r="F15" s="134" t="s">
        <v>612</v>
      </c>
      <c r="G15" s="117"/>
      <c r="H15" s="134" t="s">
        <v>3783</v>
      </c>
      <c r="I15" s="132"/>
    </row>
    <row r="16" spans="1:9">
      <c r="A16" s="226"/>
      <c r="B16" s="95"/>
      <c r="C16" s="96"/>
      <c r="D16" s="149"/>
      <c r="E16" s="99"/>
      <c r="F16" s="149" t="s">
        <v>218</v>
      </c>
      <c r="G16" s="99"/>
      <c r="H16" s="365" t="s">
        <v>4607</v>
      </c>
      <c r="I16" s="500"/>
    </row>
    <row r="17" spans="1:10">
      <c r="A17" s="226"/>
      <c r="B17" s="95"/>
      <c r="C17" s="96"/>
      <c r="D17" s="995" t="s">
        <v>1291</v>
      </c>
      <c r="E17" s="995" t="s">
        <v>1291</v>
      </c>
      <c r="F17" s="995" t="s">
        <v>1291</v>
      </c>
      <c r="G17" s="995" t="s">
        <v>1291</v>
      </c>
      <c r="H17" s="995" t="s">
        <v>202</v>
      </c>
      <c r="I17" s="593" t="s">
        <v>202</v>
      </c>
    </row>
    <row r="18" spans="1:10">
      <c r="A18" s="237" t="s">
        <v>1727</v>
      </c>
      <c r="B18" s="440" t="s">
        <v>4315</v>
      </c>
      <c r="C18" s="109" t="s">
        <v>3784</v>
      </c>
      <c r="D18" s="109" t="s">
        <v>3785</v>
      </c>
      <c r="E18" s="109" t="s">
        <v>3785</v>
      </c>
      <c r="F18" s="109" t="s">
        <v>3785</v>
      </c>
      <c r="G18" s="109" t="s">
        <v>3785</v>
      </c>
      <c r="H18" s="109" t="s">
        <v>3785</v>
      </c>
      <c r="I18" s="363" t="s">
        <v>3785</v>
      </c>
    </row>
    <row r="19" spans="1:10">
      <c r="A19" s="237" t="s">
        <v>1739</v>
      </c>
      <c r="B19" s="440" t="s">
        <v>1739</v>
      </c>
      <c r="C19" s="96" t="s">
        <v>218</v>
      </c>
      <c r="D19" s="109" t="s">
        <v>712</v>
      </c>
      <c r="E19" s="109" t="s">
        <v>4320</v>
      </c>
      <c r="F19" s="109" t="s">
        <v>712</v>
      </c>
      <c r="G19" s="109" t="s">
        <v>4320</v>
      </c>
      <c r="H19" s="109" t="s">
        <v>712</v>
      </c>
      <c r="I19" s="363" t="s">
        <v>4320</v>
      </c>
    </row>
    <row r="20" spans="1:10">
      <c r="A20" s="240" t="s">
        <v>3279</v>
      </c>
      <c r="B20" s="1000" t="s">
        <v>3280</v>
      </c>
      <c r="C20" s="997" t="s">
        <v>3281</v>
      </c>
      <c r="D20" s="997" t="s">
        <v>3282</v>
      </c>
      <c r="E20" s="997" t="s">
        <v>721</v>
      </c>
      <c r="F20" s="1029" t="s">
        <v>722</v>
      </c>
      <c r="G20" s="997" t="s">
        <v>723</v>
      </c>
      <c r="H20" s="997" t="s">
        <v>335</v>
      </c>
      <c r="I20" s="367" t="s">
        <v>336</v>
      </c>
    </row>
    <row r="21" spans="1:10">
      <c r="A21" s="237">
        <v>1</v>
      </c>
      <c r="B21" s="95"/>
      <c r="C21" s="109" t="s">
        <v>3786</v>
      </c>
      <c r="D21" s="1755"/>
      <c r="E21" s="96"/>
      <c r="F21" s="141"/>
      <c r="G21" s="96"/>
      <c r="H21" s="96"/>
      <c r="I21" s="138"/>
    </row>
    <row r="22" spans="1:10">
      <c r="A22" s="237">
        <v>2</v>
      </c>
      <c r="B22" s="440" t="s">
        <v>3787</v>
      </c>
      <c r="C22" s="96" t="s">
        <v>3788</v>
      </c>
      <c r="D22" s="1557">
        <f>ROUND('302304'!C64,0)</f>
        <v>91291702</v>
      </c>
      <c r="E22" s="1557">
        <v>87170351</v>
      </c>
      <c r="F22" s="1558">
        <f>+'302304'!D64</f>
        <v>6172488.6135700364</v>
      </c>
      <c r="G22" s="1558">
        <v>6218992.6187660275</v>
      </c>
      <c r="H22" s="1558">
        <f>+'302304'!E64</f>
        <v>77097.916666666657</v>
      </c>
      <c r="I22" s="1559">
        <v>76195.25</v>
      </c>
    </row>
    <row r="23" spans="1:10">
      <c r="A23" s="237">
        <v>3</v>
      </c>
      <c r="B23" s="440" t="s">
        <v>3789</v>
      </c>
      <c r="C23" s="96" t="s">
        <v>3790</v>
      </c>
      <c r="D23" s="1557">
        <f>ROUND('302304'!F64,0)</f>
        <v>17536313</v>
      </c>
      <c r="E23" s="1558">
        <v>17048666</v>
      </c>
      <c r="F23" s="1558">
        <f>+'302304'!G64</f>
        <v>1629882.1780390665</v>
      </c>
      <c r="G23" s="1558">
        <v>1672598.2233160438</v>
      </c>
      <c r="H23" s="1558">
        <f>+'302304'!H64</f>
        <v>4839.6666666666661</v>
      </c>
      <c r="I23" s="1559">
        <v>4778.8333333333339</v>
      </c>
    </row>
    <row r="24" spans="1:10">
      <c r="A24" s="237">
        <v>4</v>
      </c>
      <c r="B24" s="440" t="s">
        <v>3791</v>
      </c>
      <c r="C24" s="96" t="s">
        <v>3792</v>
      </c>
      <c r="D24" s="1557">
        <f>ROUND('302304'!I64,0)</f>
        <v>3803193</v>
      </c>
      <c r="E24" s="1558">
        <v>996799</v>
      </c>
      <c r="F24" s="1558">
        <f>+'302304'!J64</f>
        <v>238560.81081443719</v>
      </c>
      <c r="G24" s="1558">
        <v>226791.13375391197</v>
      </c>
      <c r="H24" s="1558">
        <f>+'302304'!K64</f>
        <v>107.74999999999999</v>
      </c>
      <c r="I24" s="1559">
        <v>107.91666666666666</v>
      </c>
    </row>
    <row r="25" spans="1:10">
      <c r="A25" s="237">
        <v>5</v>
      </c>
      <c r="B25" s="440">
        <v>460.7</v>
      </c>
      <c r="C25" s="96" t="s">
        <v>3782</v>
      </c>
      <c r="D25" s="1557"/>
      <c r="E25" s="1558"/>
      <c r="F25" s="1558"/>
      <c r="G25" s="1558"/>
      <c r="H25" s="1558"/>
      <c r="I25" s="1559"/>
    </row>
    <row r="26" spans="1:10">
      <c r="A26" s="237">
        <v>6</v>
      </c>
      <c r="B26" s="440" t="s">
        <v>3793</v>
      </c>
      <c r="C26" s="96" t="s">
        <v>3794</v>
      </c>
      <c r="D26" s="1557">
        <f>ROUND('302304'!L64,0)</f>
        <v>5123518</v>
      </c>
      <c r="E26" s="1558">
        <v>4737800</v>
      </c>
      <c r="F26" s="508"/>
      <c r="G26" s="508"/>
      <c r="H26" s="1558">
        <f>+'302304'!N64</f>
        <v>2763</v>
      </c>
      <c r="I26" s="1559">
        <v>2628.416666666667</v>
      </c>
    </row>
    <row r="27" spans="1:10">
      <c r="A27" s="237">
        <v>7</v>
      </c>
      <c r="B27" s="440" t="s">
        <v>3795</v>
      </c>
      <c r="C27" s="96" t="s">
        <v>1257</v>
      </c>
      <c r="D27" s="1557">
        <f>ROUND('302304'!O64,0)</f>
        <v>11712072</v>
      </c>
      <c r="E27" s="1558">
        <v>11282685</v>
      </c>
      <c r="F27" s="508"/>
      <c r="G27" s="508"/>
      <c r="H27" s="1558">
        <f>+'302304'!Q64</f>
        <v>72</v>
      </c>
      <c r="I27" s="1559">
        <v>72</v>
      </c>
    </row>
    <row r="28" spans="1:10">
      <c r="A28" s="237">
        <v>8</v>
      </c>
      <c r="B28" s="440" t="s">
        <v>1258</v>
      </c>
      <c r="C28" s="96" t="s">
        <v>1259</v>
      </c>
      <c r="D28" s="1557">
        <f>ROUND(+'302304'!C125,0)</f>
        <v>92180</v>
      </c>
      <c r="E28" s="1558">
        <v>84386</v>
      </c>
      <c r="F28" s="508">
        <f>+'302304'!D125</f>
        <v>9325</v>
      </c>
      <c r="G28" s="508">
        <v>8218</v>
      </c>
      <c r="H28" s="1558">
        <f>+'302304'!E125</f>
        <v>32</v>
      </c>
      <c r="I28" s="1559">
        <v>32</v>
      </c>
    </row>
    <row r="29" spans="1:10">
      <c r="A29" s="237">
        <v>9</v>
      </c>
      <c r="B29" s="440" t="s">
        <v>1260</v>
      </c>
      <c r="C29" s="96" t="s">
        <v>3306</v>
      </c>
      <c r="D29" s="1557"/>
      <c r="E29" s="1558">
        <v>0</v>
      </c>
      <c r="F29" s="508"/>
      <c r="G29" s="508"/>
      <c r="H29" s="1558"/>
      <c r="I29" s="1559"/>
    </row>
    <row r="30" spans="1:10">
      <c r="A30" s="237">
        <v>10</v>
      </c>
      <c r="B30" s="440" t="s">
        <v>3307</v>
      </c>
      <c r="C30" s="96" t="s">
        <v>3308</v>
      </c>
      <c r="D30" s="1557">
        <f>ROUND('305'!D44,0)</f>
        <v>583404</v>
      </c>
      <c r="E30" s="1558">
        <v>693759</v>
      </c>
      <c r="F30" s="1558">
        <f>+'305'!C44</f>
        <v>93354.364104348933</v>
      </c>
      <c r="G30" s="1558">
        <v>107162.49430548417</v>
      </c>
      <c r="H30" s="1558">
        <v>13</v>
      </c>
      <c r="I30" s="1559">
        <v>9</v>
      </c>
    </row>
    <row r="31" spans="1:10">
      <c r="A31" s="237">
        <v>11</v>
      </c>
      <c r="B31" s="440" t="s">
        <v>3309</v>
      </c>
      <c r="C31" s="96" t="s">
        <v>3310</v>
      </c>
      <c r="D31" s="1557">
        <v>1926777</v>
      </c>
      <c r="E31" s="1558">
        <v>1830962</v>
      </c>
      <c r="F31" s="508"/>
      <c r="G31" s="508"/>
      <c r="H31" s="1558">
        <v>1</v>
      </c>
      <c r="I31" s="1560">
        <v>1</v>
      </c>
    </row>
    <row r="32" spans="1:10">
      <c r="A32" s="237">
        <v>12</v>
      </c>
      <c r="B32" s="95"/>
      <c r="C32" s="96" t="s">
        <v>3311</v>
      </c>
      <c r="D32" s="382">
        <f t="shared" ref="D32:I32" si="0">SUM(D22:D31)</f>
        <v>132069159</v>
      </c>
      <c r="E32" s="382">
        <f t="shared" si="0"/>
        <v>123845408</v>
      </c>
      <c r="F32" s="382">
        <f t="shared" si="0"/>
        <v>8143610.9665278895</v>
      </c>
      <c r="G32" s="382">
        <f t="shared" si="0"/>
        <v>8233762.4701414667</v>
      </c>
      <c r="H32" s="382">
        <f t="shared" si="0"/>
        <v>84926.333333333328</v>
      </c>
      <c r="I32" s="391">
        <f t="shared" si="0"/>
        <v>83824.416666666672</v>
      </c>
      <c r="J32" s="484" t="str">
        <f>IF(ROUND(F32,0)=ROUND('400'!F31,0),"ok","error")</f>
        <v>ok</v>
      </c>
    </row>
    <row r="33" spans="1:11">
      <c r="A33" s="237">
        <v>13</v>
      </c>
      <c r="B33" s="95"/>
      <c r="C33" s="96"/>
      <c r="D33" s="508"/>
      <c r="E33" s="508"/>
      <c r="F33" s="426"/>
      <c r="G33" s="426"/>
      <c r="H33" s="426"/>
      <c r="I33" s="427"/>
    </row>
    <row r="34" spans="1:11" ht="15.75">
      <c r="A34" s="237">
        <v>14</v>
      </c>
      <c r="B34" s="95"/>
      <c r="C34" s="109" t="s">
        <v>266</v>
      </c>
      <c r="D34" s="508"/>
      <c r="E34" s="508"/>
      <c r="F34" s="701" t="s">
        <v>267</v>
      </c>
      <c r="G34" s="702"/>
      <c r="H34" s="702"/>
      <c r="I34" s="703"/>
    </row>
    <row r="35" spans="1:11">
      <c r="A35" s="237">
        <v>15</v>
      </c>
      <c r="B35" s="440" t="s">
        <v>268</v>
      </c>
      <c r="C35" s="96" t="s">
        <v>269</v>
      </c>
      <c r="D35" s="1558"/>
      <c r="E35" s="143"/>
      <c r="F35" s="177" t="s">
        <v>2741</v>
      </c>
      <c r="G35" s="426"/>
      <c r="H35" s="426"/>
      <c r="I35" s="427"/>
    </row>
    <row r="36" spans="1:11">
      <c r="A36" s="237">
        <v>16</v>
      </c>
      <c r="B36" s="440" t="s">
        <v>2742</v>
      </c>
      <c r="C36" s="96" t="s">
        <v>2743</v>
      </c>
      <c r="D36" s="1558">
        <f>ROUND('306'!E35,0)</f>
        <v>243574</v>
      </c>
      <c r="E36" s="1558">
        <v>216693</v>
      </c>
      <c r="F36" s="704" t="s">
        <v>323</v>
      </c>
      <c r="G36" s="426"/>
      <c r="H36" s="426"/>
      <c r="I36" s="427"/>
    </row>
    <row r="37" spans="1:11">
      <c r="A37" s="237">
        <v>17</v>
      </c>
      <c r="B37" s="440" t="s">
        <v>324</v>
      </c>
      <c r="C37" s="96" t="s">
        <v>1944</v>
      </c>
      <c r="D37" s="1558">
        <v>204551</v>
      </c>
      <c r="E37" s="1558">
        <v>230929</v>
      </c>
      <c r="F37" s="704" t="s">
        <v>1945</v>
      </c>
      <c r="G37" s="426"/>
      <c r="H37" s="426"/>
      <c r="I37" s="427"/>
    </row>
    <row r="38" spans="1:11">
      <c r="A38" s="237">
        <v>18</v>
      </c>
      <c r="B38" s="440" t="s">
        <v>1946</v>
      </c>
      <c r="C38" s="96" t="s">
        <v>1947</v>
      </c>
      <c r="D38" s="1558"/>
      <c r="E38" s="1558"/>
      <c r="F38" s="86" t="s">
        <v>1948</v>
      </c>
      <c r="G38" s="426"/>
      <c r="H38" s="426"/>
      <c r="I38" s="427"/>
    </row>
    <row r="39" spans="1:11">
      <c r="A39" s="237">
        <v>19</v>
      </c>
      <c r="B39" s="440" t="s">
        <v>1949</v>
      </c>
      <c r="C39" s="96" t="s">
        <v>1950</v>
      </c>
      <c r="D39" s="1558">
        <f>ROUND('306'!E63,0)</f>
        <v>12550</v>
      </c>
      <c r="E39" s="1558">
        <v>1359219</v>
      </c>
      <c r="F39" s="704" t="s">
        <v>1951</v>
      </c>
      <c r="G39" s="426"/>
      <c r="H39" s="426"/>
      <c r="I39" s="427"/>
    </row>
    <row r="40" spans="1:11">
      <c r="A40" s="237">
        <v>20</v>
      </c>
      <c r="B40" s="95"/>
      <c r="C40" s="96" t="s">
        <v>1636</v>
      </c>
      <c r="D40" s="382">
        <f>SUM(D35:D39)</f>
        <v>460675</v>
      </c>
      <c r="E40" s="382">
        <f>SUM(E35:E39)</f>
        <v>1806841</v>
      </c>
      <c r="F40" s="426" t="s">
        <v>1637</v>
      </c>
      <c r="G40" s="426"/>
      <c r="H40" s="426"/>
      <c r="I40" s="427"/>
    </row>
    <row r="41" spans="1:11">
      <c r="A41" s="240">
        <v>21</v>
      </c>
      <c r="B41" s="99"/>
      <c r="C41" s="100" t="s">
        <v>1638</v>
      </c>
      <c r="D41" s="378">
        <f>D32+D40</f>
        <v>132529834</v>
      </c>
      <c r="E41" s="378">
        <f>E32+E40</f>
        <v>125652249</v>
      </c>
      <c r="F41" s="426"/>
      <c r="G41" s="426"/>
      <c r="H41" s="426"/>
      <c r="I41" s="427"/>
      <c r="J41" t="str">
        <f>IF(ROUND(D41,0)=ROUND('116119'!G23,0),"ok","error")</f>
        <v>ok</v>
      </c>
      <c r="K41" t="str">
        <f>IF(ROUND(E41,0)=ROUND('116119'!H23,0),"ok","error")</f>
        <v>ok</v>
      </c>
    </row>
    <row r="42" spans="1:11">
      <c r="A42" s="85"/>
      <c r="B42" s="86"/>
      <c r="C42" s="86"/>
      <c r="D42" s="86"/>
      <c r="E42" s="86"/>
      <c r="F42" s="86"/>
      <c r="G42" s="86"/>
      <c r="H42" s="86"/>
      <c r="I42" s="87"/>
      <c r="K42" s="136"/>
    </row>
    <row r="43" spans="1:11" ht="15.75">
      <c r="A43" s="562"/>
      <c r="B43" s="233"/>
      <c r="C43" s="86"/>
      <c r="D43" s="2175"/>
      <c r="E43" s="86"/>
      <c r="F43" s="86"/>
      <c r="G43" s="86"/>
      <c r="H43" s="86"/>
      <c r="I43" s="87"/>
    </row>
    <row r="44" spans="1:11">
      <c r="A44" s="85"/>
      <c r="B44" s="86"/>
      <c r="C44" s="86"/>
      <c r="D44" s="1521"/>
      <c r="E44" s="86"/>
      <c r="F44" s="215"/>
      <c r="G44" s="215"/>
      <c r="H44" s="215"/>
      <c r="I44" s="705"/>
    </row>
    <row r="45" spans="1:11">
      <c r="A45" s="85"/>
      <c r="B45" s="86"/>
      <c r="C45" s="86"/>
      <c r="D45" s="177"/>
      <c r="E45" s="86"/>
      <c r="F45" s="215"/>
      <c r="G45" s="215"/>
      <c r="H45" s="215"/>
      <c r="I45" s="705"/>
    </row>
    <row r="46" spans="1:11">
      <c r="A46" s="85"/>
      <c r="B46" s="86"/>
      <c r="C46" s="86"/>
      <c r="D46" s="177"/>
      <c r="E46" s="86"/>
      <c r="F46" s="215"/>
      <c r="G46" s="215"/>
      <c r="H46" s="215"/>
      <c r="I46" s="705"/>
    </row>
    <row r="47" spans="1:11">
      <c r="A47" s="85"/>
      <c r="B47" s="86"/>
      <c r="C47" s="86"/>
      <c r="D47" s="86"/>
      <c r="E47" s="86"/>
      <c r="F47" s="215"/>
      <c r="G47" s="215"/>
      <c r="H47" s="86"/>
      <c r="I47" s="87"/>
    </row>
    <row r="48" spans="1:11">
      <c r="A48" s="85"/>
      <c r="B48" s="86"/>
      <c r="C48" s="86"/>
      <c r="D48" s="86"/>
      <c r="E48" s="215"/>
      <c r="F48" s="86"/>
      <c r="G48" s="215"/>
      <c r="H48" s="215"/>
      <c r="I48" s="705"/>
    </row>
    <row r="49" spans="1:9">
      <c r="A49" s="85"/>
      <c r="B49" s="86"/>
      <c r="C49" s="86"/>
      <c r="D49" s="86"/>
      <c r="E49" s="86"/>
      <c r="F49" s="86"/>
      <c r="G49" s="86"/>
      <c r="H49" s="86"/>
      <c r="I49" s="87"/>
    </row>
    <row r="50" spans="1:9" ht="15.75" thickBot="1">
      <c r="A50" s="154"/>
      <c r="B50" s="113"/>
      <c r="C50" s="113"/>
      <c r="D50" s="113"/>
      <c r="E50" s="113"/>
      <c r="F50" s="216"/>
      <c r="G50" s="216"/>
      <c r="H50" s="216"/>
      <c r="I50" s="706"/>
    </row>
    <row r="51" spans="1:9">
      <c r="A51" s="130"/>
      <c r="B51" s="130"/>
      <c r="C51" s="130"/>
      <c r="D51" s="130"/>
      <c r="E51" s="130"/>
      <c r="F51" s="130"/>
      <c r="G51" s="130"/>
      <c r="H51" s="130"/>
      <c r="I51" s="707" t="s">
        <v>2024</v>
      </c>
    </row>
    <row r="52" spans="1:9">
      <c r="A52" s="5" t="s">
        <v>1639</v>
      </c>
      <c r="B52" s="5"/>
      <c r="C52" s="5"/>
      <c r="D52" s="5"/>
      <c r="E52" s="5"/>
      <c r="F52" s="5"/>
      <c r="G52" s="5"/>
      <c r="H52" s="5"/>
      <c r="I52" s="5"/>
    </row>
    <row r="53" spans="1:9">
      <c r="A53" s="86"/>
      <c r="B53" s="86"/>
      <c r="C53" s="86"/>
      <c r="D53" s="86"/>
      <c r="E53" s="86"/>
      <c r="F53" s="86"/>
      <c r="G53" s="86"/>
      <c r="H53" s="86"/>
      <c r="I53" s="86"/>
    </row>
    <row r="54" spans="1:9">
      <c r="A54" s="86"/>
      <c r="B54" s="86"/>
      <c r="C54" s="86"/>
      <c r="D54" s="86"/>
      <c r="E54" s="404"/>
      <c r="F54" s="86"/>
      <c r="G54" s="86"/>
      <c r="H54" s="86"/>
      <c r="I54" s="86"/>
    </row>
    <row r="55" spans="1:9">
      <c r="A55" s="86"/>
      <c r="B55" s="86"/>
      <c r="C55" s="86"/>
      <c r="D55" s="86"/>
      <c r="E55" s="404"/>
      <c r="F55" s="86"/>
      <c r="G55" s="86"/>
      <c r="H55" s="86"/>
      <c r="I55" s="86"/>
    </row>
    <row r="56" spans="1:9">
      <c r="A56" s="86"/>
      <c r="B56" s="86"/>
      <c r="C56" s="86"/>
      <c r="D56" s="86"/>
      <c r="E56" s="86"/>
      <c r="F56" s="86"/>
      <c r="G56" s="86"/>
      <c r="H56" s="86"/>
      <c r="I56" s="86"/>
    </row>
    <row r="57" spans="1:9">
      <c r="A57" s="86"/>
      <c r="B57" s="86"/>
      <c r="C57" s="86"/>
      <c r="D57" s="86"/>
      <c r="E57" s="86"/>
      <c r="F57" s="86"/>
      <c r="G57" s="86"/>
      <c r="H57" s="86"/>
      <c r="I57" s="86"/>
    </row>
    <row r="58" spans="1:9">
      <c r="A58" s="86"/>
      <c r="B58" s="86"/>
      <c r="C58" s="86"/>
      <c r="D58" s="86"/>
      <c r="E58" s="86"/>
      <c r="F58" s="86"/>
      <c r="G58" s="86"/>
      <c r="H58" s="86"/>
      <c r="I58" s="86"/>
    </row>
    <row r="59" spans="1:9">
      <c r="A59" s="86"/>
      <c r="B59" s="86"/>
      <c r="C59" s="108"/>
      <c r="D59" s="86"/>
      <c r="E59" s="86"/>
      <c r="F59" s="86"/>
      <c r="G59" s="86"/>
      <c r="H59" s="86"/>
      <c r="I59" s="86"/>
    </row>
    <row r="60" spans="1:9">
      <c r="A60" s="215"/>
      <c r="B60" s="215"/>
      <c r="D60" s="86"/>
      <c r="E60" s="86"/>
      <c r="F60" s="86"/>
      <c r="G60" s="86"/>
      <c r="H60" s="215"/>
      <c r="I60" s="86"/>
    </row>
    <row r="61" spans="1:9">
      <c r="A61" s="86"/>
      <c r="B61" s="86"/>
      <c r="C61" s="86"/>
      <c r="D61" s="86"/>
      <c r="E61" s="86"/>
      <c r="F61" s="86"/>
      <c r="G61" s="86"/>
      <c r="H61" s="86"/>
      <c r="I61" s="86"/>
    </row>
    <row r="62" spans="1:9">
      <c r="A62" s="86"/>
      <c r="B62" s="86"/>
      <c r="C62" s="108"/>
      <c r="D62" s="86"/>
      <c r="E62" s="86"/>
      <c r="F62" s="86"/>
      <c r="G62" s="86"/>
      <c r="H62" s="86"/>
      <c r="I62" s="86"/>
    </row>
    <row r="63" spans="1:9">
      <c r="A63" s="86"/>
      <c r="B63" s="86"/>
      <c r="C63" s="108"/>
      <c r="D63" s="86"/>
      <c r="E63" s="86"/>
      <c r="F63" s="86"/>
      <c r="G63" s="86"/>
      <c r="H63" s="86"/>
      <c r="I63" s="86"/>
    </row>
    <row r="64" spans="1:9">
      <c r="A64" s="86"/>
      <c r="B64" s="86"/>
      <c r="C64" s="108"/>
      <c r="D64" s="86"/>
      <c r="E64" s="86"/>
      <c r="F64" s="86"/>
      <c r="G64" s="86"/>
      <c r="H64" s="86"/>
      <c r="I64" s="86"/>
    </row>
    <row r="65" spans="1:9">
      <c r="A65" s="86"/>
      <c r="B65" s="86"/>
      <c r="C65" s="108"/>
      <c r="D65" s="215"/>
      <c r="E65" s="215"/>
      <c r="F65" s="215"/>
      <c r="G65" s="215"/>
      <c r="H65" s="215"/>
      <c r="I65" s="86"/>
    </row>
    <row r="66" spans="1:9">
      <c r="A66" s="86"/>
      <c r="B66" s="86"/>
      <c r="C66" s="14"/>
      <c r="D66" s="215"/>
      <c r="E66" s="215"/>
      <c r="F66" s="215"/>
      <c r="G66" s="215"/>
      <c r="H66" s="215"/>
      <c r="I66" s="86"/>
    </row>
    <row r="67" spans="1:9">
      <c r="A67" s="86"/>
      <c r="B67" s="86"/>
      <c r="C67" s="108"/>
      <c r="D67" s="215"/>
      <c r="E67" s="215"/>
      <c r="F67" s="215"/>
      <c r="G67" s="215"/>
      <c r="H67" s="215"/>
      <c r="I67" s="86"/>
    </row>
    <row r="68" spans="1:9">
      <c r="A68" s="86"/>
      <c r="B68" s="86"/>
      <c r="C68" s="108"/>
      <c r="D68" s="86"/>
      <c r="E68" s="86"/>
      <c r="F68" s="86"/>
      <c r="G68" s="86"/>
      <c r="H68" s="86"/>
      <c r="I68" s="86"/>
    </row>
  </sheetData>
  <mergeCells count="6">
    <mergeCell ref="B10:I10"/>
    <mergeCell ref="B12:I12"/>
    <mergeCell ref="B5:I5"/>
    <mergeCell ref="B7:I7"/>
    <mergeCell ref="B8:I8"/>
    <mergeCell ref="B9:I9"/>
  </mergeCells>
  <phoneticPr fontId="0" type="noConversion"/>
  <pageMargins left="0.4" right="0.4" top="0.3" bottom="0.3" header="0.5" footer="0.5"/>
  <pageSetup scale="68" orientation="landscape" r:id="rId1"/>
  <headerFooter alignWithMargins="0"/>
  <ignoredErrors>
    <ignoredError sqref="F22:F24" unlockedFormula="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ransitionEvaluation="1" codeName="Sheet54">
    <pageSetUpPr fitToPage="1"/>
  </sheetPr>
  <dimension ref="A1:G143"/>
  <sheetViews>
    <sheetView defaultGridColor="0" colorId="22" zoomScaleNormal="100" workbookViewId="0">
      <selection activeCell="H67" sqref="H67"/>
    </sheetView>
  </sheetViews>
  <sheetFormatPr defaultColWidth="9.77734375" defaultRowHeight="15"/>
  <cols>
    <col min="1" max="1" width="6.109375" customWidth="1"/>
    <col min="2" max="2" width="35.5546875" customWidth="1"/>
    <col min="3" max="3" width="21.44140625" customWidth="1"/>
    <col min="4" max="4" width="15.77734375" customWidth="1"/>
    <col min="5" max="5" width="14.77734375" customWidth="1"/>
    <col min="6" max="7" width="12.77734375" customWidth="1"/>
  </cols>
  <sheetData>
    <row r="1" spans="1:7" ht="15.75" thickBot="1">
      <c r="A1" s="86" t="str">
        <f>'Data sheet'!A63</f>
        <v>Annual Report of Veolia Water New York, Inc.                                                                             Year Ended  December 31, 2023</v>
      </c>
      <c r="B1" s="86"/>
      <c r="C1" s="86"/>
      <c r="D1" s="86"/>
      <c r="E1" s="86"/>
      <c r="F1" s="86"/>
      <c r="G1" s="86"/>
    </row>
    <row r="2" spans="1:7">
      <c r="A2" s="129"/>
      <c r="B2" s="130"/>
      <c r="C2" s="130"/>
      <c r="D2" s="614"/>
      <c r="E2" s="614"/>
      <c r="F2" s="707"/>
      <c r="G2" s="1120"/>
    </row>
    <row r="3" spans="1:7" ht="15.75">
      <c r="A3" s="118" t="s">
        <v>1640</v>
      </c>
      <c r="B3" s="5"/>
      <c r="C3" s="5"/>
      <c r="D3" s="5"/>
      <c r="E3" s="5"/>
      <c r="F3" s="5"/>
      <c r="G3" s="132"/>
    </row>
    <row r="4" spans="1:7">
      <c r="A4" s="97"/>
      <c r="B4" s="98"/>
      <c r="C4" s="98"/>
      <c r="D4" s="133"/>
      <c r="E4" s="133"/>
      <c r="F4" s="1057"/>
      <c r="G4" s="101"/>
    </row>
    <row r="5" spans="1:7">
      <c r="A5" s="88"/>
      <c r="B5" s="1113" t="s">
        <v>1641</v>
      </c>
      <c r="C5" s="1256"/>
      <c r="D5" s="108" t="s">
        <v>1642</v>
      </c>
      <c r="E5" s="86"/>
      <c r="F5" s="710"/>
      <c r="G5" s="711"/>
    </row>
    <row r="6" spans="1:7">
      <c r="A6" s="85"/>
      <c r="B6" s="108" t="s">
        <v>815</v>
      </c>
      <c r="C6" s="718"/>
      <c r="D6" s="108" t="s">
        <v>816</v>
      </c>
      <c r="E6" s="86"/>
      <c r="F6" s="40"/>
      <c r="G6" s="79"/>
    </row>
    <row r="7" spans="1:7">
      <c r="A7" s="85"/>
      <c r="B7" s="108" t="s">
        <v>4091</v>
      </c>
      <c r="C7" s="718"/>
      <c r="D7" s="108" t="s">
        <v>2699</v>
      </c>
      <c r="E7" s="86"/>
      <c r="F7" s="40"/>
      <c r="G7" s="79"/>
    </row>
    <row r="8" spans="1:7">
      <c r="A8" s="85"/>
      <c r="B8" s="108" t="s">
        <v>2700</v>
      </c>
      <c r="C8" s="718"/>
      <c r="D8" s="108" t="s">
        <v>2361</v>
      </c>
      <c r="E8" s="86"/>
      <c r="F8" s="40"/>
      <c r="G8" s="79"/>
    </row>
    <row r="9" spans="1:7">
      <c r="A9" s="85"/>
      <c r="B9" s="108" t="s">
        <v>4294</v>
      </c>
      <c r="C9" s="718"/>
      <c r="D9" s="108" t="s">
        <v>4295</v>
      </c>
      <c r="E9" s="86"/>
      <c r="F9" s="40"/>
      <c r="G9" s="79"/>
    </row>
    <row r="10" spans="1:7">
      <c r="A10" s="85"/>
      <c r="B10" s="108" t="s">
        <v>285</v>
      </c>
      <c r="C10" s="718"/>
      <c r="D10" s="108" t="s">
        <v>2961</v>
      </c>
      <c r="E10" s="86"/>
      <c r="F10" s="40"/>
      <c r="G10" s="79"/>
    </row>
    <row r="11" spans="1:7">
      <c r="A11" s="85"/>
      <c r="B11" s="108" t="s">
        <v>2962</v>
      </c>
      <c r="C11" s="718"/>
      <c r="D11" s="108" t="s">
        <v>2963</v>
      </c>
      <c r="E11" s="86"/>
      <c r="F11" s="40"/>
      <c r="G11" s="79"/>
    </row>
    <row r="12" spans="1:7">
      <c r="A12" s="85"/>
      <c r="B12" s="108" t="s">
        <v>2964</v>
      </c>
      <c r="C12" s="718"/>
      <c r="D12" s="108" t="s">
        <v>2965</v>
      </c>
      <c r="E12" s="86"/>
      <c r="F12" s="40"/>
      <c r="G12" s="79"/>
    </row>
    <row r="13" spans="1:7">
      <c r="A13" s="85"/>
      <c r="B13" s="108" t="s">
        <v>2966</v>
      </c>
      <c r="C13" s="718"/>
      <c r="D13" s="806"/>
      <c r="E13" s="86"/>
      <c r="F13" s="40"/>
      <c r="G13" s="79"/>
    </row>
    <row r="14" spans="1:7">
      <c r="A14" s="85"/>
      <c r="B14" s="108" t="s">
        <v>4303</v>
      </c>
      <c r="C14" s="718"/>
      <c r="D14" s="718"/>
      <c r="E14" s="86"/>
      <c r="F14" s="40"/>
      <c r="G14" s="79"/>
    </row>
    <row r="15" spans="1:7">
      <c r="A15" s="480" t="s">
        <v>1727</v>
      </c>
      <c r="B15" s="137"/>
      <c r="C15" s="995" t="s">
        <v>4304</v>
      </c>
      <c r="D15" s="90"/>
      <c r="E15" s="631" t="s">
        <v>2917</v>
      </c>
      <c r="F15" s="631" t="s">
        <v>4304</v>
      </c>
      <c r="G15" s="1121" t="s">
        <v>2918</v>
      </c>
    </row>
    <row r="16" spans="1:7">
      <c r="A16" s="237" t="s">
        <v>1739</v>
      </c>
      <c r="B16" s="620" t="s">
        <v>2919</v>
      </c>
      <c r="C16" s="109" t="s">
        <v>2920</v>
      </c>
      <c r="D16" s="134" t="s">
        <v>2921</v>
      </c>
      <c r="E16" s="134" t="s">
        <v>2922</v>
      </c>
      <c r="F16" s="134" t="s">
        <v>2920</v>
      </c>
      <c r="G16" s="626" t="s">
        <v>4304</v>
      </c>
    </row>
    <row r="17" spans="1:7">
      <c r="A17" s="237"/>
      <c r="B17" s="620"/>
      <c r="C17" s="109" t="s">
        <v>2923</v>
      </c>
      <c r="D17" s="134"/>
      <c r="E17" s="620" t="s">
        <v>4087</v>
      </c>
      <c r="F17" s="620" t="s">
        <v>1700</v>
      </c>
      <c r="G17" s="626" t="s">
        <v>2920</v>
      </c>
    </row>
    <row r="18" spans="1:7">
      <c r="A18" s="240"/>
      <c r="B18" s="365" t="s">
        <v>3279</v>
      </c>
      <c r="C18" s="997" t="s">
        <v>3280</v>
      </c>
      <c r="D18" s="365" t="s">
        <v>3281</v>
      </c>
      <c r="E18" s="365" t="s">
        <v>3282</v>
      </c>
      <c r="F18" s="365" t="s">
        <v>721</v>
      </c>
      <c r="G18" s="783" t="s">
        <v>722</v>
      </c>
    </row>
    <row r="19" spans="1:7">
      <c r="A19" s="480">
        <v>1</v>
      </c>
      <c r="B19" s="607"/>
      <c r="C19" s="1755"/>
      <c r="D19" s="646"/>
      <c r="E19" s="506"/>
      <c r="F19" s="577" t="str">
        <f t="shared" ref="F19:F66" si="0">IF(ISERR(C19/E19),"  ",C19/E19)</f>
        <v xml:space="preserve">  </v>
      </c>
      <c r="G19" s="574" t="str">
        <f t="shared" ref="G19:G66" si="1">IF(ISERR(D19/C19),"  ",D19/C19)</f>
        <v xml:space="preserve">  </v>
      </c>
    </row>
    <row r="20" spans="1:7">
      <c r="A20" s="237">
        <f t="shared" ref="A20:A54" si="2">A19+1</f>
        <v>2</v>
      </c>
      <c r="B20" s="86" t="s">
        <v>2980</v>
      </c>
      <c r="C20" s="508"/>
      <c r="D20" s="508"/>
      <c r="E20" s="508"/>
      <c r="F20" s="577" t="str">
        <f t="shared" si="0"/>
        <v xml:space="preserve">  </v>
      </c>
      <c r="G20" s="576" t="str">
        <f t="shared" si="1"/>
        <v xml:space="preserve">  </v>
      </c>
    </row>
    <row r="21" spans="1:7">
      <c r="A21" s="237">
        <f t="shared" si="2"/>
        <v>3</v>
      </c>
      <c r="B21" s="86" t="s">
        <v>2981</v>
      </c>
      <c r="C21" s="508">
        <f>'302304'!D64</f>
        <v>6172488.6135700364</v>
      </c>
      <c r="D21" s="1577">
        <f>ROUND('302304'!C64,0)</f>
        <v>91291702</v>
      </c>
      <c r="E21" s="508">
        <f>'302304'!E64</f>
        <v>77097.916666666657</v>
      </c>
      <c r="F21" s="577">
        <f t="shared" si="0"/>
        <v>80.060381401184046</v>
      </c>
      <c r="G21" s="576">
        <f t="shared" si="1"/>
        <v>14.79009646114176</v>
      </c>
    </row>
    <row r="22" spans="1:7">
      <c r="A22" s="237">
        <f t="shared" si="2"/>
        <v>4</v>
      </c>
      <c r="B22" s="86" t="s">
        <v>2982</v>
      </c>
      <c r="C22" s="508">
        <f>'302304'!G64</f>
        <v>1629882.1780390665</v>
      </c>
      <c r="D22" s="1265">
        <f>ROUND('302304'!F64,0)</f>
        <v>17536313</v>
      </c>
      <c r="E22" s="508">
        <f>'302304'!H64</f>
        <v>4839.6666666666661</v>
      </c>
      <c r="F22" s="577">
        <f t="shared" si="0"/>
        <v>336.77571004319856</v>
      </c>
      <c r="G22" s="576">
        <f t="shared" si="1"/>
        <v>10.759251948566108</v>
      </c>
    </row>
    <row r="23" spans="1:7">
      <c r="A23" s="237">
        <f t="shared" si="2"/>
        <v>5</v>
      </c>
      <c r="B23" s="86" t="s">
        <v>2983</v>
      </c>
      <c r="C23" s="508">
        <f>'302304'!J64</f>
        <v>238560.81081443719</v>
      </c>
      <c r="D23" s="1265">
        <f>ROUND('302304'!I64,0)</f>
        <v>3803193</v>
      </c>
      <c r="E23" s="508">
        <f>'302304'!K64</f>
        <v>107.74999999999999</v>
      </c>
      <c r="F23" s="577">
        <f t="shared" si="0"/>
        <v>2214.0214460736634</v>
      </c>
      <c r="G23" s="576">
        <f t="shared" si="1"/>
        <v>15.942237063229493</v>
      </c>
    </row>
    <row r="24" spans="1:7">
      <c r="A24" s="237">
        <f t="shared" si="2"/>
        <v>6</v>
      </c>
      <c r="B24" s="86"/>
      <c r="C24" s="508"/>
      <c r="D24" s="508"/>
      <c r="E24" s="508"/>
      <c r="F24" s="577" t="str">
        <f t="shared" si="0"/>
        <v xml:space="preserve">  </v>
      </c>
      <c r="G24" s="576" t="str">
        <f t="shared" si="1"/>
        <v xml:space="preserve">  </v>
      </c>
    </row>
    <row r="25" spans="1:7">
      <c r="A25" s="237">
        <f t="shared" si="2"/>
        <v>7</v>
      </c>
      <c r="B25" s="86"/>
      <c r="C25" s="508"/>
      <c r="D25" s="508"/>
      <c r="E25" s="508"/>
      <c r="F25" s="577" t="str">
        <f t="shared" si="0"/>
        <v xml:space="preserve">  </v>
      </c>
      <c r="G25" s="576" t="str">
        <f t="shared" si="1"/>
        <v xml:space="preserve">  </v>
      </c>
    </row>
    <row r="26" spans="1:7">
      <c r="A26" s="237">
        <f t="shared" si="2"/>
        <v>8</v>
      </c>
      <c r="B26" s="408" t="s">
        <v>1674</v>
      </c>
      <c r="C26" s="382">
        <f>SUM(C19:C25)</f>
        <v>8040931.6024235403</v>
      </c>
      <c r="D26" s="378">
        <f>SUM(D19:D25)</f>
        <v>112631208</v>
      </c>
      <c r="E26" s="382">
        <f>SUM(E19:E25)</f>
        <v>82045.333333333328</v>
      </c>
      <c r="F26" s="385">
        <f t="shared" si="0"/>
        <v>98.005959336588802</v>
      </c>
      <c r="G26" s="1122">
        <f t="shared" si="1"/>
        <v>14.007233684969153</v>
      </c>
    </row>
    <row r="27" spans="1:7">
      <c r="A27" s="237">
        <f t="shared" si="2"/>
        <v>9</v>
      </c>
      <c r="B27" s="86"/>
      <c r="C27" s="508"/>
      <c r="D27" s="554"/>
      <c r="E27" s="508"/>
      <c r="F27" s="577" t="str">
        <f t="shared" si="0"/>
        <v xml:space="preserve">  </v>
      </c>
      <c r="G27" s="574" t="str">
        <f t="shared" si="1"/>
        <v xml:space="preserve">  </v>
      </c>
    </row>
    <row r="28" spans="1:7">
      <c r="A28" s="237">
        <f t="shared" si="2"/>
        <v>10</v>
      </c>
      <c r="B28" s="86"/>
      <c r="C28" s="508"/>
      <c r="D28" s="508"/>
      <c r="E28" s="508"/>
      <c r="F28" s="577" t="str">
        <f t="shared" si="0"/>
        <v xml:space="preserve">  </v>
      </c>
      <c r="G28" s="576" t="str">
        <f t="shared" si="1"/>
        <v xml:space="preserve">  </v>
      </c>
    </row>
    <row r="29" spans="1:7">
      <c r="A29" s="237">
        <f t="shared" si="2"/>
        <v>11</v>
      </c>
      <c r="B29" s="86"/>
      <c r="C29" s="508"/>
      <c r="D29" s="508"/>
      <c r="E29" s="508"/>
      <c r="F29" s="577" t="str">
        <f t="shared" si="0"/>
        <v xml:space="preserve">  </v>
      </c>
      <c r="G29" s="576" t="str">
        <f t="shared" si="1"/>
        <v xml:space="preserve">  </v>
      </c>
    </row>
    <row r="30" spans="1:7">
      <c r="A30" s="237">
        <f t="shared" si="2"/>
        <v>12</v>
      </c>
      <c r="B30" s="239"/>
      <c r="C30" s="508"/>
      <c r="D30" s="508"/>
      <c r="E30" s="508"/>
      <c r="F30" s="577" t="str">
        <f t="shared" si="0"/>
        <v xml:space="preserve">  </v>
      </c>
      <c r="G30" s="576" t="str">
        <f t="shared" si="1"/>
        <v xml:space="preserve">  </v>
      </c>
    </row>
    <row r="31" spans="1:7">
      <c r="A31" s="237">
        <f t="shared" si="2"/>
        <v>13</v>
      </c>
      <c r="B31" s="86"/>
      <c r="C31" s="508"/>
      <c r="D31" s="508"/>
      <c r="E31" s="508"/>
      <c r="F31" s="577" t="str">
        <f t="shared" si="0"/>
        <v xml:space="preserve">  </v>
      </c>
      <c r="G31" s="576" t="str">
        <f t="shared" si="1"/>
        <v xml:space="preserve">  </v>
      </c>
    </row>
    <row r="32" spans="1:7">
      <c r="A32" s="237">
        <f t="shared" si="2"/>
        <v>14</v>
      </c>
      <c r="B32" s="86"/>
      <c r="C32" s="508"/>
      <c r="D32" s="508"/>
      <c r="E32" s="508"/>
      <c r="F32" s="577" t="str">
        <f t="shared" si="0"/>
        <v xml:space="preserve">  </v>
      </c>
      <c r="G32" s="576" t="str">
        <f t="shared" si="1"/>
        <v xml:space="preserve">  </v>
      </c>
    </row>
    <row r="33" spans="1:7">
      <c r="A33" s="237">
        <f t="shared" si="2"/>
        <v>15</v>
      </c>
      <c r="B33" s="86"/>
      <c r="C33" s="508"/>
      <c r="D33" s="508"/>
      <c r="E33" s="508"/>
      <c r="F33" s="577" t="str">
        <f t="shared" si="0"/>
        <v xml:space="preserve">  </v>
      </c>
      <c r="G33" s="576" t="str">
        <f t="shared" si="1"/>
        <v xml:space="preserve">  </v>
      </c>
    </row>
    <row r="34" spans="1:7">
      <c r="A34" s="237">
        <f t="shared" si="2"/>
        <v>16</v>
      </c>
      <c r="B34" s="408" t="s">
        <v>3166</v>
      </c>
      <c r="C34" s="382">
        <f>SUM(C27:C33)</f>
        <v>0</v>
      </c>
      <c r="D34" s="378">
        <f>SUM(D27:D33)</f>
        <v>0</v>
      </c>
      <c r="E34" s="382">
        <f>SUM(E27:E33)</f>
        <v>0</v>
      </c>
      <c r="F34" s="385" t="str">
        <f t="shared" si="0"/>
        <v xml:space="preserve">  </v>
      </c>
      <c r="G34" s="1122" t="str">
        <f t="shared" si="1"/>
        <v xml:space="preserve">  </v>
      </c>
    </row>
    <row r="35" spans="1:7">
      <c r="A35" s="237">
        <f t="shared" si="2"/>
        <v>17</v>
      </c>
      <c r="B35" s="86"/>
      <c r="C35" s="508"/>
      <c r="D35" s="554"/>
      <c r="E35" s="508"/>
      <c r="F35" s="577" t="str">
        <f t="shared" si="0"/>
        <v xml:space="preserve">  </v>
      </c>
      <c r="G35" s="574" t="str">
        <f t="shared" si="1"/>
        <v xml:space="preserve">  </v>
      </c>
    </row>
    <row r="36" spans="1:7">
      <c r="A36" s="237">
        <f t="shared" si="2"/>
        <v>18</v>
      </c>
      <c r="B36" s="86"/>
      <c r="C36" s="508"/>
      <c r="D36" s="508"/>
      <c r="E36" s="508"/>
      <c r="F36" s="577" t="str">
        <f t="shared" si="0"/>
        <v xml:space="preserve">  </v>
      </c>
      <c r="G36" s="576" t="str">
        <f t="shared" si="1"/>
        <v xml:space="preserve">  </v>
      </c>
    </row>
    <row r="37" spans="1:7">
      <c r="A37" s="237">
        <f t="shared" si="2"/>
        <v>19</v>
      </c>
      <c r="B37" s="86"/>
      <c r="C37" s="508"/>
      <c r="D37" s="508"/>
      <c r="E37" s="508"/>
      <c r="F37" s="577" t="str">
        <f t="shared" si="0"/>
        <v xml:space="preserve">  </v>
      </c>
      <c r="G37" s="576" t="str">
        <f t="shared" si="1"/>
        <v xml:space="preserve">  </v>
      </c>
    </row>
    <row r="38" spans="1:7">
      <c r="A38" s="237">
        <f t="shared" si="2"/>
        <v>20</v>
      </c>
      <c r="B38" s="94"/>
      <c r="C38" s="508"/>
      <c r="D38" s="508"/>
      <c r="E38" s="508"/>
      <c r="F38" s="577" t="str">
        <f t="shared" si="0"/>
        <v xml:space="preserve">  </v>
      </c>
      <c r="G38" s="576" t="str">
        <f t="shared" si="1"/>
        <v xml:space="preserve">  </v>
      </c>
    </row>
    <row r="39" spans="1:7">
      <c r="A39" s="237">
        <f t="shared" si="2"/>
        <v>21</v>
      </c>
      <c r="B39" s="86"/>
      <c r="C39" s="508"/>
      <c r="D39" s="508"/>
      <c r="E39" s="508"/>
      <c r="F39" s="577" t="str">
        <f t="shared" si="0"/>
        <v xml:space="preserve">  </v>
      </c>
      <c r="G39" s="576" t="str">
        <f t="shared" si="1"/>
        <v xml:space="preserve">  </v>
      </c>
    </row>
    <row r="40" spans="1:7">
      <c r="A40" s="237">
        <f t="shared" si="2"/>
        <v>22</v>
      </c>
      <c r="B40" s="86"/>
      <c r="C40" s="508"/>
      <c r="D40" s="508"/>
      <c r="E40" s="508"/>
      <c r="F40" s="577" t="str">
        <f t="shared" si="0"/>
        <v xml:space="preserve">  </v>
      </c>
      <c r="G40" s="576" t="str">
        <f t="shared" si="1"/>
        <v xml:space="preserve">  </v>
      </c>
    </row>
    <row r="41" spans="1:7">
      <c r="A41" s="237">
        <f t="shared" si="2"/>
        <v>23</v>
      </c>
      <c r="B41" s="86"/>
      <c r="C41" s="508"/>
      <c r="D41" s="508"/>
      <c r="E41" s="508"/>
      <c r="F41" s="577" t="str">
        <f t="shared" si="0"/>
        <v xml:space="preserve">  </v>
      </c>
      <c r="G41" s="576" t="str">
        <f t="shared" si="1"/>
        <v xml:space="preserve">  </v>
      </c>
    </row>
    <row r="42" spans="1:7">
      <c r="A42" s="237">
        <f t="shared" si="2"/>
        <v>24</v>
      </c>
      <c r="B42" s="408" t="s">
        <v>3167</v>
      </c>
      <c r="C42" s="382">
        <f>SUM(C35:C41)</f>
        <v>0</v>
      </c>
      <c r="D42" s="378">
        <f>SUM(D35:D41)</f>
        <v>0</v>
      </c>
      <c r="E42" s="382">
        <f>SUM(E35:E41)</f>
        <v>0</v>
      </c>
      <c r="F42" s="385" t="str">
        <f t="shared" si="0"/>
        <v xml:space="preserve">  </v>
      </c>
      <c r="G42" s="1122" t="str">
        <f t="shared" si="1"/>
        <v xml:space="preserve">  </v>
      </c>
    </row>
    <row r="43" spans="1:7">
      <c r="A43" s="237">
        <f t="shared" si="2"/>
        <v>25</v>
      </c>
      <c r="B43" s="86"/>
      <c r="C43" s="508"/>
      <c r="D43" s="554"/>
      <c r="E43" s="508"/>
      <c r="F43" s="577" t="str">
        <f t="shared" si="0"/>
        <v xml:space="preserve">  </v>
      </c>
      <c r="G43" s="574" t="str">
        <f t="shared" si="1"/>
        <v xml:space="preserve">  </v>
      </c>
    </row>
    <row r="44" spans="1:7">
      <c r="A44" s="237">
        <f t="shared" si="2"/>
        <v>26</v>
      </c>
      <c r="B44" s="86" t="s">
        <v>2984</v>
      </c>
      <c r="C44" s="1532" t="s">
        <v>3379</v>
      </c>
      <c r="D44" s="508">
        <f>ROUND('302304'!L64,0)</f>
        <v>5123518</v>
      </c>
      <c r="E44" s="508">
        <f>'302304'!N64</f>
        <v>2763</v>
      </c>
      <c r="F44" s="577">
        <v>0</v>
      </c>
      <c r="G44" s="1556" t="s">
        <v>3379</v>
      </c>
    </row>
    <row r="45" spans="1:7">
      <c r="A45" s="237">
        <f t="shared" si="2"/>
        <v>27</v>
      </c>
      <c r="B45" s="86"/>
      <c r="C45" s="508"/>
      <c r="D45" s="508"/>
      <c r="E45" s="508"/>
      <c r="F45" s="577" t="str">
        <f t="shared" si="0"/>
        <v xml:space="preserve">  </v>
      </c>
      <c r="G45" s="576" t="str">
        <f t="shared" si="1"/>
        <v xml:space="preserve">  </v>
      </c>
    </row>
    <row r="46" spans="1:7">
      <c r="A46" s="237">
        <f t="shared" si="2"/>
        <v>28</v>
      </c>
      <c r="B46" s="86"/>
      <c r="C46" s="508"/>
      <c r="D46" s="508"/>
      <c r="E46" s="508"/>
      <c r="F46" s="577" t="str">
        <f t="shared" si="0"/>
        <v xml:space="preserve">  </v>
      </c>
      <c r="G46" s="576" t="str">
        <f t="shared" si="1"/>
        <v xml:space="preserve">  </v>
      </c>
    </row>
    <row r="47" spans="1:7">
      <c r="A47" s="237">
        <f t="shared" si="2"/>
        <v>29</v>
      </c>
      <c r="B47" s="86"/>
      <c r="C47" s="508"/>
      <c r="D47" s="508"/>
      <c r="E47" s="508"/>
      <c r="F47" s="577" t="str">
        <f t="shared" si="0"/>
        <v xml:space="preserve">  </v>
      </c>
      <c r="G47" s="576" t="str">
        <f t="shared" si="1"/>
        <v xml:space="preserve">  </v>
      </c>
    </row>
    <row r="48" spans="1:7">
      <c r="A48" s="237">
        <f t="shared" si="2"/>
        <v>30</v>
      </c>
      <c r="B48" s="408" t="s">
        <v>3969</v>
      </c>
      <c r="C48" s="382">
        <f>SUM(C43:C47)</f>
        <v>0</v>
      </c>
      <c r="D48" s="378">
        <f>SUM(D43:D47)</f>
        <v>5123518</v>
      </c>
      <c r="E48" s="382">
        <f>SUM(E43:E47)</f>
        <v>2763</v>
      </c>
      <c r="F48" s="385">
        <f t="shared" si="0"/>
        <v>0</v>
      </c>
      <c r="G48" s="1122" t="str">
        <f t="shared" si="1"/>
        <v xml:space="preserve">  </v>
      </c>
    </row>
    <row r="49" spans="1:7">
      <c r="A49" s="237">
        <f t="shared" si="2"/>
        <v>31</v>
      </c>
      <c r="B49" s="94"/>
      <c r="C49" s="508"/>
      <c r="D49" s="554"/>
      <c r="E49" s="508"/>
      <c r="F49" s="577" t="str">
        <f t="shared" si="0"/>
        <v xml:space="preserve">  </v>
      </c>
      <c r="G49" s="574" t="str">
        <f t="shared" si="1"/>
        <v xml:space="preserve">  </v>
      </c>
    </row>
    <row r="50" spans="1:7">
      <c r="A50" s="237">
        <f t="shared" si="2"/>
        <v>32</v>
      </c>
      <c r="B50" s="86" t="s">
        <v>2985</v>
      </c>
      <c r="C50" s="1532" t="s">
        <v>3379</v>
      </c>
      <c r="D50" s="508">
        <f>ROUND('302304'!O64,0)</f>
        <v>11712072</v>
      </c>
      <c r="E50" s="508">
        <f>'302304'!Q64</f>
        <v>72</v>
      </c>
      <c r="F50" s="577">
        <v>0</v>
      </c>
      <c r="G50" s="1556" t="s">
        <v>3379</v>
      </c>
    </row>
    <row r="51" spans="1:7">
      <c r="A51" s="237">
        <f t="shared" si="2"/>
        <v>33</v>
      </c>
      <c r="B51" s="86"/>
      <c r="C51" s="508"/>
      <c r="D51" s="508"/>
      <c r="E51" s="508"/>
      <c r="F51" s="577" t="str">
        <f t="shared" si="0"/>
        <v xml:space="preserve">  </v>
      </c>
      <c r="G51" s="576" t="str">
        <f t="shared" si="1"/>
        <v xml:space="preserve">  </v>
      </c>
    </row>
    <row r="52" spans="1:7">
      <c r="A52" s="237">
        <f t="shared" si="2"/>
        <v>34</v>
      </c>
      <c r="B52" s="86"/>
      <c r="C52" s="508"/>
      <c r="D52" s="508"/>
      <c r="E52" s="508"/>
      <c r="F52" s="577" t="str">
        <f t="shared" si="0"/>
        <v xml:space="preserve">  </v>
      </c>
      <c r="G52" s="576" t="str">
        <f t="shared" si="1"/>
        <v xml:space="preserve">  </v>
      </c>
    </row>
    <row r="53" spans="1:7">
      <c r="A53" s="237">
        <f t="shared" si="2"/>
        <v>35</v>
      </c>
      <c r="B53" s="86"/>
      <c r="C53" s="508"/>
      <c r="D53" s="508"/>
      <c r="E53" s="508"/>
      <c r="F53" s="577" t="str">
        <f t="shared" si="0"/>
        <v xml:space="preserve">  </v>
      </c>
      <c r="G53" s="576" t="str">
        <f t="shared" si="1"/>
        <v xml:space="preserve">  </v>
      </c>
    </row>
    <row r="54" spans="1:7">
      <c r="A54" s="237">
        <f t="shared" si="2"/>
        <v>36</v>
      </c>
      <c r="B54" s="408" t="s">
        <v>3970</v>
      </c>
      <c r="C54" s="382">
        <f>SUM(C49:C53)</f>
        <v>0</v>
      </c>
      <c r="D54" s="378">
        <f>SUM(D49:D53)</f>
        <v>11712072</v>
      </c>
      <c r="E54" s="382">
        <f>SUM(E49:E53)</f>
        <v>72</v>
      </c>
      <c r="F54" s="385">
        <f t="shared" si="0"/>
        <v>0</v>
      </c>
      <c r="G54" s="1122" t="str">
        <f t="shared" si="1"/>
        <v xml:space="preserve">  </v>
      </c>
    </row>
    <row r="55" spans="1:7">
      <c r="A55" s="237">
        <v>37</v>
      </c>
      <c r="B55" s="86"/>
      <c r="C55" s="508"/>
      <c r="D55" s="554"/>
      <c r="E55" s="508"/>
      <c r="F55" s="577" t="str">
        <f t="shared" si="0"/>
        <v xml:space="preserve">  </v>
      </c>
      <c r="G55" s="574" t="str">
        <f t="shared" si="1"/>
        <v xml:space="preserve">  </v>
      </c>
    </row>
    <row r="56" spans="1:7">
      <c r="A56" s="237">
        <v>38</v>
      </c>
      <c r="B56" s="1440" t="s">
        <v>5089</v>
      </c>
      <c r="C56" s="508">
        <f>+'302304'!D125</f>
        <v>9325</v>
      </c>
      <c r="D56" s="508">
        <f>ROUND(+'302304'!C125,0)</f>
        <v>92180</v>
      </c>
      <c r="E56" s="508">
        <f>'302304'!E125</f>
        <v>32</v>
      </c>
      <c r="F56" s="577">
        <f t="shared" si="0"/>
        <v>291.40625</v>
      </c>
      <c r="G56" s="576">
        <f t="shared" si="1"/>
        <v>9.8852546916890081</v>
      </c>
    </row>
    <row r="57" spans="1:7">
      <c r="A57" s="237">
        <v>39</v>
      </c>
      <c r="B57" s="86"/>
      <c r="C57" s="508"/>
      <c r="D57" s="508"/>
      <c r="E57" s="508"/>
      <c r="F57" s="577" t="str">
        <f t="shared" si="0"/>
        <v xml:space="preserve">  </v>
      </c>
      <c r="G57" s="576" t="str">
        <f t="shared" si="1"/>
        <v xml:space="preserve">  </v>
      </c>
    </row>
    <row r="58" spans="1:7">
      <c r="A58" s="237">
        <v>40</v>
      </c>
      <c r="B58" s="86"/>
      <c r="C58" s="508"/>
      <c r="D58" s="508"/>
      <c r="E58" s="508"/>
      <c r="F58" s="577" t="str">
        <f t="shared" si="0"/>
        <v xml:space="preserve">  </v>
      </c>
      <c r="G58" s="576" t="str">
        <f t="shared" si="1"/>
        <v xml:space="preserve">  </v>
      </c>
    </row>
    <row r="59" spans="1:7">
      <c r="A59" s="237">
        <v>41</v>
      </c>
      <c r="B59" s="86"/>
      <c r="C59" s="508"/>
      <c r="D59" s="508"/>
      <c r="E59" s="508"/>
      <c r="F59" s="577" t="str">
        <f t="shared" si="0"/>
        <v xml:space="preserve">  </v>
      </c>
      <c r="G59" s="576" t="str">
        <f t="shared" si="1"/>
        <v xml:space="preserve">  </v>
      </c>
    </row>
    <row r="60" spans="1:7">
      <c r="A60" s="237">
        <v>42</v>
      </c>
      <c r="B60" s="408" t="s">
        <v>3971</v>
      </c>
      <c r="C60" s="382">
        <f>SUM(C55:C59)</f>
        <v>9325</v>
      </c>
      <c r="D60" s="378">
        <f>SUM(D55:D59)</f>
        <v>92180</v>
      </c>
      <c r="E60" s="382">
        <f>SUM(E55:E59)</f>
        <v>32</v>
      </c>
      <c r="F60" s="385">
        <f t="shared" si="0"/>
        <v>291.40625</v>
      </c>
      <c r="G60" s="1122">
        <f t="shared" si="1"/>
        <v>9.8852546916890081</v>
      </c>
    </row>
    <row r="61" spans="1:7">
      <c r="A61" s="237">
        <v>43</v>
      </c>
      <c r="B61" s="86"/>
      <c r="C61" s="508"/>
      <c r="D61" s="508"/>
      <c r="E61" s="508"/>
      <c r="F61" s="577" t="str">
        <f t="shared" si="0"/>
        <v xml:space="preserve">  </v>
      </c>
      <c r="G61" s="574" t="str">
        <f t="shared" si="1"/>
        <v xml:space="preserve">  </v>
      </c>
    </row>
    <row r="62" spans="1:7">
      <c r="A62" s="237">
        <v>44</v>
      </c>
      <c r="B62" s="2665" t="s">
        <v>5090</v>
      </c>
      <c r="C62" s="508">
        <f>+'305'!C44</f>
        <v>93354.364104348933</v>
      </c>
      <c r="D62" s="508">
        <f>ROUND(+'305'!D44,0)</f>
        <v>583404</v>
      </c>
      <c r="E62" s="508">
        <f>+'300'!I30</f>
        <v>9</v>
      </c>
      <c r="F62" s="577">
        <f t="shared" ref="F62" si="3">IF(ISERR(C62/E62),"  ",C62/E62)</f>
        <v>10372.707122705437</v>
      </c>
      <c r="G62" s="576">
        <f t="shared" ref="G62" si="4">IF(ISERR(D62/C62),"  ",D62/C62)</f>
        <v>6.2493489789924244</v>
      </c>
    </row>
    <row r="63" spans="1:7">
      <c r="A63" s="237">
        <v>45</v>
      </c>
      <c r="B63" s="86"/>
      <c r="C63" s="508"/>
      <c r="D63" s="508"/>
      <c r="E63" s="508"/>
      <c r="F63" s="577" t="str">
        <f t="shared" si="0"/>
        <v xml:space="preserve">  </v>
      </c>
      <c r="G63" s="576" t="str">
        <f t="shared" si="1"/>
        <v xml:space="preserve">  </v>
      </c>
    </row>
    <row r="64" spans="1:7">
      <c r="A64" s="237">
        <v>46</v>
      </c>
      <c r="B64" s="142"/>
      <c r="C64" s="508"/>
      <c r="D64" s="577"/>
      <c r="E64" s="577"/>
      <c r="F64" s="577" t="str">
        <f t="shared" si="0"/>
        <v xml:space="preserve">  </v>
      </c>
      <c r="G64" s="576" t="str">
        <f t="shared" si="1"/>
        <v xml:space="preserve">  </v>
      </c>
    </row>
    <row r="65" spans="1:7">
      <c r="A65" s="237">
        <v>47</v>
      </c>
      <c r="B65" s="142"/>
      <c r="C65" s="508"/>
      <c r="D65" s="508"/>
      <c r="E65" s="508"/>
      <c r="F65" s="577" t="str">
        <f t="shared" si="0"/>
        <v xml:space="preserve">  </v>
      </c>
      <c r="G65" s="576" t="str">
        <f t="shared" si="1"/>
        <v xml:space="preserve">  </v>
      </c>
    </row>
    <row r="66" spans="1:7" ht="15.75" thickBot="1">
      <c r="A66" s="397">
        <v>48</v>
      </c>
      <c r="B66" s="485" t="s">
        <v>3972</v>
      </c>
      <c r="C66" s="722">
        <f>SUM(C61:C65)</f>
        <v>93354.364104348933</v>
      </c>
      <c r="D66" s="400">
        <f>SUM(D61:D65)</f>
        <v>583404</v>
      </c>
      <c r="E66" s="722">
        <f>SUM(E61:E65)</f>
        <v>9</v>
      </c>
      <c r="F66" s="720">
        <f t="shared" si="0"/>
        <v>10372.707122705437</v>
      </c>
      <c r="G66" s="1123">
        <f t="shared" si="1"/>
        <v>6.2493489789924244</v>
      </c>
    </row>
    <row r="67" spans="1:7">
      <c r="A67" s="86"/>
      <c r="B67" s="86"/>
      <c r="C67" s="86"/>
      <c r="D67" s="86"/>
      <c r="E67" s="86"/>
      <c r="F67" s="86"/>
      <c r="G67" s="405" t="s">
        <v>2024</v>
      </c>
    </row>
    <row r="68" spans="1:7">
      <c r="A68" s="5" t="s">
        <v>3973</v>
      </c>
      <c r="B68" s="5"/>
      <c r="C68" s="5"/>
      <c r="D68" s="5"/>
      <c r="E68" s="5"/>
      <c r="F68" s="5"/>
      <c r="G68" s="5"/>
    </row>
    <row r="69" spans="1:7">
      <c r="A69" s="86"/>
      <c r="B69" s="86"/>
      <c r="C69" s="86"/>
      <c r="D69" s="86"/>
      <c r="E69" s="86"/>
      <c r="F69" s="86"/>
      <c r="G69" s="86"/>
    </row>
    <row r="70" spans="1:7">
      <c r="A70" s="86"/>
      <c r="B70" s="86"/>
      <c r="C70" s="86"/>
      <c r="D70" s="86"/>
      <c r="E70" s="86"/>
      <c r="F70" s="86"/>
      <c r="G70" s="86"/>
    </row>
    <row r="71" spans="1:7">
      <c r="A71" s="86"/>
      <c r="B71" s="86"/>
      <c r="C71" s="86"/>
      <c r="D71" s="86"/>
      <c r="E71" s="86"/>
      <c r="F71" s="86"/>
      <c r="G71" s="86"/>
    </row>
    <row r="72" spans="1:7">
      <c r="A72" s="86"/>
      <c r="B72" s="86"/>
      <c r="C72" s="86"/>
      <c r="D72" s="86"/>
      <c r="E72" s="86"/>
      <c r="F72" s="86"/>
      <c r="G72" s="86"/>
    </row>
    <row r="73" spans="1:7">
      <c r="A73" s="86"/>
      <c r="B73" s="86"/>
      <c r="C73" s="86"/>
      <c r="D73" s="86"/>
      <c r="E73" s="5"/>
      <c r="F73" s="5"/>
      <c r="G73" s="5"/>
    </row>
    <row r="74" spans="1:7">
      <c r="A74" s="86"/>
      <c r="B74" s="86"/>
      <c r="C74" s="718"/>
      <c r="D74" s="718"/>
      <c r="E74" s="86"/>
      <c r="F74" s="86"/>
      <c r="G74" s="86"/>
    </row>
    <row r="75" spans="1:7" ht="15.75">
      <c r="A75" s="86"/>
      <c r="B75" s="233" t="s">
        <v>3948</v>
      </c>
      <c r="C75" s="86"/>
      <c r="D75" s="86"/>
      <c r="E75" s="86"/>
      <c r="F75" s="86"/>
      <c r="G75" s="86"/>
    </row>
    <row r="76" spans="1:7">
      <c r="A76" s="86"/>
      <c r="B76" s="86"/>
      <c r="C76" s="86"/>
      <c r="D76" s="86"/>
      <c r="E76" s="86"/>
      <c r="F76" s="86"/>
      <c r="G76" s="86"/>
    </row>
    <row r="77" spans="1:7" ht="15.75" thickBot="1">
      <c r="A77" s="85"/>
      <c r="B77" s="86"/>
      <c r="C77" s="86"/>
      <c r="D77" s="86"/>
      <c r="E77" s="86"/>
      <c r="F77" s="1057"/>
      <c r="G77" s="86"/>
    </row>
    <row r="78" spans="1:7">
      <c r="A78" s="129"/>
      <c r="B78" s="130"/>
      <c r="C78" s="130"/>
      <c r="D78" s="130"/>
      <c r="E78" s="130"/>
      <c r="F78" s="130"/>
      <c r="G78" s="131"/>
    </row>
    <row r="79" spans="1:7">
      <c r="A79" s="488" t="s">
        <v>3974</v>
      </c>
      <c r="B79" s="5"/>
      <c r="C79" s="5"/>
      <c r="D79" s="5"/>
      <c r="E79" s="5"/>
      <c r="F79" s="5"/>
      <c r="G79" s="132"/>
    </row>
    <row r="80" spans="1:7">
      <c r="A80" s="85"/>
      <c r="B80" s="86"/>
      <c r="C80" s="86"/>
      <c r="D80" s="86"/>
      <c r="E80" s="86"/>
      <c r="F80" s="86"/>
      <c r="G80" s="87"/>
    </row>
    <row r="81" spans="1:7">
      <c r="A81" s="480" t="s">
        <v>1727</v>
      </c>
      <c r="B81" s="137"/>
      <c r="C81" s="92"/>
      <c r="D81" s="90"/>
      <c r="E81" s="631" t="s">
        <v>3975</v>
      </c>
      <c r="F81" s="631" t="s">
        <v>3976</v>
      </c>
      <c r="G81" s="1121" t="s">
        <v>3977</v>
      </c>
    </row>
    <row r="82" spans="1:7">
      <c r="A82" s="237" t="s">
        <v>1739</v>
      </c>
      <c r="B82" s="620" t="s">
        <v>2919</v>
      </c>
      <c r="C82" s="109" t="s">
        <v>3978</v>
      </c>
      <c r="D82" s="134" t="s">
        <v>2921</v>
      </c>
      <c r="E82" s="134" t="s">
        <v>3979</v>
      </c>
      <c r="F82" s="134" t="s">
        <v>2977</v>
      </c>
      <c r="G82" s="626" t="s">
        <v>2737</v>
      </c>
    </row>
    <row r="83" spans="1:7">
      <c r="A83" s="240"/>
      <c r="B83" s="365" t="s">
        <v>3279</v>
      </c>
      <c r="C83" s="997" t="s">
        <v>3280</v>
      </c>
      <c r="D83" s="365" t="s">
        <v>3281</v>
      </c>
      <c r="E83" s="365" t="s">
        <v>3282</v>
      </c>
      <c r="F83" s="365" t="s">
        <v>721</v>
      </c>
      <c r="G83" s="783" t="s">
        <v>722</v>
      </c>
    </row>
    <row r="84" spans="1:7">
      <c r="A84" s="480">
        <v>1</v>
      </c>
      <c r="B84" s="90"/>
      <c r="C84" s="506"/>
      <c r="D84" s="646"/>
      <c r="E84" s="506"/>
      <c r="F84" s="577" t="str">
        <f t="shared" ref="F84:F115" si="5">IF(ISERR(C84/E84*1000),"  ",C84/E84*1000)</f>
        <v xml:space="preserve">  </v>
      </c>
      <c r="G84" s="1124" t="str">
        <f t="shared" ref="G84:G115" si="6">IF(ISERR(D84/C84/1000),"  ",D84/C84/1000)</f>
        <v xml:space="preserve">  </v>
      </c>
    </row>
    <row r="85" spans="1:7">
      <c r="A85" s="237">
        <f t="shared" ref="A85:A107" si="7">A84+1</f>
        <v>2</v>
      </c>
      <c r="B85" s="86"/>
      <c r="C85" s="508"/>
      <c r="D85" s="508"/>
      <c r="E85" s="508"/>
      <c r="F85" s="577" t="str">
        <f t="shared" si="5"/>
        <v xml:space="preserve">  </v>
      </c>
      <c r="G85" s="1125" t="str">
        <f t="shared" si="6"/>
        <v xml:space="preserve">  </v>
      </c>
    </row>
    <row r="86" spans="1:7">
      <c r="A86" s="237">
        <f t="shared" si="7"/>
        <v>3</v>
      </c>
      <c r="B86" s="86"/>
      <c r="C86" s="508"/>
      <c r="D86" s="508"/>
      <c r="E86" s="508"/>
      <c r="F86" s="577" t="str">
        <f t="shared" si="5"/>
        <v xml:space="preserve">  </v>
      </c>
      <c r="G86" s="1125" t="str">
        <f t="shared" si="6"/>
        <v xml:space="preserve">  </v>
      </c>
    </row>
    <row r="87" spans="1:7">
      <c r="A87" s="237">
        <f t="shared" si="7"/>
        <v>4</v>
      </c>
      <c r="B87" s="86"/>
      <c r="C87" s="508"/>
      <c r="D87" s="508"/>
      <c r="E87" s="508"/>
      <c r="F87" s="577" t="str">
        <f t="shared" si="5"/>
        <v xml:space="preserve">  </v>
      </c>
      <c r="G87" s="1125" t="str">
        <f t="shared" si="6"/>
        <v xml:space="preserve">  </v>
      </c>
    </row>
    <row r="88" spans="1:7">
      <c r="A88" s="237">
        <f t="shared" si="7"/>
        <v>5</v>
      </c>
      <c r="B88" s="86"/>
      <c r="C88" s="508"/>
      <c r="D88" s="508"/>
      <c r="E88" s="508"/>
      <c r="F88" s="577" t="str">
        <f t="shared" si="5"/>
        <v xml:space="preserve">  </v>
      </c>
      <c r="G88" s="1125" t="str">
        <f t="shared" si="6"/>
        <v xml:space="preserve">  </v>
      </c>
    </row>
    <row r="89" spans="1:7">
      <c r="A89" s="237">
        <f t="shared" si="7"/>
        <v>6</v>
      </c>
      <c r="B89" s="86"/>
      <c r="C89" s="508"/>
      <c r="D89" s="508"/>
      <c r="E89" s="508"/>
      <c r="F89" s="577" t="str">
        <f t="shared" si="5"/>
        <v xml:space="preserve">  </v>
      </c>
      <c r="G89" s="1125" t="str">
        <f t="shared" si="6"/>
        <v xml:space="preserve">  </v>
      </c>
    </row>
    <row r="90" spans="1:7">
      <c r="A90" s="237">
        <f t="shared" si="7"/>
        <v>7</v>
      </c>
      <c r="B90" s="86"/>
      <c r="C90" s="508"/>
      <c r="D90" s="508"/>
      <c r="E90" s="508"/>
      <c r="F90" s="577" t="str">
        <f t="shared" si="5"/>
        <v xml:space="preserve">  </v>
      </c>
      <c r="G90" s="1125" t="str">
        <f t="shared" si="6"/>
        <v xml:space="preserve">  </v>
      </c>
    </row>
    <row r="91" spans="1:7">
      <c r="A91" s="237">
        <f t="shared" si="7"/>
        <v>8</v>
      </c>
      <c r="B91" s="86"/>
      <c r="C91" s="508"/>
      <c r="D91" s="508"/>
      <c r="E91" s="508"/>
      <c r="F91" s="577" t="str">
        <f t="shared" si="5"/>
        <v xml:space="preserve">  </v>
      </c>
      <c r="G91" s="1125" t="str">
        <f t="shared" si="6"/>
        <v xml:space="preserve">  </v>
      </c>
    </row>
    <row r="92" spans="1:7">
      <c r="A92" s="237">
        <f t="shared" si="7"/>
        <v>9</v>
      </c>
      <c r="B92" s="86"/>
      <c r="C92" s="508"/>
      <c r="D92" s="508"/>
      <c r="E92" s="508"/>
      <c r="F92" s="577" t="str">
        <f t="shared" si="5"/>
        <v xml:space="preserve">  </v>
      </c>
      <c r="G92" s="1125" t="str">
        <f t="shared" si="6"/>
        <v xml:space="preserve">  </v>
      </c>
    </row>
    <row r="93" spans="1:7">
      <c r="A93" s="237">
        <f t="shared" si="7"/>
        <v>10</v>
      </c>
      <c r="B93" s="86"/>
      <c r="C93" s="508"/>
      <c r="D93" s="508"/>
      <c r="E93" s="508"/>
      <c r="F93" s="577" t="str">
        <f t="shared" si="5"/>
        <v xml:space="preserve">  </v>
      </c>
      <c r="G93" s="1125" t="str">
        <f t="shared" si="6"/>
        <v xml:space="preserve">  </v>
      </c>
    </row>
    <row r="94" spans="1:7">
      <c r="A94" s="237">
        <f t="shared" si="7"/>
        <v>11</v>
      </c>
      <c r="B94" s="86"/>
      <c r="C94" s="508"/>
      <c r="D94" s="508"/>
      <c r="E94" s="508"/>
      <c r="F94" s="577" t="str">
        <f t="shared" si="5"/>
        <v xml:space="preserve">  </v>
      </c>
      <c r="G94" s="1125" t="str">
        <f t="shared" si="6"/>
        <v xml:space="preserve">  </v>
      </c>
    </row>
    <row r="95" spans="1:7">
      <c r="A95" s="237">
        <f t="shared" si="7"/>
        <v>12</v>
      </c>
      <c r="B95" s="86"/>
      <c r="C95" s="508"/>
      <c r="D95" s="508"/>
      <c r="E95" s="508"/>
      <c r="F95" s="577" t="str">
        <f t="shared" si="5"/>
        <v xml:space="preserve">  </v>
      </c>
      <c r="G95" s="1125" t="str">
        <f t="shared" si="6"/>
        <v xml:space="preserve">  </v>
      </c>
    </row>
    <row r="96" spans="1:7">
      <c r="A96" s="237">
        <f t="shared" si="7"/>
        <v>13</v>
      </c>
      <c r="B96" s="86"/>
      <c r="C96" s="508"/>
      <c r="D96" s="508"/>
      <c r="E96" s="508"/>
      <c r="F96" s="577" t="str">
        <f t="shared" si="5"/>
        <v xml:space="preserve">  </v>
      </c>
      <c r="G96" s="1125" t="str">
        <f t="shared" si="6"/>
        <v xml:space="preserve">  </v>
      </c>
    </row>
    <row r="97" spans="1:7">
      <c r="A97" s="237">
        <f t="shared" si="7"/>
        <v>14</v>
      </c>
      <c r="B97" s="86"/>
      <c r="C97" s="508"/>
      <c r="D97" s="508"/>
      <c r="E97" s="508"/>
      <c r="F97" s="577" t="str">
        <f t="shared" si="5"/>
        <v xml:space="preserve">  </v>
      </c>
      <c r="G97" s="1125" t="str">
        <f t="shared" si="6"/>
        <v xml:space="preserve">  </v>
      </c>
    </row>
    <row r="98" spans="1:7">
      <c r="A98" s="237">
        <f t="shared" si="7"/>
        <v>15</v>
      </c>
      <c r="B98" s="86"/>
      <c r="C98" s="508"/>
      <c r="D98" s="508"/>
      <c r="E98" s="508"/>
      <c r="F98" s="577" t="str">
        <f t="shared" si="5"/>
        <v xml:space="preserve">  </v>
      </c>
      <c r="G98" s="1125" t="str">
        <f t="shared" si="6"/>
        <v xml:space="preserve">  </v>
      </c>
    </row>
    <row r="99" spans="1:7">
      <c r="A99" s="237">
        <f t="shared" si="7"/>
        <v>16</v>
      </c>
      <c r="B99" s="86"/>
      <c r="C99" s="508"/>
      <c r="D99" s="508"/>
      <c r="E99" s="508"/>
      <c r="F99" s="577" t="str">
        <f t="shared" si="5"/>
        <v xml:space="preserve">  </v>
      </c>
      <c r="G99" s="1125" t="str">
        <f t="shared" si="6"/>
        <v xml:space="preserve">  </v>
      </c>
    </row>
    <row r="100" spans="1:7">
      <c r="A100" s="237">
        <f t="shared" si="7"/>
        <v>17</v>
      </c>
      <c r="B100" s="86"/>
      <c r="C100" s="508"/>
      <c r="D100" s="508"/>
      <c r="E100" s="508"/>
      <c r="F100" s="577" t="str">
        <f t="shared" si="5"/>
        <v xml:space="preserve">  </v>
      </c>
      <c r="G100" s="1125" t="str">
        <f t="shared" si="6"/>
        <v xml:space="preserve">  </v>
      </c>
    </row>
    <row r="101" spans="1:7">
      <c r="A101" s="237">
        <f t="shared" si="7"/>
        <v>18</v>
      </c>
      <c r="B101" s="86"/>
      <c r="C101" s="508"/>
      <c r="D101" s="508"/>
      <c r="E101" s="508"/>
      <c r="F101" s="577" t="str">
        <f t="shared" si="5"/>
        <v xml:space="preserve">  </v>
      </c>
      <c r="G101" s="1125" t="str">
        <f t="shared" si="6"/>
        <v xml:space="preserve">  </v>
      </c>
    </row>
    <row r="102" spans="1:7">
      <c r="A102" s="237">
        <f t="shared" si="7"/>
        <v>19</v>
      </c>
      <c r="B102" s="86"/>
      <c r="C102" s="508"/>
      <c r="D102" s="508"/>
      <c r="E102" s="508"/>
      <c r="F102" s="577" t="str">
        <f t="shared" si="5"/>
        <v xml:space="preserve">  </v>
      </c>
      <c r="G102" s="1125" t="str">
        <f t="shared" si="6"/>
        <v xml:space="preserve">  </v>
      </c>
    </row>
    <row r="103" spans="1:7">
      <c r="A103" s="237">
        <f t="shared" si="7"/>
        <v>20</v>
      </c>
      <c r="B103" s="86"/>
      <c r="C103" s="508"/>
      <c r="D103" s="508"/>
      <c r="E103" s="508"/>
      <c r="F103" s="577" t="str">
        <f t="shared" si="5"/>
        <v xml:space="preserve">  </v>
      </c>
      <c r="G103" s="1125" t="str">
        <f t="shared" si="6"/>
        <v xml:space="preserve">  </v>
      </c>
    </row>
    <row r="104" spans="1:7">
      <c r="A104" s="237">
        <f t="shared" si="7"/>
        <v>21</v>
      </c>
      <c r="B104" s="86"/>
      <c r="C104" s="508"/>
      <c r="D104" s="508"/>
      <c r="E104" s="508"/>
      <c r="F104" s="577" t="str">
        <f t="shared" si="5"/>
        <v xml:space="preserve">  </v>
      </c>
      <c r="G104" s="1125" t="str">
        <f t="shared" si="6"/>
        <v xml:space="preserve">  </v>
      </c>
    </row>
    <row r="105" spans="1:7">
      <c r="A105" s="237">
        <f t="shared" si="7"/>
        <v>22</v>
      </c>
      <c r="B105" s="86"/>
      <c r="C105" s="508"/>
      <c r="D105" s="508"/>
      <c r="E105" s="508"/>
      <c r="F105" s="577" t="str">
        <f t="shared" si="5"/>
        <v xml:space="preserve">  </v>
      </c>
      <c r="G105" s="1125" t="str">
        <f t="shared" si="6"/>
        <v xml:space="preserve">  </v>
      </c>
    </row>
    <row r="106" spans="1:7">
      <c r="A106" s="237">
        <f t="shared" si="7"/>
        <v>23</v>
      </c>
      <c r="B106" s="86"/>
      <c r="C106" s="508"/>
      <c r="D106" s="508"/>
      <c r="E106" s="508"/>
      <c r="F106" s="577" t="str">
        <f t="shared" si="5"/>
        <v xml:space="preserve">  </v>
      </c>
      <c r="G106" s="1125" t="str">
        <f t="shared" si="6"/>
        <v xml:space="preserve">  </v>
      </c>
    </row>
    <row r="107" spans="1:7">
      <c r="A107" s="237">
        <f t="shared" si="7"/>
        <v>24</v>
      </c>
      <c r="B107" s="86"/>
      <c r="C107" s="508"/>
      <c r="D107" s="508"/>
      <c r="E107" s="508"/>
      <c r="F107" s="577" t="str">
        <f t="shared" si="5"/>
        <v xml:space="preserve">  </v>
      </c>
      <c r="G107" s="1125" t="str">
        <f t="shared" si="6"/>
        <v xml:space="preserve">  </v>
      </c>
    </row>
    <row r="108" spans="1:7">
      <c r="A108" s="237">
        <v>25</v>
      </c>
      <c r="B108" s="86"/>
      <c r="C108" s="508"/>
      <c r="D108" s="508"/>
      <c r="E108" s="508"/>
      <c r="F108" s="577" t="str">
        <f t="shared" si="5"/>
        <v xml:space="preserve">  </v>
      </c>
      <c r="G108" s="1125" t="str">
        <f t="shared" si="6"/>
        <v xml:space="preserve">  </v>
      </c>
    </row>
    <row r="109" spans="1:7">
      <c r="A109" s="237">
        <v>26</v>
      </c>
      <c r="B109" s="86"/>
      <c r="C109" s="508"/>
      <c r="D109" s="508"/>
      <c r="E109" s="508"/>
      <c r="F109" s="577" t="str">
        <f t="shared" si="5"/>
        <v xml:space="preserve">  </v>
      </c>
      <c r="G109" s="1125" t="str">
        <f t="shared" si="6"/>
        <v xml:space="preserve">  </v>
      </c>
    </row>
    <row r="110" spans="1:7">
      <c r="A110" s="237">
        <v>27</v>
      </c>
      <c r="B110" s="86"/>
      <c r="C110" s="508"/>
      <c r="D110" s="508"/>
      <c r="E110" s="508"/>
      <c r="F110" s="577" t="str">
        <f t="shared" si="5"/>
        <v xml:space="preserve">  </v>
      </c>
      <c r="G110" s="1125" t="str">
        <f t="shared" si="6"/>
        <v xml:space="preserve">  </v>
      </c>
    </row>
    <row r="111" spans="1:7">
      <c r="A111" s="237">
        <v>28</v>
      </c>
      <c r="B111" s="86"/>
      <c r="C111" s="508"/>
      <c r="D111" s="508"/>
      <c r="E111" s="508"/>
      <c r="F111" s="577" t="str">
        <f t="shared" si="5"/>
        <v xml:space="preserve">  </v>
      </c>
      <c r="G111" s="1125" t="str">
        <f t="shared" si="6"/>
        <v xml:space="preserve">  </v>
      </c>
    </row>
    <row r="112" spans="1:7">
      <c r="A112" s="237">
        <v>29</v>
      </c>
      <c r="B112" s="86"/>
      <c r="C112" s="508"/>
      <c r="D112" s="508"/>
      <c r="E112" s="508"/>
      <c r="F112" s="577" t="str">
        <f t="shared" si="5"/>
        <v xml:space="preserve">  </v>
      </c>
      <c r="G112" s="1125" t="str">
        <f t="shared" si="6"/>
        <v xml:space="preserve">  </v>
      </c>
    </row>
    <row r="113" spans="1:7">
      <c r="A113" s="237">
        <v>30</v>
      </c>
      <c r="B113" s="86"/>
      <c r="C113" s="508"/>
      <c r="D113" s="508"/>
      <c r="E113" s="508"/>
      <c r="F113" s="577" t="str">
        <f t="shared" si="5"/>
        <v xml:space="preserve">  </v>
      </c>
      <c r="G113" s="1125" t="str">
        <f t="shared" si="6"/>
        <v xml:space="preserve">  </v>
      </c>
    </row>
    <row r="114" spans="1:7">
      <c r="A114" s="237">
        <v>31</v>
      </c>
      <c r="B114" s="86"/>
      <c r="C114" s="508"/>
      <c r="D114" s="508"/>
      <c r="E114" s="508"/>
      <c r="F114" s="577" t="str">
        <f t="shared" si="5"/>
        <v xml:space="preserve">  </v>
      </c>
      <c r="G114" s="1125" t="str">
        <f t="shared" si="6"/>
        <v xml:space="preserve">  </v>
      </c>
    </row>
    <row r="115" spans="1:7">
      <c r="A115" s="237">
        <v>32</v>
      </c>
      <c r="B115" s="86"/>
      <c r="C115" s="508"/>
      <c r="D115" s="508"/>
      <c r="E115" s="508"/>
      <c r="F115" s="577" t="str">
        <f t="shared" si="5"/>
        <v xml:space="preserve">  </v>
      </c>
      <c r="G115" s="1125" t="str">
        <f t="shared" si="6"/>
        <v xml:space="preserve">  </v>
      </c>
    </row>
    <row r="116" spans="1:7">
      <c r="A116" s="237">
        <v>33</v>
      </c>
      <c r="B116" s="86"/>
      <c r="C116" s="508"/>
      <c r="D116" s="508"/>
      <c r="E116" s="508"/>
      <c r="F116" s="577" t="str">
        <f t="shared" ref="F116:F137" si="8">IF(ISERR(C116/E116*1000),"  ",C116/E116*1000)</f>
        <v xml:space="preserve">  </v>
      </c>
      <c r="G116" s="1125" t="str">
        <f t="shared" ref="G116:G137" si="9">IF(ISERR(D116/C116/1000),"  ",D116/C116/1000)</f>
        <v xml:space="preserve">  </v>
      </c>
    </row>
    <row r="117" spans="1:7">
      <c r="A117" s="237">
        <v>34</v>
      </c>
      <c r="B117" s="86"/>
      <c r="C117" s="508"/>
      <c r="D117" s="508"/>
      <c r="E117" s="508"/>
      <c r="F117" s="577" t="str">
        <f t="shared" si="8"/>
        <v xml:space="preserve">  </v>
      </c>
      <c r="G117" s="1125" t="str">
        <f t="shared" si="9"/>
        <v xml:space="preserve">  </v>
      </c>
    </row>
    <row r="118" spans="1:7">
      <c r="A118" s="237">
        <v>35</v>
      </c>
      <c r="B118" s="86"/>
      <c r="C118" s="508"/>
      <c r="D118" s="508"/>
      <c r="E118" s="508"/>
      <c r="F118" s="577" t="str">
        <f t="shared" si="8"/>
        <v xml:space="preserve">  </v>
      </c>
      <c r="G118" s="1125" t="str">
        <f t="shared" si="9"/>
        <v xml:space="preserve">  </v>
      </c>
    </row>
    <row r="119" spans="1:7">
      <c r="A119" s="237">
        <v>36</v>
      </c>
      <c r="B119" s="86"/>
      <c r="C119" s="508"/>
      <c r="D119" s="508"/>
      <c r="E119" s="508"/>
      <c r="F119" s="577" t="str">
        <f t="shared" si="8"/>
        <v xml:space="preserve">  </v>
      </c>
      <c r="G119" s="1125" t="str">
        <f t="shared" si="9"/>
        <v xml:space="preserve">  </v>
      </c>
    </row>
    <row r="120" spans="1:7">
      <c r="A120" s="237">
        <v>37</v>
      </c>
      <c r="B120" s="86"/>
      <c r="C120" s="508"/>
      <c r="D120" s="508"/>
      <c r="E120" s="508"/>
      <c r="F120" s="577" t="str">
        <f t="shared" si="8"/>
        <v xml:space="preserve">  </v>
      </c>
      <c r="G120" s="1125" t="str">
        <f t="shared" si="9"/>
        <v xml:space="preserve">  </v>
      </c>
    </row>
    <row r="121" spans="1:7">
      <c r="A121" s="237">
        <v>38</v>
      </c>
      <c r="B121" s="86"/>
      <c r="C121" s="508"/>
      <c r="D121" s="508"/>
      <c r="E121" s="508"/>
      <c r="F121" s="577" t="str">
        <f t="shared" si="8"/>
        <v xml:space="preserve">  </v>
      </c>
      <c r="G121" s="1125" t="str">
        <f t="shared" si="9"/>
        <v xml:space="preserve">  </v>
      </c>
    </row>
    <row r="122" spans="1:7">
      <c r="A122" s="237">
        <v>39</v>
      </c>
      <c r="B122" s="86"/>
      <c r="C122" s="508"/>
      <c r="D122" s="508"/>
      <c r="E122" s="508"/>
      <c r="F122" s="577" t="str">
        <f t="shared" si="8"/>
        <v xml:space="preserve">  </v>
      </c>
      <c r="G122" s="1125" t="str">
        <f t="shared" si="9"/>
        <v xml:space="preserve">  </v>
      </c>
    </row>
    <row r="123" spans="1:7">
      <c r="A123" s="237">
        <v>40</v>
      </c>
      <c r="B123" s="86"/>
      <c r="C123" s="508"/>
      <c r="D123" s="508"/>
      <c r="E123" s="508"/>
      <c r="F123" s="577" t="str">
        <f t="shared" si="8"/>
        <v xml:space="preserve">  </v>
      </c>
      <c r="G123" s="1125" t="str">
        <f t="shared" si="9"/>
        <v xml:space="preserve">  </v>
      </c>
    </row>
    <row r="124" spans="1:7">
      <c r="A124" s="237">
        <v>41</v>
      </c>
      <c r="B124" s="86"/>
      <c r="C124" s="508"/>
      <c r="D124" s="508"/>
      <c r="E124" s="508"/>
      <c r="F124" s="577" t="str">
        <f t="shared" si="8"/>
        <v xml:space="preserve">  </v>
      </c>
      <c r="G124" s="1125" t="str">
        <f t="shared" si="9"/>
        <v xml:space="preserve">  </v>
      </c>
    </row>
    <row r="125" spans="1:7">
      <c r="A125" s="237">
        <f t="shared" ref="A125:A138" si="10">A124+1</f>
        <v>42</v>
      </c>
      <c r="B125" s="86"/>
      <c r="C125" s="508"/>
      <c r="D125" s="508"/>
      <c r="E125" s="508"/>
      <c r="F125" s="577" t="str">
        <f t="shared" si="8"/>
        <v xml:space="preserve">  </v>
      </c>
      <c r="G125" s="1125" t="str">
        <f t="shared" si="9"/>
        <v xml:space="preserve">  </v>
      </c>
    </row>
    <row r="126" spans="1:7">
      <c r="A126" s="237">
        <f t="shared" si="10"/>
        <v>43</v>
      </c>
      <c r="B126" s="86"/>
      <c r="C126" s="508"/>
      <c r="D126" s="508"/>
      <c r="E126" s="508"/>
      <c r="F126" s="577" t="str">
        <f t="shared" si="8"/>
        <v xml:space="preserve">  </v>
      </c>
      <c r="G126" s="1125" t="str">
        <f t="shared" si="9"/>
        <v xml:space="preserve">  </v>
      </c>
    </row>
    <row r="127" spans="1:7">
      <c r="A127" s="237">
        <f t="shared" si="10"/>
        <v>44</v>
      </c>
      <c r="B127" s="86"/>
      <c r="C127" s="508"/>
      <c r="D127" s="508"/>
      <c r="E127" s="508"/>
      <c r="F127" s="577" t="str">
        <f t="shared" si="8"/>
        <v xml:space="preserve">  </v>
      </c>
      <c r="G127" s="1125" t="str">
        <f t="shared" si="9"/>
        <v xml:space="preserve">  </v>
      </c>
    </row>
    <row r="128" spans="1:7">
      <c r="A128" s="237">
        <f t="shared" si="10"/>
        <v>45</v>
      </c>
      <c r="B128" s="86"/>
      <c r="C128" s="508"/>
      <c r="D128" s="508"/>
      <c r="E128" s="508"/>
      <c r="F128" s="577" t="str">
        <f t="shared" si="8"/>
        <v xml:space="preserve">  </v>
      </c>
      <c r="G128" s="1125" t="str">
        <f t="shared" si="9"/>
        <v xml:space="preserve">  </v>
      </c>
    </row>
    <row r="129" spans="1:7">
      <c r="A129" s="237">
        <f t="shared" si="10"/>
        <v>46</v>
      </c>
      <c r="B129" s="86"/>
      <c r="C129" s="508"/>
      <c r="D129" s="508"/>
      <c r="E129" s="508"/>
      <c r="F129" s="577" t="str">
        <f t="shared" si="8"/>
        <v xml:space="preserve">  </v>
      </c>
      <c r="G129" s="1125" t="str">
        <f t="shared" si="9"/>
        <v xml:space="preserve">  </v>
      </c>
    </row>
    <row r="130" spans="1:7">
      <c r="A130" s="237">
        <f t="shared" si="10"/>
        <v>47</v>
      </c>
      <c r="B130" s="86"/>
      <c r="C130" s="508"/>
      <c r="D130" s="508"/>
      <c r="E130" s="508"/>
      <c r="F130" s="577" t="str">
        <f t="shared" si="8"/>
        <v xml:space="preserve">  </v>
      </c>
      <c r="G130" s="1125" t="str">
        <f t="shared" si="9"/>
        <v xml:space="preserve">  </v>
      </c>
    </row>
    <row r="131" spans="1:7">
      <c r="A131" s="237">
        <f t="shared" si="10"/>
        <v>48</v>
      </c>
      <c r="B131" s="86"/>
      <c r="C131" s="508"/>
      <c r="D131" s="508"/>
      <c r="E131" s="508"/>
      <c r="F131" s="577" t="str">
        <f t="shared" si="8"/>
        <v xml:space="preserve">  </v>
      </c>
      <c r="G131" s="1125" t="str">
        <f t="shared" si="9"/>
        <v xml:space="preserve">  </v>
      </c>
    </row>
    <row r="132" spans="1:7">
      <c r="A132" s="237">
        <f t="shared" si="10"/>
        <v>49</v>
      </c>
      <c r="B132" s="86"/>
      <c r="C132" s="508"/>
      <c r="D132" s="508"/>
      <c r="E132" s="508"/>
      <c r="F132" s="577" t="str">
        <f t="shared" si="8"/>
        <v xml:space="preserve">  </v>
      </c>
      <c r="G132" s="1125" t="str">
        <f t="shared" si="9"/>
        <v xml:space="preserve">  </v>
      </c>
    </row>
    <row r="133" spans="1:7">
      <c r="A133" s="237">
        <f t="shared" si="10"/>
        <v>50</v>
      </c>
      <c r="B133" s="86"/>
      <c r="C133" s="508"/>
      <c r="D133" s="508"/>
      <c r="E133" s="508"/>
      <c r="F133" s="577" t="str">
        <f t="shared" si="8"/>
        <v xml:space="preserve">  </v>
      </c>
      <c r="G133" s="1125" t="str">
        <f t="shared" si="9"/>
        <v xml:space="preserve">  </v>
      </c>
    </row>
    <row r="134" spans="1:7">
      <c r="A134" s="237">
        <f t="shared" si="10"/>
        <v>51</v>
      </c>
      <c r="B134" s="86"/>
      <c r="C134" s="508"/>
      <c r="D134" s="508"/>
      <c r="E134" s="508"/>
      <c r="F134" s="577" t="str">
        <f t="shared" si="8"/>
        <v xml:space="preserve">  </v>
      </c>
      <c r="G134" s="1125" t="str">
        <f t="shared" si="9"/>
        <v xml:space="preserve">  </v>
      </c>
    </row>
    <row r="135" spans="1:7">
      <c r="A135" s="237">
        <f t="shared" si="10"/>
        <v>52</v>
      </c>
      <c r="B135" s="86"/>
      <c r="C135" s="508"/>
      <c r="D135" s="508"/>
      <c r="E135" s="508"/>
      <c r="F135" s="577" t="str">
        <f t="shared" si="8"/>
        <v xml:space="preserve">  </v>
      </c>
      <c r="G135" s="1125" t="str">
        <f t="shared" si="9"/>
        <v xml:space="preserve">  </v>
      </c>
    </row>
    <row r="136" spans="1:7">
      <c r="A136" s="237">
        <f t="shared" si="10"/>
        <v>53</v>
      </c>
      <c r="B136" s="86"/>
      <c r="C136" s="508"/>
      <c r="D136" s="508"/>
      <c r="E136" s="508"/>
      <c r="F136" s="577" t="str">
        <f t="shared" si="8"/>
        <v xml:space="preserve">  </v>
      </c>
      <c r="G136" s="1125" t="str">
        <f t="shared" si="9"/>
        <v xml:space="preserve">  </v>
      </c>
    </row>
    <row r="137" spans="1:7">
      <c r="A137" s="237">
        <f t="shared" si="10"/>
        <v>54</v>
      </c>
      <c r="B137" s="98"/>
      <c r="C137" s="555"/>
      <c r="D137" s="555"/>
      <c r="E137" s="555"/>
      <c r="F137" s="577" t="str">
        <f t="shared" si="8"/>
        <v xml:space="preserve">  </v>
      </c>
      <c r="G137" s="1125" t="str">
        <f t="shared" si="9"/>
        <v xml:space="preserve">  </v>
      </c>
    </row>
    <row r="138" spans="1:7" ht="15.75" thickBot="1">
      <c r="A138" s="443">
        <f t="shared" si="10"/>
        <v>55</v>
      </c>
      <c r="B138" s="398" t="s">
        <v>2738</v>
      </c>
      <c r="C138" s="722">
        <f>SUM(C84:C137)</f>
        <v>0</v>
      </c>
      <c r="D138" s="647">
        <f>SUM(D84:D137)</f>
        <v>0</v>
      </c>
      <c r="E138" s="720">
        <f>SUM(E84:E137)</f>
        <v>0</v>
      </c>
      <c r="F138" s="720">
        <f>SUM(F84:F137)</f>
        <v>0</v>
      </c>
      <c r="G138" s="1126">
        <f>SUM(G84:G137)</f>
        <v>0</v>
      </c>
    </row>
    <row r="139" spans="1:7">
      <c r="A139" s="86"/>
      <c r="B139" s="86"/>
      <c r="C139" s="86"/>
      <c r="D139" s="86"/>
      <c r="E139" s="86"/>
      <c r="F139" s="86"/>
      <c r="G139" s="86"/>
    </row>
    <row r="140" spans="1:7">
      <c r="A140" s="5" t="s">
        <v>2959</v>
      </c>
      <c r="B140" s="5"/>
      <c r="C140" s="5"/>
      <c r="D140" s="5"/>
      <c r="E140" s="5"/>
      <c r="F140" s="5"/>
      <c r="G140" s="5"/>
    </row>
    <row r="141" spans="1:7">
      <c r="A141" s="86"/>
      <c r="B141" s="86"/>
      <c r="C141" s="86"/>
      <c r="D141" s="86"/>
      <c r="E141" s="86"/>
      <c r="F141" s="86"/>
      <c r="G141" s="86"/>
    </row>
    <row r="142" spans="1:7">
      <c r="A142" s="86"/>
      <c r="B142" s="86"/>
      <c r="C142" s="86"/>
      <c r="D142" s="86"/>
      <c r="E142" s="86"/>
      <c r="F142" s="86"/>
      <c r="G142" s="86"/>
    </row>
    <row r="143" spans="1:7">
      <c r="A143" s="86"/>
      <c r="B143" s="86"/>
      <c r="C143" s="86"/>
      <c r="D143" s="86"/>
      <c r="E143" s="86"/>
      <c r="F143" s="86"/>
      <c r="G143" s="86"/>
    </row>
  </sheetData>
  <phoneticPr fontId="0" type="noConversion"/>
  <pageMargins left="0.4" right="0.4" top="0.3" bottom="0.3" header="0.5" footer="0.5"/>
  <pageSetup scale="69" orientation="portrait" r:id="rId1"/>
  <headerFooter alignWithMargins="0"/>
  <rowBreaks count="1" manualBreakCount="1">
    <brk id="69"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ransitionEvaluation="1" codeName="Sheet55"/>
  <dimension ref="A1:R143"/>
  <sheetViews>
    <sheetView defaultGridColor="0" colorId="22" zoomScale="85" zoomScaleNormal="85" workbookViewId="0">
      <pane xSplit="2" ySplit="17" topLeftCell="C18" activePane="bottomRight" state="frozen"/>
      <selection activeCell="K42" sqref="K42"/>
      <selection pane="topRight" activeCell="K42" sqref="K42"/>
      <selection pane="bottomLeft" activeCell="K42" sqref="K42"/>
      <selection pane="bottomRight" activeCell="E123" sqref="E123"/>
    </sheetView>
  </sheetViews>
  <sheetFormatPr defaultColWidth="9.77734375" defaultRowHeight="15"/>
  <cols>
    <col min="1" max="1" width="4.77734375" customWidth="1"/>
    <col min="2" max="2" width="32.88671875" customWidth="1"/>
    <col min="3" max="6" width="14.77734375" customWidth="1"/>
    <col min="7" max="7" width="13.77734375" customWidth="1"/>
    <col min="8" max="8" width="12.77734375" customWidth="1"/>
    <col min="9" max="9" width="15.21875" customWidth="1"/>
    <col min="10" max="11" width="12.77734375" customWidth="1"/>
    <col min="12" max="12" width="13.77734375" customWidth="1"/>
    <col min="13" max="14" width="12.77734375" customWidth="1"/>
    <col min="15" max="15" width="13.77734375" customWidth="1"/>
    <col min="16" max="16" width="13" customWidth="1"/>
    <col min="17" max="17" width="12.77734375" customWidth="1"/>
    <col min="18" max="18" width="4.77734375" customWidth="1"/>
  </cols>
  <sheetData>
    <row r="1" spans="1:18" ht="15.75" thickBot="1">
      <c r="A1" t="str">
        <f>'Data sheet'!A61</f>
        <v>Annual Report of Veolia Water New York, Inc.                                                                       Year Ended  December 31, 2023</v>
      </c>
      <c r="B1" s="86"/>
      <c r="C1" s="86"/>
      <c r="D1" s="86"/>
      <c r="E1" s="86"/>
      <c r="F1" s="86"/>
      <c r="G1" s="86"/>
      <c r="H1" s="16"/>
      <c r="I1" t="str">
        <f>'Data sheet'!A63</f>
        <v>Annual Report of Veolia Water New York, Inc.                                                                             Year Ended  December 31, 2023</v>
      </c>
      <c r="J1" s="14"/>
      <c r="K1" s="86"/>
      <c r="L1" s="86"/>
      <c r="M1" s="86"/>
      <c r="N1" s="86"/>
      <c r="O1" s="86"/>
      <c r="P1" s="16"/>
      <c r="Q1" s="5"/>
      <c r="R1" s="5"/>
    </row>
    <row r="2" spans="1:18">
      <c r="A2" s="129"/>
      <c r="B2" s="130"/>
      <c r="C2" s="130"/>
      <c r="D2" s="130"/>
      <c r="E2" s="130"/>
      <c r="F2" s="130"/>
      <c r="G2" s="130"/>
      <c r="H2" s="131"/>
      <c r="I2" s="129"/>
      <c r="J2" s="130"/>
      <c r="K2" s="130"/>
      <c r="L2" s="130"/>
      <c r="M2" s="130"/>
      <c r="N2" s="130"/>
      <c r="O2" s="130"/>
      <c r="P2" s="130"/>
      <c r="Q2" s="130"/>
      <c r="R2" s="131"/>
    </row>
    <row r="3" spans="1:18" ht="15.75">
      <c r="A3" s="118" t="s">
        <v>3535</v>
      </c>
      <c r="B3" s="3"/>
      <c r="C3" s="3"/>
      <c r="D3" s="3"/>
      <c r="E3" s="3"/>
      <c r="F3" s="3"/>
      <c r="G3" s="106"/>
      <c r="H3" s="84"/>
      <c r="I3" s="118" t="s">
        <v>3617</v>
      </c>
      <c r="J3" s="4"/>
      <c r="K3" s="3"/>
      <c r="L3" s="3"/>
      <c r="M3" s="3"/>
      <c r="N3" s="3"/>
      <c r="O3" s="3"/>
      <c r="P3" s="3"/>
      <c r="Q3" s="3"/>
      <c r="R3" s="84"/>
    </row>
    <row r="4" spans="1:18">
      <c r="A4" s="85"/>
      <c r="B4" s="86"/>
      <c r="C4" s="86"/>
      <c r="D4" s="86"/>
      <c r="E4" s="86"/>
      <c r="F4" s="86"/>
      <c r="G4" s="86"/>
      <c r="H4" s="87"/>
      <c r="I4" s="85"/>
      <c r="J4" s="86"/>
      <c r="K4" s="86"/>
      <c r="L4" s="86"/>
      <c r="N4" s="86"/>
      <c r="O4" s="86"/>
      <c r="P4" s="86"/>
      <c r="Q4" s="86"/>
      <c r="R4" s="87"/>
    </row>
    <row r="5" spans="1:18">
      <c r="A5" s="2859" t="s">
        <v>2124</v>
      </c>
      <c r="B5" s="2860"/>
      <c r="C5" s="2860"/>
      <c r="D5" s="2860"/>
      <c r="E5" s="2860"/>
      <c r="F5" s="2860"/>
      <c r="G5" s="2860"/>
      <c r="H5" s="2864"/>
      <c r="I5" s="85" t="s">
        <v>794</v>
      </c>
      <c r="K5" s="86"/>
      <c r="L5" s="86"/>
      <c r="M5" s="86"/>
      <c r="N5" s="86"/>
      <c r="O5" s="86"/>
      <c r="P5" s="86"/>
      <c r="Q5" s="86"/>
      <c r="R5" s="87"/>
    </row>
    <row r="6" spans="1:18">
      <c r="A6" s="85" t="s">
        <v>1165</v>
      </c>
      <c r="B6" s="86"/>
      <c r="C6" s="86"/>
      <c r="D6" s="86"/>
      <c r="E6" s="86"/>
      <c r="F6" s="86"/>
      <c r="G6" s="86"/>
      <c r="H6" s="87"/>
      <c r="I6" s="85"/>
      <c r="K6" s="86"/>
      <c r="L6" s="86"/>
      <c r="M6" s="86"/>
      <c r="N6" s="86"/>
      <c r="O6" s="86"/>
      <c r="P6" s="86"/>
      <c r="Q6" s="86"/>
      <c r="R6" s="87"/>
    </row>
    <row r="7" spans="1:18">
      <c r="A7" s="85"/>
      <c r="B7" s="86"/>
      <c r="C7" s="86"/>
      <c r="D7" s="86"/>
      <c r="E7" s="86"/>
      <c r="F7" s="86"/>
      <c r="G7" s="86"/>
      <c r="H7" s="87"/>
      <c r="I7" s="85" t="s">
        <v>795</v>
      </c>
      <c r="K7" s="86"/>
      <c r="L7" s="86"/>
      <c r="M7" s="86"/>
      <c r="N7" s="86"/>
      <c r="O7" s="86"/>
      <c r="P7" s="86"/>
      <c r="Q7" s="86"/>
      <c r="R7" s="87"/>
    </row>
    <row r="8" spans="1:18">
      <c r="A8" s="2865" t="s">
        <v>1166</v>
      </c>
      <c r="B8" s="2862"/>
      <c r="C8" s="2862"/>
      <c r="D8" s="2862"/>
      <c r="E8" s="2862"/>
      <c r="F8" s="2862"/>
      <c r="G8" s="2862"/>
      <c r="H8" s="2863"/>
      <c r="I8" s="85"/>
      <c r="K8" s="86"/>
      <c r="L8" s="86"/>
      <c r="M8" s="86"/>
      <c r="N8" s="86"/>
      <c r="O8" s="86"/>
      <c r="P8" s="86"/>
      <c r="Q8" s="86"/>
      <c r="R8" s="87"/>
    </row>
    <row r="9" spans="1:18">
      <c r="A9" s="97"/>
      <c r="B9" s="98"/>
      <c r="C9" s="98"/>
      <c r="D9" s="98"/>
      <c r="E9" s="98"/>
      <c r="F9" s="98"/>
      <c r="G9" s="98"/>
      <c r="H9" s="101"/>
      <c r="I9" s="85"/>
      <c r="J9" s="86"/>
      <c r="K9" s="98"/>
      <c r="L9" s="98"/>
      <c r="M9" s="98"/>
      <c r="N9" s="98"/>
      <c r="O9" s="98"/>
      <c r="P9" s="98"/>
      <c r="Q9" s="98"/>
      <c r="R9" s="101"/>
    </row>
    <row r="10" spans="1:18">
      <c r="A10" s="480"/>
      <c r="B10" s="91"/>
      <c r="C10" s="90"/>
      <c r="D10" s="90"/>
      <c r="E10" s="91"/>
      <c r="F10" s="90"/>
      <c r="G10" s="90"/>
      <c r="H10" s="93"/>
      <c r="I10" s="88"/>
      <c r="J10" s="90"/>
      <c r="K10" s="91"/>
      <c r="L10" s="90"/>
      <c r="M10" s="90"/>
      <c r="N10" s="91"/>
      <c r="O10" s="90"/>
      <c r="P10" s="90"/>
      <c r="Q10" s="91"/>
      <c r="R10" s="719"/>
    </row>
    <row r="11" spans="1:18">
      <c r="A11" s="237"/>
      <c r="B11" s="95"/>
      <c r="C11" s="5" t="s">
        <v>796</v>
      </c>
      <c r="D11" s="5"/>
      <c r="E11" s="117"/>
      <c r="F11" s="5" t="s">
        <v>797</v>
      </c>
      <c r="G11" s="5"/>
      <c r="H11" s="132"/>
      <c r="I11" s="488" t="s">
        <v>798</v>
      </c>
      <c r="J11" s="5"/>
      <c r="K11" s="117"/>
      <c r="L11" s="5" t="s">
        <v>3794</v>
      </c>
      <c r="M11" s="5"/>
      <c r="N11" s="117"/>
      <c r="O11" s="5" t="s">
        <v>1257</v>
      </c>
      <c r="P11" s="5"/>
      <c r="Q11" s="117"/>
      <c r="R11" s="428"/>
    </row>
    <row r="12" spans="1:18">
      <c r="A12" s="237"/>
      <c r="B12" s="95"/>
      <c r="C12" s="133"/>
      <c r="D12" s="133"/>
      <c r="E12" s="366"/>
      <c r="F12" s="133"/>
      <c r="G12" s="133"/>
      <c r="H12" s="500"/>
      <c r="I12" s="499"/>
      <c r="J12" s="133"/>
      <c r="K12" s="366"/>
      <c r="L12" s="98"/>
      <c r="M12" s="98"/>
      <c r="N12" s="99"/>
      <c r="O12" s="98"/>
      <c r="P12" s="98"/>
      <c r="Q12" s="99"/>
      <c r="R12" s="428"/>
    </row>
    <row r="13" spans="1:18">
      <c r="A13" s="237"/>
      <c r="B13" s="95"/>
      <c r="C13" s="95"/>
      <c r="D13" s="95"/>
      <c r="E13" s="440" t="s">
        <v>2917</v>
      </c>
      <c r="F13" s="95"/>
      <c r="G13" s="95"/>
      <c r="H13" s="593" t="s">
        <v>2917</v>
      </c>
      <c r="I13" s="226"/>
      <c r="J13" s="95"/>
      <c r="K13" s="440" t="s">
        <v>2917</v>
      </c>
      <c r="L13" s="95"/>
      <c r="M13" s="95"/>
      <c r="N13" s="440" t="s">
        <v>2917</v>
      </c>
      <c r="O13" s="95"/>
      <c r="P13" s="95"/>
      <c r="Q13" s="440" t="s">
        <v>2917</v>
      </c>
      <c r="R13" s="428"/>
    </row>
    <row r="14" spans="1:18">
      <c r="A14" s="237" t="s">
        <v>1727</v>
      </c>
      <c r="B14" s="440" t="s">
        <v>799</v>
      </c>
      <c r="C14" s="440" t="s">
        <v>800</v>
      </c>
      <c r="D14" s="440" t="s">
        <v>4304</v>
      </c>
      <c r="E14" s="440" t="s">
        <v>1041</v>
      </c>
      <c r="F14" s="440" t="s">
        <v>800</v>
      </c>
      <c r="G14" s="440" t="s">
        <v>4304</v>
      </c>
      <c r="H14" s="363" t="s">
        <v>1041</v>
      </c>
      <c r="I14" s="237" t="s">
        <v>800</v>
      </c>
      <c r="J14" s="440" t="s">
        <v>4304</v>
      </c>
      <c r="K14" s="440" t="s">
        <v>1041</v>
      </c>
      <c r="L14" s="440" t="s">
        <v>800</v>
      </c>
      <c r="M14" s="440" t="s">
        <v>4304</v>
      </c>
      <c r="N14" s="440" t="s">
        <v>1041</v>
      </c>
      <c r="O14" s="440" t="s">
        <v>800</v>
      </c>
      <c r="P14" s="440" t="s">
        <v>4304</v>
      </c>
      <c r="Q14" s="440" t="s">
        <v>1041</v>
      </c>
      <c r="R14" s="428" t="s">
        <v>1727</v>
      </c>
    </row>
    <row r="15" spans="1:18">
      <c r="A15" s="237" t="s">
        <v>1739</v>
      </c>
      <c r="B15" s="440" t="s">
        <v>1042</v>
      </c>
      <c r="C15" s="440" t="s">
        <v>2300</v>
      </c>
      <c r="D15" s="440" t="s">
        <v>2920</v>
      </c>
      <c r="E15" s="440" t="s">
        <v>4087</v>
      </c>
      <c r="F15" s="440" t="s">
        <v>2300</v>
      </c>
      <c r="G15" s="440" t="s">
        <v>2920</v>
      </c>
      <c r="H15" s="363" t="s">
        <v>4087</v>
      </c>
      <c r="I15" s="237" t="s">
        <v>2300</v>
      </c>
      <c r="J15" s="440" t="s">
        <v>2920</v>
      </c>
      <c r="K15" s="440" t="s">
        <v>4087</v>
      </c>
      <c r="L15" s="440" t="s">
        <v>2300</v>
      </c>
      <c r="M15" s="440" t="s">
        <v>2920</v>
      </c>
      <c r="N15" s="440" t="s">
        <v>4087</v>
      </c>
      <c r="O15" s="440" t="s">
        <v>2300</v>
      </c>
      <c r="P15" s="440" t="s">
        <v>2920</v>
      </c>
      <c r="Q15" s="440" t="s">
        <v>4087</v>
      </c>
      <c r="R15" s="428" t="s">
        <v>1739</v>
      </c>
    </row>
    <row r="16" spans="1:18">
      <c r="A16" s="237"/>
      <c r="B16" s="440" t="s">
        <v>3279</v>
      </c>
      <c r="C16" s="440" t="s">
        <v>3280</v>
      </c>
      <c r="D16" s="440" t="s">
        <v>3281</v>
      </c>
      <c r="E16" s="440" t="s">
        <v>1043</v>
      </c>
      <c r="F16" s="440" t="s">
        <v>721</v>
      </c>
      <c r="G16" s="440" t="s">
        <v>722</v>
      </c>
      <c r="H16" s="363" t="s">
        <v>1044</v>
      </c>
      <c r="I16" s="237" t="s">
        <v>335</v>
      </c>
      <c r="J16" s="440" t="s">
        <v>336</v>
      </c>
      <c r="K16" s="440" t="s">
        <v>1045</v>
      </c>
      <c r="L16" s="440" t="s">
        <v>338</v>
      </c>
      <c r="M16" s="440" t="s">
        <v>339</v>
      </c>
      <c r="N16" s="440" t="s">
        <v>778</v>
      </c>
      <c r="O16" s="440" t="s">
        <v>779</v>
      </c>
      <c r="P16" s="440" t="s">
        <v>780</v>
      </c>
      <c r="Q16" s="440" t="s">
        <v>782</v>
      </c>
      <c r="R16" s="428"/>
    </row>
    <row r="17" spans="1:18">
      <c r="A17" s="240"/>
      <c r="B17" s="99"/>
      <c r="C17" s="99"/>
      <c r="D17" s="99"/>
      <c r="E17" s="99"/>
      <c r="F17" s="99"/>
      <c r="G17" s="99"/>
      <c r="H17" s="153"/>
      <c r="I17" s="187"/>
      <c r="J17" s="99"/>
      <c r="K17" s="99"/>
      <c r="L17" s="99"/>
      <c r="M17" s="99"/>
      <c r="N17" s="99"/>
      <c r="O17" s="99"/>
      <c r="P17" s="99"/>
      <c r="Q17" s="99"/>
      <c r="R17" s="424"/>
    </row>
    <row r="18" spans="1:18">
      <c r="A18" s="237">
        <v>1</v>
      </c>
      <c r="B18" s="95" t="s">
        <v>4563</v>
      </c>
      <c r="C18" s="2266">
        <v>134274.89682265185</v>
      </c>
      <c r="D18" s="2268">
        <v>8481.5332493589613</v>
      </c>
      <c r="E18" s="2157">
        <v>196</v>
      </c>
      <c r="F18" s="2266">
        <v>222386.67387719281</v>
      </c>
      <c r="G18" s="2268">
        <v>21417.43209345144</v>
      </c>
      <c r="H18" s="2391">
        <v>10</v>
      </c>
      <c r="I18" s="2771"/>
      <c r="J18" s="2268"/>
      <c r="K18" s="2268"/>
      <c r="L18" s="2266">
        <v>30981.516555798931</v>
      </c>
      <c r="M18" s="2157"/>
      <c r="N18" s="2268">
        <v>2</v>
      </c>
      <c r="O18" s="2266">
        <v>65242.961614462925</v>
      </c>
      <c r="P18" s="577"/>
      <c r="Q18" s="577"/>
      <c r="R18" s="428">
        <v>1</v>
      </c>
    </row>
    <row r="19" spans="1:18">
      <c r="A19" s="237">
        <v>2</v>
      </c>
      <c r="B19" s="95" t="s">
        <v>4749</v>
      </c>
      <c r="C19" s="577">
        <v>221411.62550153254</v>
      </c>
      <c r="D19" s="2268">
        <v>10761.589910553361</v>
      </c>
      <c r="E19" s="2157">
        <v>208.58333333333334</v>
      </c>
      <c r="F19" s="577">
        <v>40.538036925226137</v>
      </c>
      <c r="G19" s="2268"/>
      <c r="H19" s="2392"/>
      <c r="I19" s="1880"/>
      <c r="J19" s="2268"/>
      <c r="K19" s="2268"/>
      <c r="L19" s="577">
        <v>0</v>
      </c>
      <c r="M19" s="2157"/>
      <c r="N19" s="2268"/>
      <c r="O19" s="577"/>
      <c r="P19" s="577"/>
      <c r="Q19" s="577"/>
      <c r="R19" s="428">
        <v>2</v>
      </c>
    </row>
    <row r="20" spans="1:18">
      <c r="A20" s="237">
        <v>3</v>
      </c>
      <c r="B20" s="95" t="s">
        <v>4859</v>
      </c>
      <c r="C20" s="577">
        <v>1435539.2575235402</v>
      </c>
      <c r="D20" s="2268">
        <v>78760.405934926792</v>
      </c>
      <c r="E20" s="2157">
        <v>2642.6666666666665</v>
      </c>
      <c r="F20" s="577">
        <v>99188.610914012621</v>
      </c>
      <c r="G20" s="2268">
        <v>9454.8252176240021</v>
      </c>
      <c r="H20" s="2392">
        <v>27.833333333333332</v>
      </c>
      <c r="I20" s="1880"/>
      <c r="J20" s="2268"/>
      <c r="K20" s="2268"/>
      <c r="L20" s="577">
        <v>0</v>
      </c>
      <c r="M20" s="2157"/>
      <c r="N20" s="2268"/>
      <c r="O20" s="577">
        <v>75977.08</v>
      </c>
      <c r="P20" s="577"/>
      <c r="Q20" s="577"/>
      <c r="R20" s="428">
        <v>3</v>
      </c>
    </row>
    <row r="21" spans="1:18">
      <c r="A21" s="237">
        <v>4</v>
      </c>
      <c r="B21" s="95" t="s">
        <v>4564</v>
      </c>
      <c r="C21" s="577">
        <v>120682.03616186988</v>
      </c>
      <c r="D21" s="2268">
        <v>7695.6648643951603</v>
      </c>
      <c r="E21" s="2157">
        <v>176.91666666666666</v>
      </c>
      <c r="F21" s="577">
        <v>20465.687525715493</v>
      </c>
      <c r="G21" s="2268">
        <v>2241.9190552212799</v>
      </c>
      <c r="H21" s="2392">
        <v>1</v>
      </c>
      <c r="I21" s="1880"/>
      <c r="J21" s="2268"/>
      <c r="K21" s="2268"/>
      <c r="L21" s="577">
        <v>968.4711263969441</v>
      </c>
      <c r="M21" s="2157"/>
      <c r="N21" s="2268">
        <v>1</v>
      </c>
      <c r="O21" s="577">
        <v>67055.266103753558</v>
      </c>
      <c r="P21" s="577"/>
      <c r="Q21" s="577"/>
      <c r="R21" s="428">
        <v>4</v>
      </c>
    </row>
    <row r="22" spans="1:18">
      <c r="A22" s="237">
        <v>5</v>
      </c>
      <c r="B22" s="95" t="s">
        <v>4692</v>
      </c>
      <c r="C22" s="577">
        <v>622987.8138937155</v>
      </c>
      <c r="D22" s="2268">
        <v>41175.297413785498</v>
      </c>
      <c r="E22" s="2157">
        <v>703.58333333333337</v>
      </c>
      <c r="F22" s="577">
        <v>2815.9510059381619</v>
      </c>
      <c r="G22" s="2268">
        <v>216.20345522192</v>
      </c>
      <c r="H22" s="2392">
        <v>1</v>
      </c>
      <c r="I22" s="1880"/>
      <c r="J22" s="2268"/>
      <c r="K22" s="2268"/>
      <c r="L22" s="577">
        <v>0</v>
      </c>
      <c r="M22" s="2157"/>
      <c r="N22" s="2268"/>
      <c r="O22" s="577"/>
      <c r="P22" s="577"/>
      <c r="Q22" s="577"/>
      <c r="R22" s="428">
        <v>5</v>
      </c>
    </row>
    <row r="23" spans="1:18">
      <c r="A23" s="237">
        <v>6</v>
      </c>
      <c r="B23" s="95" t="s">
        <v>4565</v>
      </c>
      <c r="C23" s="577">
        <v>29005.235389893056</v>
      </c>
      <c r="D23" s="2268">
        <v>1813.2040207740802</v>
      </c>
      <c r="E23" s="2157">
        <v>43.666666666666664</v>
      </c>
      <c r="F23" s="577">
        <v>8789.0603574937832</v>
      </c>
      <c r="G23" s="2268">
        <v>802.7207921600799</v>
      </c>
      <c r="H23" s="2392">
        <v>1</v>
      </c>
      <c r="I23" s="1880"/>
      <c r="J23" s="2268"/>
      <c r="K23" s="2268"/>
      <c r="L23" s="577">
        <v>99.390908839379492</v>
      </c>
      <c r="M23" s="2157"/>
      <c r="N23" s="2268">
        <v>1</v>
      </c>
      <c r="O23" s="577">
        <v>18123.044892906368</v>
      </c>
      <c r="P23" s="577"/>
      <c r="Q23" s="577"/>
      <c r="R23" s="428">
        <v>6</v>
      </c>
    </row>
    <row r="24" spans="1:18">
      <c r="A24" s="237">
        <v>7</v>
      </c>
      <c r="B24" s="95" t="s">
        <v>86</v>
      </c>
      <c r="C24" s="577"/>
      <c r="D24" s="2268"/>
      <c r="E24" s="2157"/>
      <c r="F24" s="577">
        <v>4341.730378718702</v>
      </c>
      <c r="G24" s="2268">
        <v>379.29141085916001</v>
      </c>
      <c r="H24" s="2392">
        <v>3</v>
      </c>
      <c r="I24" s="1880"/>
      <c r="J24" s="2268"/>
      <c r="K24" s="2268"/>
      <c r="L24" s="577"/>
      <c r="M24" s="2157"/>
      <c r="N24" s="2268"/>
      <c r="O24" s="577"/>
      <c r="P24" s="577"/>
      <c r="Q24" s="577"/>
      <c r="R24" s="428">
        <v>7</v>
      </c>
    </row>
    <row r="25" spans="1:18">
      <c r="A25" s="237">
        <v>8</v>
      </c>
      <c r="B25" s="95" t="s">
        <v>4566</v>
      </c>
      <c r="C25" s="577">
        <v>22814.335248540279</v>
      </c>
      <c r="D25" s="2268">
        <v>1342.1388003209602</v>
      </c>
      <c r="E25" s="2157">
        <v>38</v>
      </c>
      <c r="F25" s="577">
        <v>1618.176409495876</v>
      </c>
      <c r="G25" s="2268">
        <v>54.611955169120002</v>
      </c>
      <c r="H25" s="2392">
        <v>2</v>
      </c>
      <c r="I25" s="1880"/>
      <c r="J25" s="2268"/>
      <c r="K25" s="2268"/>
      <c r="L25" s="577">
        <v>99.390908839379492</v>
      </c>
      <c r="M25" s="2157"/>
      <c r="N25" s="2268">
        <v>1</v>
      </c>
      <c r="O25" s="577"/>
      <c r="P25" s="577"/>
      <c r="Q25" s="577"/>
      <c r="R25" s="428">
        <v>8</v>
      </c>
    </row>
    <row r="26" spans="1:18">
      <c r="A26" s="237">
        <v>9</v>
      </c>
      <c r="B26" s="95" t="s">
        <v>4567</v>
      </c>
      <c r="C26" s="577">
        <v>22909199.0913768</v>
      </c>
      <c r="D26" s="2268">
        <v>1554344.6619595031</v>
      </c>
      <c r="E26" s="2157">
        <v>21790.916666666668</v>
      </c>
      <c r="F26" s="577">
        <v>4104572.5766235259</v>
      </c>
      <c r="G26" s="2268">
        <v>381823.90206630016</v>
      </c>
      <c r="H26" s="2392">
        <v>1384.5</v>
      </c>
      <c r="I26" s="1880">
        <v>43174.25983439733</v>
      </c>
      <c r="J26" s="2268">
        <v>4029.0080720000001</v>
      </c>
      <c r="K26" s="2268">
        <v>14.75</v>
      </c>
      <c r="L26" s="577">
        <v>1274777.7049163464</v>
      </c>
      <c r="M26" s="2157"/>
      <c r="N26" s="2268">
        <v>395.33333333333331</v>
      </c>
      <c r="O26" s="577">
        <v>3741556.1370311254</v>
      </c>
      <c r="P26" s="577"/>
      <c r="Q26" s="577">
        <v>13</v>
      </c>
      <c r="R26" s="428">
        <v>9</v>
      </c>
    </row>
    <row r="27" spans="1:18">
      <c r="A27" s="237">
        <v>10</v>
      </c>
      <c r="B27" s="95" t="s">
        <v>4568</v>
      </c>
      <c r="C27" s="577">
        <v>2925413.079810604</v>
      </c>
      <c r="D27" s="2268">
        <v>218219.61598364543</v>
      </c>
      <c r="E27" s="2157">
        <v>2348.833333333333</v>
      </c>
      <c r="F27" s="577">
        <v>304324.1757856381</v>
      </c>
      <c r="G27" s="2268">
        <v>26718.9214108052</v>
      </c>
      <c r="H27" s="2392">
        <v>128.16666666666666</v>
      </c>
      <c r="I27" s="1880">
        <v>1443.9041145210106</v>
      </c>
      <c r="J27" s="2268">
        <v>106.971436</v>
      </c>
      <c r="K27" s="2268">
        <v>1</v>
      </c>
      <c r="L27" s="577">
        <v>111020.33956745396</v>
      </c>
      <c r="M27" s="2157"/>
      <c r="N27" s="2268">
        <v>40</v>
      </c>
      <c r="O27" s="577">
        <v>400519.29213323077</v>
      </c>
      <c r="P27" s="577"/>
      <c r="Q27" s="577">
        <v>3</v>
      </c>
      <c r="R27" s="428">
        <v>10</v>
      </c>
    </row>
    <row r="28" spans="1:18">
      <c r="A28" s="237">
        <v>11</v>
      </c>
      <c r="B28" s="95" t="s">
        <v>4569</v>
      </c>
      <c r="C28" s="577">
        <v>10484346.893605703</v>
      </c>
      <c r="D28" s="2268">
        <v>689853.51952581573</v>
      </c>
      <c r="E28" s="2157">
        <v>10866</v>
      </c>
      <c r="F28" s="577">
        <v>4174392.1951454184</v>
      </c>
      <c r="G28" s="2268">
        <v>388734.9467752208</v>
      </c>
      <c r="H28" s="2392">
        <v>806</v>
      </c>
      <c r="I28" s="1880">
        <v>3349261.0883470261</v>
      </c>
      <c r="J28" s="2268">
        <v>184944.98180400001</v>
      </c>
      <c r="K28" s="2268">
        <v>37.916666666666664</v>
      </c>
      <c r="L28" s="577">
        <v>926957.85379166645</v>
      </c>
      <c r="M28" s="2157"/>
      <c r="N28" s="2268">
        <v>241</v>
      </c>
      <c r="O28" s="577">
        <v>1906214.0121585196</v>
      </c>
      <c r="P28" s="577"/>
      <c r="Q28" s="577">
        <v>8</v>
      </c>
      <c r="R28" s="428">
        <v>11</v>
      </c>
    </row>
    <row r="29" spans="1:18">
      <c r="A29" s="237">
        <v>12</v>
      </c>
      <c r="B29" s="95" t="s">
        <v>4570</v>
      </c>
      <c r="C29" s="577">
        <v>12513810.75033934</v>
      </c>
      <c r="D29" s="2268">
        <v>810655.58698684757</v>
      </c>
      <c r="E29" s="2157">
        <v>8120.666666666667</v>
      </c>
      <c r="F29" s="577">
        <v>1553251.1787725573</v>
      </c>
      <c r="G29" s="2268">
        <v>145748.22082436457</v>
      </c>
      <c r="H29" s="2392">
        <v>449</v>
      </c>
      <c r="I29" s="1880">
        <v>4386.1985121668095</v>
      </c>
      <c r="J29" s="2268">
        <v>322.41041200000001</v>
      </c>
      <c r="K29" s="2268">
        <v>4</v>
      </c>
      <c r="L29" s="577">
        <v>750842.90365092026</v>
      </c>
      <c r="M29" s="2157"/>
      <c r="N29" s="2268">
        <v>846.33333333333337</v>
      </c>
      <c r="O29" s="577">
        <v>1422662.5830218985</v>
      </c>
      <c r="P29" s="577"/>
      <c r="Q29" s="577">
        <v>28</v>
      </c>
      <c r="R29" s="428">
        <v>12</v>
      </c>
    </row>
    <row r="30" spans="1:18">
      <c r="A30" s="237">
        <v>13</v>
      </c>
      <c r="B30" s="95" t="s">
        <v>4571</v>
      </c>
      <c r="C30" s="577">
        <v>3912603.6272715093</v>
      </c>
      <c r="D30" s="2268">
        <v>254848.61711018308</v>
      </c>
      <c r="E30" s="2157">
        <v>3812.5</v>
      </c>
      <c r="F30" s="577">
        <v>622721.89731939568</v>
      </c>
      <c r="G30" s="2268">
        <v>55129.188318805202</v>
      </c>
      <c r="H30" s="2392">
        <v>219</v>
      </c>
      <c r="I30" s="1880">
        <v>25350.892602749231</v>
      </c>
      <c r="J30" s="2268">
        <v>962.74292400000002</v>
      </c>
      <c r="K30" s="2268">
        <v>9</v>
      </c>
      <c r="L30" s="577">
        <v>105701.20153311061</v>
      </c>
      <c r="M30" s="2157"/>
      <c r="N30" s="2268">
        <v>35</v>
      </c>
      <c r="O30" s="577">
        <v>545503.65127648169</v>
      </c>
      <c r="P30" s="577"/>
      <c r="Q30" s="577">
        <v>1</v>
      </c>
      <c r="R30" s="428">
        <v>13</v>
      </c>
    </row>
    <row r="31" spans="1:18">
      <c r="A31" s="237">
        <v>14</v>
      </c>
      <c r="B31" s="95" t="s">
        <v>4601</v>
      </c>
      <c r="C31" s="577">
        <v>139473.99917701021</v>
      </c>
      <c r="D31" s="2268">
        <v>8642.9928080000009</v>
      </c>
      <c r="E31" s="2157">
        <v>126.16666666666667</v>
      </c>
      <c r="F31" s="577">
        <v>3612.5474741916069</v>
      </c>
      <c r="G31" s="2268">
        <v>308.19742400000001</v>
      </c>
      <c r="H31" s="2392">
        <v>3</v>
      </c>
      <c r="I31" s="1880"/>
      <c r="J31" s="2268"/>
      <c r="K31" s="2268"/>
      <c r="L31" s="577"/>
      <c r="M31" s="2157"/>
      <c r="N31" s="2268"/>
      <c r="O31" s="577">
        <v>38473.979182427756</v>
      </c>
      <c r="P31" s="577"/>
      <c r="Q31" s="577">
        <v>1</v>
      </c>
      <c r="R31" s="428">
        <v>14</v>
      </c>
    </row>
    <row r="32" spans="1:18">
      <c r="A32" s="237">
        <v>15</v>
      </c>
      <c r="B32" s="95" t="s">
        <v>4572</v>
      </c>
      <c r="C32" s="577">
        <v>3202620.8745078123</v>
      </c>
      <c r="D32" s="2268">
        <v>207096.98704874722</v>
      </c>
      <c r="E32" s="2157">
        <v>2379.6666666666665</v>
      </c>
      <c r="F32" s="577">
        <v>486241.47024831257</v>
      </c>
      <c r="G32" s="2268">
        <v>43316.701849870318</v>
      </c>
      <c r="H32" s="2392">
        <v>257.5</v>
      </c>
      <c r="I32" s="1880">
        <v>23153.153041097925</v>
      </c>
      <c r="J32" s="2268">
        <v>2017.4963188052002</v>
      </c>
      <c r="K32" s="2268">
        <v>11</v>
      </c>
      <c r="L32" s="577">
        <v>244084.710093856</v>
      </c>
      <c r="M32" s="2157"/>
      <c r="N32" s="2268">
        <v>83.833333333333329</v>
      </c>
      <c r="O32" s="577">
        <v>204780.76019365547</v>
      </c>
      <c r="P32" s="577"/>
      <c r="Q32" s="577">
        <v>1</v>
      </c>
      <c r="R32" s="428">
        <v>15</v>
      </c>
    </row>
    <row r="33" spans="1:18">
      <c r="A33" s="237">
        <v>16</v>
      </c>
      <c r="B33" s="95" t="s">
        <v>4573</v>
      </c>
      <c r="C33" s="577">
        <v>2709260.676377689</v>
      </c>
      <c r="D33" s="2268">
        <v>176348.77846774081</v>
      </c>
      <c r="E33" s="2157">
        <v>2051.333333333333</v>
      </c>
      <c r="F33" s="577">
        <v>391242.7654612647</v>
      </c>
      <c r="G33" s="2268">
        <v>35803.265721662399</v>
      </c>
      <c r="H33" s="2392">
        <v>113.33333333333333</v>
      </c>
      <c r="I33" s="1880">
        <v>8435.6419455113664</v>
      </c>
      <c r="J33" s="2268">
        <v>763.76109200000008</v>
      </c>
      <c r="K33" s="2268">
        <v>2</v>
      </c>
      <c r="L33" s="577">
        <v>172718.63501723294</v>
      </c>
      <c r="M33" s="2157"/>
      <c r="N33" s="2268">
        <v>52.583333333333336</v>
      </c>
      <c r="O33" s="577">
        <v>444803.96227504982</v>
      </c>
      <c r="P33" s="577"/>
      <c r="Q33" s="577">
        <v>1</v>
      </c>
      <c r="R33" s="428">
        <v>16</v>
      </c>
    </row>
    <row r="34" spans="1:18">
      <c r="A34" s="237">
        <v>17</v>
      </c>
      <c r="B34" s="95" t="s">
        <v>4574</v>
      </c>
      <c r="C34" s="577">
        <v>2857193.471322068</v>
      </c>
      <c r="D34" s="2268">
        <v>196891.44556163947</v>
      </c>
      <c r="E34" s="2157">
        <v>2924.9166666666665</v>
      </c>
      <c r="F34" s="577">
        <v>745974.89256314375</v>
      </c>
      <c r="G34" s="2268">
        <v>70353.544044104012</v>
      </c>
      <c r="H34" s="2392">
        <v>234.25</v>
      </c>
      <c r="I34" s="1880">
        <v>-90599.080862036688</v>
      </c>
      <c r="J34" s="2268">
        <v>914.11954400000002</v>
      </c>
      <c r="K34" s="2268">
        <v>5</v>
      </c>
      <c r="L34" s="577">
        <v>166900.19307277576</v>
      </c>
      <c r="M34" s="2157"/>
      <c r="N34" s="2268">
        <v>64.25</v>
      </c>
      <c r="O34" s="577">
        <v>269979.86500918568</v>
      </c>
      <c r="P34" s="577"/>
      <c r="Q34" s="577">
        <v>1</v>
      </c>
      <c r="R34" s="428">
        <v>17</v>
      </c>
    </row>
    <row r="35" spans="1:18">
      <c r="A35" s="237">
        <v>18</v>
      </c>
      <c r="B35" s="95" t="s">
        <v>4575</v>
      </c>
      <c r="C35" s="577">
        <v>193.80724836498683</v>
      </c>
      <c r="D35" s="2268"/>
      <c r="E35" s="2157">
        <v>2</v>
      </c>
      <c r="F35" s="577"/>
      <c r="G35" s="2268"/>
      <c r="H35" s="2392"/>
      <c r="I35" s="1880"/>
      <c r="J35" s="2268"/>
      <c r="K35" s="2268"/>
      <c r="L35" s="577"/>
      <c r="M35" s="2157"/>
      <c r="N35" s="2268"/>
      <c r="O35" s="577"/>
      <c r="P35" s="577"/>
      <c r="Q35" s="577"/>
      <c r="R35" s="428">
        <v>18</v>
      </c>
    </row>
    <row r="36" spans="1:18">
      <c r="A36" s="237">
        <v>19</v>
      </c>
      <c r="B36" s="95" t="s">
        <v>4576</v>
      </c>
      <c r="C36" s="577">
        <v>913670.03612929431</v>
      </c>
      <c r="D36" s="2268">
        <v>59261.4279408312</v>
      </c>
      <c r="E36" s="2157">
        <v>641.5</v>
      </c>
      <c r="F36" s="577">
        <v>140929.78499703811</v>
      </c>
      <c r="G36" s="2268">
        <v>13582.380238805201</v>
      </c>
      <c r="H36" s="2392">
        <v>14</v>
      </c>
      <c r="I36" s="1880"/>
      <c r="J36" s="2268"/>
      <c r="K36" s="2268"/>
      <c r="L36" s="577">
        <v>41080.642079633355</v>
      </c>
      <c r="M36" s="2157"/>
      <c r="N36" s="2268">
        <v>71.583333333333329</v>
      </c>
      <c r="O36" s="577"/>
      <c r="P36" s="577"/>
      <c r="Q36" s="577"/>
      <c r="R36" s="428">
        <v>19</v>
      </c>
    </row>
    <row r="37" spans="1:18">
      <c r="A37" s="237">
        <v>20</v>
      </c>
      <c r="B37" s="95" t="s">
        <v>4577</v>
      </c>
      <c r="C37" s="577">
        <v>1628808.6965169061</v>
      </c>
      <c r="D37" s="2268">
        <v>101833.8164349092</v>
      </c>
      <c r="E37" s="2157">
        <v>999.33333333333337</v>
      </c>
      <c r="F37" s="577">
        <v>181942.85286914225</v>
      </c>
      <c r="G37" s="2268">
        <v>17147.596370026004</v>
      </c>
      <c r="H37" s="2392">
        <v>36.666666666666664</v>
      </c>
      <c r="I37" s="1880"/>
      <c r="J37" s="2268"/>
      <c r="K37" s="2268"/>
      <c r="L37" s="577">
        <v>76007.612002252339</v>
      </c>
      <c r="M37" s="2157"/>
      <c r="N37" s="2268">
        <v>27</v>
      </c>
      <c r="O37" s="577">
        <v>283598.39577838627</v>
      </c>
      <c r="P37" s="577"/>
      <c r="Q37" s="577">
        <v>1</v>
      </c>
      <c r="R37" s="428">
        <v>20</v>
      </c>
    </row>
    <row r="38" spans="1:18">
      <c r="A38" s="237">
        <v>21</v>
      </c>
      <c r="B38" s="95" t="s">
        <v>4809</v>
      </c>
      <c r="C38" s="577">
        <v>1337150.4634008904</v>
      </c>
      <c r="D38" s="2268">
        <v>85533.763504519593</v>
      </c>
      <c r="E38" s="2157">
        <v>1010.8333333333334</v>
      </c>
      <c r="F38" s="577">
        <v>58917.280402945915</v>
      </c>
      <c r="G38" s="2268">
        <v>4768.0835228052001</v>
      </c>
      <c r="H38" s="2392">
        <v>20.25</v>
      </c>
      <c r="I38" s="1880"/>
      <c r="J38" s="2268"/>
      <c r="K38" s="2268"/>
      <c r="L38" s="577">
        <v>53447.264483447325</v>
      </c>
      <c r="M38" s="2157"/>
      <c r="N38" s="2268">
        <v>28.25</v>
      </c>
      <c r="O38" s="577">
        <v>259244.86628560934</v>
      </c>
      <c r="P38" s="577"/>
      <c r="Q38" s="577">
        <v>1</v>
      </c>
      <c r="R38" s="428">
        <v>21</v>
      </c>
    </row>
    <row r="39" spans="1:18">
      <c r="A39" s="237">
        <v>22</v>
      </c>
      <c r="B39" s="95" t="s">
        <v>4578</v>
      </c>
      <c r="C39" s="577">
        <v>1208416.1756387453</v>
      </c>
      <c r="D39" s="2268">
        <v>81203.290095013086</v>
      </c>
      <c r="E39" s="2157">
        <v>939.91666666666663</v>
      </c>
      <c r="F39" s="577">
        <v>122071.31878471284</v>
      </c>
      <c r="G39" s="2268">
        <v>11800.5203</v>
      </c>
      <c r="H39" s="2392">
        <v>22.333333333333332</v>
      </c>
      <c r="I39" s="1880"/>
      <c r="J39" s="2268"/>
      <c r="K39" s="2268"/>
      <c r="L39" s="577">
        <v>48647.683513673866</v>
      </c>
      <c r="M39" s="2157"/>
      <c r="N39" s="2268">
        <v>92</v>
      </c>
      <c r="O39" s="577">
        <v>77939.769825743148</v>
      </c>
      <c r="P39" s="577"/>
      <c r="Q39" s="577">
        <v>1</v>
      </c>
      <c r="R39" s="428">
        <v>22</v>
      </c>
    </row>
    <row r="40" spans="1:18">
      <c r="A40" s="237">
        <v>23</v>
      </c>
      <c r="B40" s="95" t="s">
        <v>4579</v>
      </c>
      <c r="C40" s="577">
        <v>750975.10533127165</v>
      </c>
      <c r="D40" s="2268">
        <v>53173.032264000001</v>
      </c>
      <c r="E40" s="2157">
        <v>685.33333333333337</v>
      </c>
      <c r="F40" s="577">
        <v>305923.11805693334</v>
      </c>
      <c r="G40" s="2268">
        <v>29117.9241</v>
      </c>
      <c r="H40" s="2392">
        <v>45.75</v>
      </c>
      <c r="I40" s="1880"/>
      <c r="J40" s="2268"/>
      <c r="K40" s="2268"/>
      <c r="L40" s="577">
        <v>56170.746669466869</v>
      </c>
      <c r="M40" s="2157"/>
      <c r="N40" s="2268">
        <v>22.916666666666668</v>
      </c>
      <c r="O40" s="577">
        <v>198043.76805452682</v>
      </c>
      <c r="P40" s="577"/>
      <c r="Q40" s="577">
        <v>1</v>
      </c>
      <c r="R40" s="428">
        <v>23</v>
      </c>
    </row>
    <row r="41" spans="1:18">
      <c r="A41" s="237">
        <v>24</v>
      </c>
      <c r="B41" s="95" t="s">
        <v>4580</v>
      </c>
      <c r="C41" s="577">
        <v>378300.47244662716</v>
      </c>
      <c r="D41" s="2268">
        <v>23993.019848</v>
      </c>
      <c r="E41" s="2157">
        <v>287.58333333333331</v>
      </c>
      <c r="F41" s="577">
        <v>31096.667495992297</v>
      </c>
      <c r="G41" s="2268">
        <v>2252.3845719999999</v>
      </c>
      <c r="H41" s="2392">
        <v>7</v>
      </c>
      <c r="I41" s="1880"/>
      <c r="J41" s="2268"/>
      <c r="K41" s="2268"/>
      <c r="L41" s="577">
        <v>12731.757845579501</v>
      </c>
      <c r="M41" s="2157"/>
      <c r="N41" s="2268">
        <v>5</v>
      </c>
      <c r="O41" s="577">
        <v>81571.296722004263</v>
      </c>
      <c r="P41" s="577"/>
      <c r="Q41" s="577">
        <v>2</v>
      </c>
      <c r="R41" s="428">
        <v>24</v>
      </c>
    </row>
    <row r="42" spans="1:18">
      <c r="A42" s="237">
        <v>25</v>
      </c>
      <c r="B42" s="95" t="s">
        <v>4581</v>
      </c>
      <c r="C42" s="577"/>
      <c r="D42" s="2268"/>
      <c r="E42" s="2157"/>
      <c r="F42" s="577">
        <v>5678.4716236612348</v>
      </c>
      <c r="G42" s="2268">
        <v>456.03435727944003</v>
      </c>
      <c r="H42" s="2392">
        <v>1</v>
      </c>
      <c r="I42" s="1880">
        <v>5784.669957490165</v>
      </c>
      <c r="J42" s="2268">
        <v>530.30603163199999</v>
      </c>
      <c r="K42" s="2268">
        <v>3</v>
      </c>
      <c r="L42" s="577">
        <v>23233.770691085614</v>
      </c>
      <c r="M42" s="2157"/>
      <c r="N42" s="2268">
        <v>4</v>
      </c>
      <c r="O42" s="577"/>
      <c r="P42" s="577"/>
      <c r="Q42" s="577"/>
      <c r="R42" s="428">
        <v>25</v>
      </c>
    </row>
    <row r="43" spans="1:18">
      <c r="A43" s="237">
        <v>26</v>
      </c>
      <c r="B43" s="95" t="s">
        <v>4582</v>
      </c>
      <c r="C43" s="577">
        <v>785683.29806875379</v>
      </c>
      <c r="D43" s="2268">
        <v>49440.263204364361</v>
      </c>
      <c r="E43" s="2157">
        <v>979.33333333333337</v>
      </c>
      <c r="F43" s="577">
        <v>158139.32108541828</v>
      </c>
      <c r="G43" s="2268">
        <v>11025.361595987721</v>
      </c>
      <c r="H43" s="2392">
        <v>63.166666666666664</v>
      </c>
      <c r="I43" s="1880"/>
      <c r="J43" s="2268"/>
      <c r="K43" s="2268"/>
      <c r="L43" s="577">
        <v>17918.636994709013</v>
      </c>
      <c r="M43" s="2157"/>
      <c r="N43" s="2268">
        <v>6</v>
      </c>
      <c r="O43" s="577">
        <v>249185.38422888544</v>
      </c>
      <c r="P43" s="577"/>
      <c r="Q43" s="577">
        <v>1</v>
      </c>
      <c r="R43" s="428">
        <v>26</v>
      </c>
    </row>
    <row r="44" spans="1:18">
      <c r="A44" s="237">
        <v>27</v>
      </c>
      <c r="B44" s="95" t="s">
        <v>4583</v>
      </c>
      <c r="C44" s="577">
        <v>12171258.109426349</v>
      </c>
      <c r="D44" s="2268">
        <v>917450.14054838242</v>
      </c>
      <c r="E44" s="2157">
        <v>5861.416666666667</v>
      </c>
      <c r="F44" s="577">
        <v>1339571.5692854417</v>
      </c>
      <c r="G44" s="2268">
        <v>128410.46972570481</v>
      </c>
      <c r="H44" s="2392">
        <v>430.08333333333331</v>
      </c>
      <c r="I44" s="1880">
        <v>36786.628881111508</v>
      </c>
      <c r="J44" s="2268">
        <v>2655.5846000000001</v>
      </c>
      <c r="K44" s="2268">
        <v>4.083333333333333</v>
      </c>
      <c r="L44" s="577">
        <v>629914.37372661266</v>
      </c>
      <c r="M44" s="2157"/>
      <c r="N44" s="2268">
        <v>628.41666666666663</v>
      </c>
      <c r="O44" s="577">
        <v>442996.38636243914</v>
      </c>
      <c r="P44" s="577"/>
      <c r="Q44" s="577">
        <v>2</v>
      </c>
      <c r="R44" s="428">
        <v>27</v>
      </c>
    </row>
    <row r="45" spans="1:18">
      <c r="A45" s="237">
        <v>28</v>
      </c>
      <c r="B45" s="95" t="s">
        <v>4584</v>
      </c>
      <c r="C45" s="577">
        <v>431967.41394353285</v>
      </c>
      <c r="D45" s="2268">
        <v>28202.3083023896</v>
      </c>
      <c r="E45" s="2157">
        <v>291.08333333333331</v>
      </c>
      <c r="F45" s="577">
        <v>282492.71810096729</v>
      </c>
      <c r="G45" s="2268">
        <v>29176.2722308052</v>
      </c>
      <c r="H45" s="2392">
        <v>68.333333333333329</v>
      </c>
      <c r="I45" s="1880"/>
      <c r="J45" s="2268"/>
      <c r="K45" s="2268"/>
      <c r="L45" s="577">
        <v>63358.949956098404</v>
      </c>
      <c r="M45" s="2157"/>
      <c r="N45" s="2268">
        <v>17.583333333333332</v>
      </c>
      <c r="O45" s="577"/>
      <c r="P45" s="577"/>
      <c r="Q45" s="577"/>
      <c r="R45" s="428">
        <v>28</v>
      </c>
    </row>
    <row r="46" spans="1:18">
      <c r="A46" s="237">
        <v>29</v>
      </c>
      <c r="B46" s="95" t="s">
        <v>4585</v>
      </c>
      <c r="C46" s="577">
        <v>30659.895312955745</v>
      </c>
      <c r="D46" s="2268">
        <v>2727.2343446120399</v>
      </c>
      <c r="E46" s="2157">
        <v>11</v>
      </c>
      <c r="F46" s="577">
        <v>292495.47348559898</v>
      </c>
      <c r="G46" s="2268">
        <v>27593.002892804001</v>
      </c>
      <c r="H46" s="2392">
        <v>3.1666666666666665</v>
      </c>
      <c r="I46" s="1880"/>
      <c r="J46" s="2268"/>
      <c r="K46" s="2268"/>
      <c r="L46" s="577">
        <v>35494.301285243011</v>
      </c>
      <c r="M46" s="2157"/>
      <c r="N46" s="2268">
        <v>4.583333333333333</v>
      </c>
      <c r="O46" s="577">
        <v>1812.3044892906369</v>
      </c>
      <c r="P46" s="577"/>
      <c r="Q46" s="577"/>
      <c r="R46" s="428">
        <v>29</v>
      </c>
    </row>
    <row r="47" spans="1:18">
      <c r="A47" s="237">
        <v>30</v>
      </c>
      <c r="B47" s="95" t="s">
        <v>4586</v>
      </c>
      <c r="C47" s="577">
        <v>861452.39947728952</v>
      </c>
      <c r="D47" s="2268">
        <v>53422.13607101317</v>
      </c>
      <c r="E47" s="2157">
        <v>844.33333333333337</v>
      </c>
      <c r="F47" s="577">
        <v>79741.506899393295</v>
      </c>
      <c r="G47" s="2268">
        <v>7084.0524400000004</v>
      </c>
      <c r="H47" s="2392">
        <v>28</v>
      </c>
      <c r="I47" s="1880"/>
      <c r="J47" s="2268"/>
      <c r="K47" s="2268"/>
      <c r="L47" s="577">
        <v>17548.606076180658</v>
      </c>
      <c r="M47" s="2157"/>
      <c r="N47" s="2268">
        <v>12</v>
      </c>
      <c r="O47" s="577">
        <v>130490.40188083418</v>
      </c>
      <c r="P47" s="577"/>
      <c r="Q47" s="577">
        <v>1</v>
      </c>
      <c r="R47" s="428">
        <v>30</v>
      </c>
    </row>
    <row r="48" spans="1:18">
      <c r="A48" s="237">
        <v>31</v>
      </c>
      <c r="B48" s="95" t="s">
        <v>4587</v>
      </c>
      <c r="C48" s="577">
        <v>2964877.3913809285</v>
      </c>
      <c r="D48" s="2268">
        <v>210654.43638046758</v>
      </c>
      <c r="E48" s="2157">
        <v>2848.4166666666665</v>
      </c>
      <c r="F48" s="577">
        <v>1483397.2628553188</v>
      </c>
      <c r="G48" s="2268">
        <v>136023.5321149611</v>
      </c>
      <c r="H48" s="2392">
        <v>197.75</v>
      </c>
      <c r="I48" s="1880">
        <v>1843.0736259651756</v>
      </c>
      <c r="J48" s="2268">
        <v>123.42858</v>
      </c>
      <c r="K48" s="2268">
        <v>3</v>
      </c>
      <c r="L48" s="577">
        <v>85247.239943894703</v>
      </c>
      <c r="M48" s="2157"/>
      <c r="N48" s="2268">
        <v>27.833333333333332</v>
      </c>
      <c r="O48" s="577">
        <v>270012.6951271923</v>
      </c>
      <c r="P48" s="577"/>
      <c r="Q48" s="577">
        <v>1</v>
      </c>
      <c r="R48" s="428">
        <v>31</v>
      </c>
    </row>
    <row r="49" spans="1:18">
      <c r="A49" s="237">
        <v>32</v>
      </c>
      <c r="B49" s="95" t="s">
        <v>4588</v>
      </c>
      <c r="C49" s="577">
        <v>1554155.0778788866</v>
      </c>
      <c r="D49" s="2268">
        <v>95200.091298909203</v>
      </c>
      <c r="E49" s="2157">
        <v>1022.3333333333334</v>
      </c>
      <c r="F49" s="577">
        <v>57271.204039722994</v>
      </c>
      <c r="G49" s="2268">
        <v>4732.1769520000007</v>
      </c>
      <c r="H49" s="2392">
        <v>34.25</v>
      </c>
      <c r="I49" s="1880"/>
      <c r="J49" s="2268"/>
      <c r="K49" s="2268"/>
      <c r="L49" s="577">
        <v>27878.177778032055</v>
      </c>
      <c r="M49" s="2157"/>
      <c r="N49" s="2268">
        <v>14.5</v>
      </c>
      <c r="O49" s="577">
        <v>310066.32882745814</v>
      </c>
      <c r="P49" s="577"/>
      <c r="Q49" s="577">
        <v>1</v>
      </c>
      <c r="R49" s="428">
        <v>32</v>
      </c>
    </row>
    <row r="50" spans="1:18">
      <c r="A50" s="237">
        <v>33</v>
      </c>
      <c r="B50" s="95" t="s">
        <v>4602</v>
      </c>
      <c r="C50" s="577">
        <v>1338027.7434688855</v>
      </c>
      <c r="D50" s="577">
        <v>87030.613686389595</v>
      </c>
      <c r="E50" s="577">
        <v>892.08333333333337</v>
      </c>
      <c r="F50" s="577">
        <v>72652.462118772266</v>
      </c>
      <c r="G50" s="577">
        <v>5956.4942110480006</v>
      </c>
      <c r="H50" s="442">
        <v>29.333333333333332</v>
      </c>
      <c r="I50" s="1880"/>
      <c r="J50" s="508"/>
      <c r="K50" s="577"/>
      <c r="L50" s="577">
        <v>12968.175810853234</v>
      </c>
      <c r="M50" s="577"/>
      <c r="N50" s="577">
        <v>6</v>
      </c>
      <c r="O50" s="577">
        <v>126883.65752493191</v>
      </c>
      <c r="P50" s="577"/>
      <c r="Q50" s="577">
        <v>1</v>
      </c>
      <c r="R50" s="428">
        <v>33</v>
      </c>
    </row>
    <row r="51" spans="1:18">
      <c r="A51" s="237">
        <v>34</v>
      </c>
      <c r="B51" s="95" t="s">
        <v>4913</v>
      </c>
      <c r="C51" s="577">
        <v>593798.81000000006</v>
      </c>
      <c r="D51" s="577">
        <v>47960</v>
      </c>
      <c r="E51" s="577">
        <v>1151</v>
      </c>
      <c r="F51" s="577">
        <v>161962.94</v>
      </c>
      <c r="G51" s="577">
        <v>17072</v>
      </c>
      <c r="H51" s="427">
        <v>168</v>
      </c>
      <c r="I51" s="1880">
        <v>2827</v>
      </c>
      <c r="J51" s="508">
        <v>1435</v>
      </c>
      <c r="K51" s="577">
        <v>9</v>
      </c>
      <c r="L51" s="577">
        <v>104939.51</v>
      </c>
      <c r="M51" s="577"/>
      <c r="N51" s="577">
        <v>26</v>
      </c>
      <c r="O51" s="577">
        <v>62122.28</v>
      </c>
      <c r="P51" s="577"/>
      <c r="Q51" s="577">
        <v>1</v>
      </c>
      <c r="R51" s="428">
        <v>34</v>
      </c>
    </row>
    <row r="52" spans="1:18">
      <c r="A52" s="237">
        <v>35</v>
      </c>
      <c r="B52" s="95" t="s">
        <v>5087</v>
      </c>
      <c r="C52" s="577">
        <v>899.38</v>
      </c>
      <c r="D52" s="577">
        <v>82</v>
      </c>
      <c r="E52" s="577">
        <v>1</v>
      </c>
      <c r="F52" s="577">
        <v>4944.6499999999996</v>
      </c>
      <c r="G52" s="577">
        <v>387</v>
      </c>
      <c r="H52" s="427">
        <v>4</v>
      </c>
      <c r="I52" s="1880">
        <v>391346.06</v>
      </c>
      <c r="J52" s="508">
        <v>39755</v>
      </c>
      <c r="K52" s="577">
        <v>4</v>
      </c>
      <c r="L52" s="577">
        <v>26127.49</v>
      </c>
      <c r="M52" s="577"/>
      <c r="N52" s="577">
        <v>4</v>
      </c>
      <c r="O52" s="577"/>
      <c r="P52" s="577"/>
      <c r="Q52" s="577"/>
      <c r="R52" s="428">
        <v>35</v>
      </c>
    </row>
    <row r="53" spans="1:18">
      <c r="A53" s="237">
        <v>36</v>
      </c>
      <c r="B53" s="95" t="s">
        <v>5088</v>
      </c>
      <c r="C53" s="577">
        <v>9233.56</v>
      </c>
      <c r="D53" s="577">
        <v>787</v>
      </c>
      <c r="E53" s="577">
        <v>11</v>
      </c>
      <c r="F53" s="577">
        <v>855.6</v>
      </c>
      <c r="G53" s="577">
        <v>90</v>
      </c>
      <c r="H53" s="427">
        <v>1</v>
      </c>
      <c r="I53" s="1880"/>
      <c r="J53" s="508"/>
      <c r="K53" s="577"/>
      <c r="L53" s="577"/>
      <c r="M53" s="577"/>
      <c r="N53" s="577"/>
      <c r="O53" s="577"/>
      <c r="P53" s="577"/>
      <c r="Q53" s="577"/>
      <c r="R53" s="428">
        <v>36</v>
      </c>
    </row>
    <row r="54" spans="1:18">
      <c r="A54" s="237">
        <v>37</v>
      </c>
      <c r="B54" s="95" t="s">
        <v>4919</v>
      </c>
      <c r="C54" s="577">
        <v>91536.45</v>
      </c>
      <c r="D54" s="577">
        <v>7602</v>
      </c>
      <c r="E54" s="577">
        <v>188</v>
      </c>
      <c r="F54" s="577">
        <v>10249</v>
      </c>
      <c r="G54" s="577">
        <v>703</v>
      </c>
      <c r="H54" s="427">
        <v>25</v>
      </c>
      <c r="I54" s="1880"/>
      <c r="J54" s="508"/>
      <c r="K54" s="577"/>
      <c r="L54" s="577">
        <v>5650.76</v>
      </c>
      <c r="M54" s="577"/>
      <c r="N54" s="577">
        <v>2</v>
      </c>
      <c r="O54" s="577">
        <v>17212</v>
      </c>
      <c r="P54" s="577"/>
      <c r="Q54" s="577">
        <v>1</v>
      </c>
      <c r="R54" s="428">
        <v>37</v>
      </c>
    </row>
    <row r="55" spans="1:18">
      <c r="A55" s="237">
        <v>38</v>
      </c>
      <c r="B55" s="95"/>
      <c r="C55" s="577"/>
      <c r="D55" s="577"/>
      <c r="E55" s="577"/>
      <c r="F55" s="577"/>
      <c r="G55" s="577"/>
      <c r="H55" s="427"/>
      <c r="I55" s="1880"/>
      <c r="J55" s="508"/>
      <c r="K55" s="577"/>
      <c r="L55" s="577"/>
      <c r="M55" s="577"/>
      <c r="N55" s="577"/>
      <c r="O55" s="577"/>
      <c r="P55" s="577"/>
      <c r="Q55" s="577"/>
      <c r="R55" s="428">
        <v>38</v>
      </c>
    </row>
    <row r="56" spans="1:18">
      <c r="A56" s="237">
        <v>39</v>
      </c>
      <c r="B56" s="95"/>
      <c r="C56" s="577"/>
      <c r="D56" s="577"/>
      <c r="E56" s="577"/>
      <c r="F56" s="577"/>
      <c r="G56" s="577"/>
      <c r="H56" s="427"/>
      <c r="I56" s="145"/>
      <c r="J56" s="508"/>
      <c r="K56" s="577"/>
      <c r="L56" s="577"/>
      <c r="M56" s="577"/>
      <c r="N56" s="577"/>
      <c r="O56" s="577"/>
      <c r="P56" s="577"/>
      <c r="Q56" s="577"/>
      <c r="R56" s="428">
        <v>39</v>
      </c>
    </row>
    <row r="57" spans="1:18">
      <c r="A57" s="237">
        <v>40</v>
      </c>
      <c r="B57" s="95"/>
      <c r="C57" s="577"/>
      <c r="D57" s="577"/>
      <c r="E57" s="577"/>
      <c r="F57" s="577"/>
      <c r="G57" s="577"/>
      <c r="H57" s="427"/>
      <c r="I57" s="145"/>
      <c r="J57" s="508"/>
      <c r="K57" s="577"/>
      <c r="L57" s="577"/>
      <c r="M57" s="577"/>
      <c r="N57" s="577"/>
      <c r="O57" s="577"/>
      <c r="P57" s="577"/>
      <c r="Q57" s="577"/>
      <c r="R57" s="428">
        <v>40</v>
      </c>
    </row>
    <row r="58" spans="1:18">
      <c r="A58" s="237">
        <v>41</v>
      </c>
      <c r="B58" s="95"/>
      <c r="C58" s="577"/>
      <c r="D58" s="577"/>
      <c r="E58" s="577"/>
      <c r="F58" s="577"/>
      <c r="G58" s="577"/>
      <c r="H58" s="427"/>
      <c r="I58" s="145"/>
      <c r="J58" s="508"/>
      <c r="K58" s="577"/>
      <c r="L58" s="577"/>
      <c r="M58" s="577"/>
      <c r="N58" s="577"/>
      <c r="O58" s="577"/>
      <c r="P58" s="577"/>
      <c r="Q58" s="577"/>
      <c r="R58" s="428">
        <v>41</v>
      </c>
    </row>
    <row r="59" spans="1:18">
      <c r="A59" s="237">
        <v>42</v>
      </c>
      <c r="B59" s="95"/>
      <c r="C59" s="577"/>
      <c r="D59" s="577"/>
      <c r="E59" s="577"/>
      <c r="F59" s="577"/>
      <c r="G59" s="577"/>
      <c r="H59" s="427"/>
      <c r="I59" s="145"/>
      <c r="J59" s="508"/>
      <c r="K59" s="577"/>
      <c r="L59" s="577"/>
      <c r="M59" s="577"/>
      <c r="N59" s="577"/>
      <c r="O59" s="577"/>
      <c r="P59" s="577"/>
      <c r="Q59" s="577"/>
      <c r="R59" s="428">
        <v>42</v>
      </c>
    </row>
    <row r="60" spans="1:18">
      <c r="A60" s="237">
        <v>43</v>
      </c>
      <c r="B60" s="95"/>
      <c r="C60" s="577"/>
      <c r="D60" s="577"/>
      <c r="E60" s="577"/>
      <c r="F60" s="577"/>
      <c r="G60" s="577"/>
      <c r="H60" s="427"/>
      <c r="I60" s="145"/>
      <c r="J60" s="508"/>
      <c r="K60" s="577"/>
      <c r="L60" s="577"/>
      <c r="M60" s="577"/>
      <c r="N60" s="577"/>
      <c r="O60" s="577"/>
      <c r="P60" s="577"/>
      <c r="Q60" s="577"/>
      <c r="R60" s="428">
        <v>43</v>
      </c>
    </row>
    <row r="61" spans="1:18">
      <c r="A61" s="237">
        <v>44</v>
      </c>
      <c r="B61" s="95"/>
      <c r="C61" s="577"/>
      <c r="D61" s="577"/>
      <c r="E61" s="577"/>
      <c r="F61" s="577"/>
      <c r="G61" s="577"/>
      <c r="H61" s="427"/>
      <c r="I61" s="1880"/>
      <c r="J61" s="508"/>
      <c r="K61" s="577"/>
      <c r="L61" s="577"/>
      <c r="M61" s="577"/>
      <c r="N61" s="577"/>
      <c r="O61" s="577"/>
      <c r="P61" s="577"/>
      <c r="Q61" s="577"/>
      <c r="R61" s="428">
        <v>44</v>
      </c>
    </row>
    <row r="62" spans="1:18">
      <c r="A62" s="237">
        <v>45</v>
      </c>
      <c r="B62" s="95"/>
      <c r="C62" s="577"/>
      <c r="D62" s="577"/>
      <c r="E62" s="577"/>
      <c r="F62" s="577"/>
      <c r="G62" s="577"/>
      <c r="H62" s="427"/>
      <c r="I62" s="1880"/>
      <c r="J62" s="508"/>
      <c r="K62" s="577"/>
      <c r="L62" s="577"/>
      <c r="M62" s="577"/>
      <c r="N62" s="577"/>
      <c r="O62" s="577"/>
      <c r="P62" s="577"/>
      <c r="Q62" s="577"/>
      <c r="R62" s="428">
        <v>45</v>
      </c>
    </row>
    <row r="63" spans="1:18">
      <c r="A63" s="237">
        <v>46</v>
      </c>
      <c r="B63" s="95"/>
      <c r="C63" s="577"/>
      <c r="D63" s="577"/>
      <c r="E63" s="577"/>
      <c r="F63" s="577"/>
      <c r="G63" s="577"/>
      <c r="H63" s="427"/>
      <c r="I63" s="665"/>
      <c r="J63" s="508"/>
      <c r="K63" s="577"/>
      <c r="L63" s="577"/>
      <c r="M63" s="577"/>
      <c r="N63" s="577"/>
      <c r="O63" s="577"/>
      <c r="P63" s="577"/>
      <c r="Q63" s="577"/>
      <c r="R63" s="428">
        <v>46</v>
      </c>
    </row>
    <row r="64" spans="1:18" ht="15.75" thickBot="1">
      <c r="A64" s="443">
        <v>47</v>
      </c>
      <c r="B64" s="1030" t="s">
        <v>1046</v>
      </c>
      <c r="C64" s="647">
        <f t="shared" ref="C64:Q64" si="0">SUM(C18:C63)</f>
        <v>91291701.949999943</v>
      </c>
      <c r="D64" s="720">
        <f t="shared" si="0"/>
        <v>6172488.6135700364</v>
      </c>
      <c r="E64" s="720">
        <f t="shared" si="0"/>
        <v>77097.916666666657</v>
      </c>
      <c r="F64" s="647">
        <f t="shared" si="0"/>
        <v>17536313.329999998</v>
      </c>
      <c r="G64" s="720">
        <f t="shared" si="0"/>
        <v>1629882.1780390665</v>
      </c>
      <c r="H64" s="721">
        <f t="shared" si="0"/>
        <v>4839.6666666666661</v>
      </c>
      <c r="I64" s="402">
        <f t="shared" si="0"/>
        <v>3803193.4899999998</v>
      </c>
      <c r="J64" s="722">
        <f t="shared" si="0"/>
        <v>238560.81081443719</v>
      </c>
      <c r="K64" s="720">
        <f t="shared" si="0"/>
        <v>107.74999999999999</v>
      </c>
      <c r="L64" s="647">
        <f t="shared" si="0"/>
        <v>5123518.0099999988</v>
      </c>
      <c r="M64" s="720">
        <f t="shared" si="0"/>
        <v>0</v>
      </c>
      <c r="N64" s="720">
        <f t="shared" si="0"/>
        <v>2763</v>
      </c>
      <c r="O64" s="647">
        <f t="shared" si="0"/>
        <v>11712072.129999997</v>
      </c>
      <c r="P64" s="720">
        <f t="shared" si="0"/>
        <v>0</v>
      </c>
      <c r="Q64" s="720">
        <f t="shared" si="0"/>
        <v>72</v>
      </c>
      <c r="R64" s="439">
        <v>47</v>
      </c>
    </row>
    <row r="65" spans="1:18">
      <c r="A65" s="108" t="s">
        <v>2024</v>
      </c>
      <c r="B65" s="86"/>
      <c r="C65" s="86"/>
      <c r="D65" s="2393"/>
      <c r="E65" s="86"/>
      <c r="F65" s="426"/>
      <c r="G65" s="86"/>
      <c r="H65" s="86"/>
      <c r="I65" s="86"/>
      <c r="J65" s="86"/>
      <c r="K65" s="86"/>
      <c r="L65" s="86"/>
      <c r="M65" s="86"/>
      <c r="N65" s="86"/>
      <c r="O65" s="86"/>
      <c r="P65" s="86"/>
      <c r="Q65" s="86" t="s">
        <v>2024</v>
      </c>
      <c r="R65" s="86"/>
    </row>
    <row r="66" spans="1:18">
      <c r="A66" s="5" t="s">
        <v>1047</v>
      </c>
      <c r="B66" s="5"/>
      <c r="C66" s="5"/>
      <c r="D66" s="5"/>
      <c r="E66" s="5"/>
      <c r="F66" s="5"/>
      <c r="G66" s="5"/>
      <c r="H66" s="5"/>
      <c r="I66" s="5" t="s">
        <v>1048</v>
      </c>
      <c r="J66" s="4"/>
      <c r="K66" s="5"/>
      <c r="L66" s="5"/>
      <c r="M66" s="4"/>
      <c r="N66" s="5"/>
      <c r="O66" s="5"/>
      <c r="P66" s="5"/>
      <c r="Q66" s="5"/>
      <c r="R66" s="5"/>
    </row>
    <row r="67" spans="1:18" ht="15.75" thickBot="1">
      <c r="A67" t="str">
        <f>'Data sheet'!A61</f>
        <v>Annual Report of Veolia Water New York, Inc.                                                                       Year Ended  December 31, 2023</v>
      </c>
      <c r="B67" s="86"/>
      <c r="C67" s="86"/>
      <c r="D67" s="86"/>
      <c r="E67" s="86"/>
      <c r="F67" s="86"/>
      <c r="G67" s="86"/>
      <c r="H67" s="16"/>
      <c r="I67" s="86"/>
      <c r="J67" s="86"/>
      <c r="K67" s="86"/>
      <c r="L67" s="86"/>
      <c r="M67" s="86"/>
      <c r="N67" s="86"/>
      <c r="O67" s="426"/>
      <c r="P67" s="86"/>
      <c r="Q67" s="86"/>
      <c r="R67" s="86"/>
    </row>
    <row r="68" spans="1:18">
      <c r="A68" s="129"/>
      <c r="B68" s="130"/>
      <c r="C68" s="130"/>
      <c r="D68" s="130"/>
      <c r="E68" s="130"/>
      <c r="F68" s="130"/>
      <c r="G68" s="130"/>
      <c r="H68" s="131"/>
      <c r="I68" s="86"/>
      <c r="J68" s="86"/>
      <c r="K68" s="86"/>
      <c r="L68" s="86"/>
      <c r="M68" s="86"/>
      <c r="N68" s="86"/>
      <c r="O68" s="86"/>
      <c r="P68" s="86"/>
      <c r="Q68" s="86"/>
      <c r="R68" s="86"/>
    </row>
    <row r="69" spans="1:18" ht="15.75">
      <c r="A69" s="118" t="s">
        <v>3535</v>
      </c>
      <c r="B69" s="3"/>
      <c r="C69" s="3"/>
      <c r="D69" s="3"/>
      <c r="E69" s="3"/>
      <c r="F69" s="3"/>
      <c r="G69" s="3"/>
      <c r="H69" s="84"/>
      <c r="I69" s="86"/>
      <c r="J69" s="86"/>
      <c r="K69" s="86"/>
      <c r="L69" s="404"/>
      <c r="M69" s="404"/>
      <c r="N69" s="86"/>
      <c r="O69" s="86"/>
      <c r="P69" s="86"/>
      <c r="Q69" s="86"/>
      <c r="R69" s="86"/>
    </row>
    <row r="70" spans="1:18">
      <c r="A70" s="97"/>
      <c r="B70" s="98"/>
      <c r="C70" s="98"/>
      <c r="D70" s="98"/>
      <c r="E70" s="98"/>
      <c r="F70" s="98"/>
      <c r="G70" s="98"/>
      <c r="H70" s="101"/>
      <c r="I70" s="86"/>
      <c r="J70" s="86"/>
      <c r="K70" s="86"/>
      <c r="L70" s="86"/>
      <c r="M70" s="86"/>
      <c r="N70" s="86"/>
      <c r="O70" s="86"/>
      <c r="P70" s="86"/>
      <c r="Q70" s="86"/>
      <c r="R70" s="86"/>
    </row>
    <row r="71" spans="1:18">
      <c r="A71" s="480"/>
      <c r="B71" s="91"/>
      <c r="C71" s="90"/>
      <c r="D71" s="90"/>
      <c r="E71" s="91"/>
      <c r="F71" s="90"/>
      <c r="G71" s="90"/>
      <c r="H71" s="93"/>
      <c r="I71" s="86"/>
      <c r="J71" s="86"/>
      <c r="K71" s="86"/>
      <c r="L71" s="86"/>
      <c r="M71" s="86"/>
      <c r="N71" s="86"/>
      <c r="O71" s="86"/>
      <c r="P71" s="86"/>
      <c r="Q71" s="86"/>
      <c r="R71" s="86"/>
    </row>
    <row r="72" spans="1:18">
      <c r="A72" s="237"/>
      <c r="B72" s="95"/>
      <c r="C72" s="5" t="s">
        <v>1259</v>
      </c>
      <c r="D72" s="5"/>
      <c r="E72" s="117"/>
      <c r="F72" s="5" t="s">
        <v>3306</v>
      </c>
      <c r="G72" s="5"/>
      <c r="H72" s="132"/>
      <c r="I72" s="86"/>
      <c r="J72" s="86"/>
      <c r="K72" s="86"/>
      <c r="L72" s="86"/>
      <c r="M72" s="86"/>
      <c r="N72" s="86"/>
      <c r="O72" s="86"/>
      <c r="P72" s="86"/>
      <c r="Q72" s="86"/>
      <c r="R72" s="86"/>
    </row>
    <row r="73" spans="1:18">
      <c r="A73" s="237"/>
      <c r="B73" s="95"/>
      <c r="C73" s="133"/>
      <c r="D73" s="133"/>
      <c r="E73" s="366"/>
      <c r="F73" s="133"/>
      <c r="G73" s="133"/>
      <c r="H73" s="500"/>
      <c r="I73" s="86"/>
      <c r="J73" s="86"/>
      <c r="K73" s="86"/>
      <c r="L73" s="86"/>
      <c r="M73" s="86"/>
      <c r="N73" s="86"/>
      <c r="O73" s="86"/>
      <c r="P73" s="86"/>
      <c r="Q73" s="86"/>
      <c r="R73" s="86"/>
    </row>
    <row r="74" spans="1:18">
      <c r="A74" s="237"/>
      <c r="B74" s="95"/>
      <c r="C74" s="95"/>
      <c r="D74" s="95"/>
      <c r="E74" s="440" t="s">
        <v>2917</v>
      </c>
      <c r="F74" s="95"/>
      <c r="G74" s="95"/>
      <c r="H74" s="428" t="s">
        <v>2917</v>
      </c>
      <c r="I74" s="86"/>
      <c r="J74" s="86"/>
      <c r="K74" s="86"/>
      <c r="L74" s="86"/>
      <c r="M74" s="86"/>
      <c r="N74" s="86"/>
      <c r="O74" s="86"/>
      <c r="P74" s="86"/>
      <c r="Q74" s="86"/>
      <c r="R74" s="86"/>
    </row>
    <row r="75" spans="1:18">
      <c r="A75" s="237" t="s">
        <v>1727</v>
      </c>
      <c r="B75" s="440" t="s">
        <v>799</v>
      </c>
      <c r="C75" s="440" t="s">
        <v>800</v>
      </c>
      <c r="D75" s="440" t="s">
        <v>4304</v>
      </c>
      <c r="E75" s="440" t="s">
        <v>1041</v>
      </c>
      <c r="F75" s="440" t="s">
        <v>800</v>
      </c>
      <c r="G75" s="440" t="s">
        <v>4304</v>
      </c>
      <c r="H75" s="428" t="s">
        <v>1041</v>
      </c>
      <c r="I75" s="86"/>
      <c r="J75" s="86"/>
      <c r="K75" s="86"/>
      <c r="L75" s="86"/>
      <c r="M75" s="86"/>
      <c r="N75" s="86"/>
      <c r="O75" s="86"/>
      <c r="P75" s="86"/>
      <c r="Q75" s="86"/>
      <c r="R75" s="86"/>
    </row>
    <row r="76" spans="1:18">
      <c r="A76" s="237" t="s">
        <v>1739</v>
      </c>
      <c r="B76" s="440" t="s">
        <v>1042</v>
      </c>
      <c r="C76" s="440" t="s">
        <v>2300</v>
      </c>
      <c r="D76" s="440" t="s">
        <v>2920</v>
      </c>
      <c r="E76" s="440" t="s">
        <v>4087</v>
      </c>
      <c r="F76" s="440" t="s">
        <v>2300</v>
      </c>
      <c r="G76" s="440" t="s">
        <v>2920</v>
      </c>
      <c r="H76" s="428" t="s">
        <v>4087</v>
      </c>
      <c r="I76" s="86"/>
      <c r="J76" s="86"/>
      <c r="K76" s="86"/>
      <c r="L76" s="86"/>
      <c r="M76" s="86"/>
      <c r="N76" s="86"/>
      <c r="O76" s="86"/>
      <c r="P76" s="86"/>
      <c r="Q76" s="86"/>
      <c r="R76" s="86"/>
    </row>
    <row r="77" spans="1:18">
      <c r="A77" s="237"/>
      <c r="B77" s="440" t="s">
        <v>3279</v>
      </c>
      <c r="C77" s="440" t="s">
        <v>3280</v>
      </c>
      <c r="D77" s="440" t="s">
        <v>3281</v>
      </c>
      <c r="E77" s="440" t="s">
        <v>1043</v>
      </c>
      <c r="F77" s="440" t="s">
        <v>721</v>
      </c>
      <c r="G77" s="440" t="s">
        <v>722</v>
      </c>
      <c r="H77" s="428" t="s">
        <v>1044</v>
      </c>
      <c r="I77" s="86"/>
      <c r="J77" s="86"/>
      <c r="K77" s="86"/>
      <c r="L77" s="86"/>
      <c r="M77" s="86"/>
      <c r="N77" s="86"/>
      <c r="O77" s="86"/>
      <c r="P77" s="86"/>
      <c r="Q77" s="86"/>
      <c r="R77" s="86"/>
    </row>
    <row r="78" spans="1:18">
      <c r="A78" s="240"/>
      <c r="B78" s="99"/>
      <c r="C78" s="99"/>
      <c r="D78" s="99"/>
      <c r="E78" s="99"/>
      <c r="F78" s="99"/>
      <c r="G78" s="99"/>
      <c r="H78" s="101"/>
      <c r="I78" s="86"/>
      <c r="J78" s="86"/>
      <c r="K78" s="86"/>
      <c r="L78" s="86"/>
      <c r="M78" s="86"/>
      <c r="N78" s="86"/>
      <c r="O78" s="86"/>
      <c r="P78" s="86"/>
      <c r="Q78" s="86"/>
      <c r="R78" s="86"/>
    </row>
    <row r="79" spans="1:18">
      <c r="A79" s="237">
        <v>1</v>
      </c>
      <c r="B79" s="95" t="s">
        <v>4913</v>
      </c>
      <c r="C79" s="608">
        <v>88427.6</v>
      </c>
      <c r="D79" s="577">
        <v>9187</v>
      </c>
      <c r="E79" s="577">
        <v>28</v>
      </c>
      <c r="F79" s="608"/>
      <c r="G79" s="577"/>
      <c r="H79" s="427"/>
      <c r="I79" s="86"/>
      <c r="J79" s="86"/>
      <c r="K79" s="86"/>
      <c r="L79" s="86"/>
      <c r="M79" s="86"/>
      <c r="N79" s="86"/>
      <c r="O79" s="86"/>
      <c r="P79" s="86"/>
      <c r="Q79" s="86"/>
      <c r="R79" s="86"/>
    </row>
    <row r="80" spans="1:18">
      <c r="A80" s="237">
        <v>2</v>
      </c>
      <c r="B80" s="95" t="s">
        <v>5087</v>
      </c>
      <c r="C80" s="577"/>
      <c r="D80" s="577"/>
      <c r="E80" s="577"/>
      <c r="F80" s="577">
        <v>97297.94</v>
      </c>
      <c r="G80" s="577">
        <v>27238</v>
      </c>
      <c r="H80" s="427">
        <v>7</v>
      </c>
      <c r="I80" s="86"/>
      <c r="J80" s="86"/>
      <c r="K80" s="86"/>
      <c r="L80" s="86"/>
      <c r="M80" s="86"/>
      <c r="N80" s="86"/>
      <c r="O80" s="86"/>
      <c r="P80" s="86"/>
      <c r="Q80" s="86"/>
      <c r="R80" s="86"/>
    </row>
    <row r="81" spans="1:18">
      <c r="A81" s="237">
        <v>3</v>
      </c>
      <c r="B81" s="95" t="s">
        <v>5088</v>
      </c>
      <c r="C81" s="577"/>
      <c r="D81" s="577"/>
      <c r="E81" s="577"/>
      <c r="F81" s="577"/>
      <c r="G81" s="577"/>
      <c r="H81" s="427"/>
      <c r="I81" s="86"/>
      <c r="J81" s="86"/>
      <c r="K81" s="86"/>
      <c r="L81" s="86"/>
      <c r="M81" s="86"/>
      <c r="N81" s="86"/>
      <c r="O81" s="86"/>
      <c r="P81" s="86"/>
      <c r="Q81" s="86"/>
      <c r="R81" s="86"/>
    </row>
    <row r="82" spans="1:18">
      <c r="A82" s="237">
        <v>4</v>
      </c>
      <c r="B82" s="95" t="s">
        <v>4919</v>
      </c>
      <c r="C82" s="577">
        <v>3751.92</v>
      </c>
      <c r="D82" s="577">
        <v>138</v>
      </c>
      <c r="E82" s="577">
        <v>4</v>
      </c>
      <c r="F82" s="577"/>
      <c r="G82" s="577"/>
      <c r="H82" s="427"/>
      <c r="I82" s="86"/>
      <c r="J82" s="86"/>
      <c r="K82" s="86"/>
      <c r="L82" s="86"/>
      <c r="M82" s="86"/>
      <c r="N82" s="86"/>
      <c r="O82" s="86"/>
      <c r="P82" s="86"/>
      <c r="Q82" s="86"/>
      <c r="R82" s="86"/>
    </row>
    <row r="83" spans="1:18">
      <c r="A83" s="237">
        <v>5</v>
      </c>
      <c r="B83" s="95"/>
      <c r="C83" s="577"/>
      <c r="D83" s="577"/>
      <c r="E83" s="577"/>
      <c r="F83" s="577"/>
      <c r="G83" s="577"/>
      <c r="H83" s="427"/>
      <c r="I83" s="86"/>
      <c r="J83" s="86"/>
      <c r="K83" s="86"/>
      <c r="L83" s="86"/>
      <c r="M83" s="86"/>
      <c r="N83" s="86"/>
      <c r="O83" s="86"/>
      <c r="P83" s="86"/>
      <c r="Q83" s="86"/>
      <c r="R83" s="86"/>
    </row>
    <row r="84" spans="1:18">
      <c r="A84" s="237">
        <v>6</v>
      </c>
      <c r="B84" s="95"/>
      <c r="C84" s="577"/>
      <c r="D84" s="577"/>
      <c r="E84" s="577"/>
      <c r="F84" s="577"/>
      <c r="G84" s="577"/>
      <c r="H84" s="427"/>
      <c r="I84" s="86"/>
      <c r="J84" s="86"/>
      <c r="K84" s="86"/>
      <c r="L84" s="86"/>
      <c r="M84" s="86"/>
      <c r="N84" s="86"/>
      <c r="O84" s="86"/>
      <c r="P84" s="86"/>
      <c r="Q84" s="86"/>
      <c r="R84" s="86"/>
    </row>
    <row r="85" spans="1:18">
      <c r="A85" s="237">
        <v>7</v>
      </c>
      <c r="B85" s="95"/>
      <c r="C85" s="577"/>
      <c r="D85" s="577"/>
      <c r="E85" s="577"/>
      <c r="F85" s="577"/>
      <c r="G85" s="577"/>
      <c r="H85" s="427"/>
      <c r="I85" s="86"/>
      <c r="J85" s="86"/>
      <c r="K85" s="86"/>
      <c r="L85" s="86"/>
      <c r="M85" s="86"/>
      <c r="N85" s="86"/>
      <c r="O85" s="86"/>
      <c r="P85" s="86"/>
      <c r="Q85" s="86"/>
      <c r="R85" s="86"/>
    </row>
    <row r="86" spans="1:18">
      <c r="A86" s="237">
        <v>8</v>
      </c>
      <c r="B86" s="95"/>
      <c r="C86" s="577"/>
      <c r="D86" s="577"/>
      <c r="E86" s="577"/>
      <c r="F86" s="577"/>
      <c r="G86" s="577"/>
      <c r="H86" s="427"/>
      <c r="I86" s="86"/>
      <c r="J86" s="86"/>
      <c r="K86" s="86"/>
      <c r="L86" s="86"/>
      <c r="M86" s="86"/>
      <c r="N86" s="86"/>
      <c r="O86" s="86"/>
      <c r="P86" s="86"/>
      <c r="Q86" s="86"/>
      <c r="R86" s="86"/>
    </row>
    <row r="87" spans="1:18">
      <c r="A87" s="237">
        <v>9</v>
      </c>
      <c r="B87" s="95"/>
      <c r="C87" s="577"/>
      <c r="D87" s="577"/>
      <c r="E87" s="577"/>
      <c r="F87" s="577"/>
      <c r="G87" s="577"/>
      <c r="H87" s="427"/>
      <c r="I87" s="86"/>
      <c r="J87" s="86"/>
      <c r="K87" s="86"/>
      <c r="L87" s="86"/>
      <c r="M87" s="86"/>
      <c r="N87" s="86"/>
      <c r="O87" s="86"/>
      <c r="P87" s="86"/>
      <c r="Q87" s="86"/>
      <c r="R87" s="86"/>
    </row>
    <row r="88" spans="1:18">
      <c r="A88" s="237">
        <v>10</v>
      </c>
      <c r="B88" s="95"/>
      <c r="C88" s="577"/>
      <c r="D88" s="577"/>
      <c r="E88" s="577"/>
      <c r="F88" s="577"/>
      <c r="G88" s="577"/>
      <c r="H88" s="427"/>
      <c r="I88" s="86"/>
      <c r="J88" s="86"/>
      <c r="K88" s="86"/>
      <c r="L88" s="86"/>
      <c r="M88" s="86"/>
      <c r="N88" s="86"/>
      <c r="O88" s="86"/>
      <c r="P88" s="86"/>
      <c r="Q88" s="86"/>
      <c r="R88" s="86"/>
    </row>
    <row r="89" spans="1:18">
      <c r="A89" s="237">
        <v>11</v>
      </c>
      <c r="B89" s="95"/>
      <c r="C89" s="577"/>
      <c r="D89" s="577"/>
      <c r="E89" s="577"/>
      <c r="F89" s="577"/>
      <c r="G89" s="577"/>
      <c r="H89" s="427"/>
      <c r="I89" s="86"/>
      <c r="J89" s="86"/>
      <c r="K89" s="86"/>
      <c r="L89" s="86"/>
      <c r="M89" s="86"/>
      <c r="N89" s="86"/>
      <c r="O89" s="86"/>
      <c r="P89" s="86"/>
      <c r="Q89" s="86"/>
      <c r="R89" s="86"/>
    </row>
    <row r="90" spans="1:18">
      <c r="A90" s="237">
        <v>12</v>
      </c>
      <c r="B90" s="95"/>
      <c r="C90" s="577"/>
      <c r="D90" s="577"/>
      <c r="E90" s="577"/>
      <c r="F90" s="577"/>
      <c r="G90" s="577"/>
      <c r="H90" s="427"/>
      <c r="I90" s="86"/>
      <c r="J90" s="86"/>
      <c r="K90" s="86"/>
      <c r="L90" s="86"/>
      <c r="M90" s="86"/>
      <c r="N90" s="86"/>
      <c r="O90" s="86"/>
      <c r="P90" s="86"/>
      <c r="Q90" s="86"/>
      <c r="R90" s="86"/>
    </row>
    <row r="91" spans="1:18">
      <c r="A91" s="237">
        <v>13</v>
      </c>
      <c r="B91" s="95"/>
      <c r="C91" s="577"/>
      <c r="D91" s="577"/>
      <c r="E91" s="577"/>
      <c r="F91" s="577"/>
      <c r="G91" s="577"/>
      <c r="H91" s="427"/>
      <c r="I91" s="86"/>
      <c r="J91" s="86"/>
      <c r="K91" s="86"/>
      <c r="L91" s="86"/>
      <c r="M91" s="86"/>
      <c r="N91" s="86"/>
      <c r="O91" s="86"/>
      <c r="P91" s="86"/>
      <c r="Q91" s="86"/>
      <c r="R91" s="86"/>
    </row>
    <row r="92" spans="1:18">
      <c r="A92" s="237">
        <v>14</v>
      </c>
      <c r="B92" s="95"/>
      <c r="C92" s="577"/>
      <c r="D92" s="577"/>
      <c r="E92" s="577"/>
      <c r="F92" s="577"/>
      <c r="G92" s="577"/>
      <c r="H92" s="427"/>
      <c r="I92" s="86"/>
      <c r="J92" s="86"/>
      <c r="K92" s="86"/>
      <c r="L92" s="86"/>
      <c r="M92" s="86"/>
      <c r="N92" s="86"/>
      <c r="O92" s="86"/>
      <c r="P92" s="86"/>
      <c r="Q92" s="86"/>
      <c r="R92" s="86"/>
    </row>
    <row r="93" spans="1:18">
      <c r="A93" s="237">
        <v>15</v>
      </c>
      <c r="B93" s="95"/>
      <c r="C93" s="577"/>
      <c r="D93" s="577"/>
      <c r="E93" s="577"/>
      <c r="F93" s="577"/>
      <c r="G93" s="577"/>
      <c r="H93" s="427"/>
      <c r="I93" s="86"/>
      <c r="J93" s="86"/>
      <c r="K93" s="86"/>
      <c r="L93" s="86"/>
      <c r="M93" s="86"/>
      <c r="N93" s="86"/>
      <c r="O93" s="86"/>
      <c r="P93" s="86"/>
      <c r="Q93" s="86"/>
      <c r="R93" s="86"/>
    </row>
    <row r="94" spans="1:18">
      <c r="A94" s="237">
        <v>16</v>
      </c>
      <c r="B94" s="95"/>
      <c r="C94" s="577"/>
      <c r="D94" s="577"/>
      <c r="E94" s="577"/>
      <c r="F94" s="577"/>
      <c r="G94" s="577"/>
      <c r="H94" s="427"/>
      <c r="I94" s="86"/>
      <c r="J94" s="86"/>
      <c r="K94" s="86"/>
      <c r="L94" s="86"/>
      <c r="M94" s="86"/>
      <c r="N94" s="86"/>
      <c r="O94" s="86"/>
      <c r="P94" s="86"/>
      <c r="Q94" s="86"/>
      <c r="R94" s="86"/>
    </row>
    <row r="95" spans="1:18">
      <c r="A95" s="237">
        <v>17</v>
      </c>
      <c r="B95" s="95"/>
      <c r="C95" s="577"/>
      <c r="D95" s="577"/>
      <c r="E95" s="577"/>
      <c r="F95" s="577"/>
      <c r="G95" s="577"/>
      <c r="H95" s="427"/>
      <c r="I95" s="86"/>
      <c r="J95" s="86"/>
      <c r="K95" s="86"/>
      <c r="L95" s="86"/>
      <c r="M95" s="86"/>
      <c r="N95" s="86"/>
      <c r="O95" s="86"/>
      <c r="P95" s="86"/>
      <c r="Q95" s="86"/>
      <c r="R95" s="86"/>
    </row>
    <row r="96" spans="1:18">
      <c r="A96" s="237">
        <v>18</v>
      </c>
      <c r="B96" s="95"/>
      <c r="C96" s="577"/>
      <c r="D96" s="577"/>
      <c r="E96" s="577"/>
      <c r="F96" s="577"/>
      <c r="G96" s="577"/>
      <c r="H96" s="427"/>
      <c r="I96" s="86"/>
      <c r="J96" s="86"/>
      <c r="K96" s="86"/>
      <c r="L96" s="86"/>
      <c r="M96" s="86"/>
      <c r="N96" s="86"/>
      <c r="O96" s="86"/>
      <c r="P96" s="86"/>
      <c r="Q96" s="86"/>
      <c r="R96" s="86"/>
    </row>
    <row r="97" spans="1:18">
      <c r="A97" s="237">
        <v>19</v>
      </c>
      <c r="B97" s="95"/>
      <c r="C97" s="577"/>
      <c r="D97" s="577"/>
      <c r="E97" s="577"/>
      <c r="F97" s="577"/>
      <c r="G97" s="577"/>
      <c r="H97" s="427"/>
      <c r="I97" s="86"/>
      <c r="J97" s="86"/>
      <c r="K97" s="86"/>
      <c r="L97" s="86"/>
      <c r="M97" s="86"/>
      <c r="N97" s="86"/>
      <c r="O97" s="86"/>
      <c r="P97" s="86"/>
      <c r="Q97" s="86"/>
      <c r="R97" s="86"/>
    </row>
    <row r="98" spans="1:18">
      <c r="A98" s="237">
        <v>20</v>
      </c>
      <c r="B98" s="95"/>
      <c r="C98" s="577"/>
      <c r="D98" s="577"/>
      <c r="E98" s="577"/>
      <c r="F98" s="577"/>
      <c r="G98" s="577"/>
      <c r="H98" s="427"/>
      <c r="I98" s="86"/>
      <c r="J98" s="86"/>
      <c r="K98" s="86"/>
      <c r="L98" s="86"/>
      <c r="M98" s="86"/>
      <c r="N98" s="86"/>
      <c r="O98" s="86"/>
      <c r="P98" s="86"/>
      <c r="Q98" s="86"/>
      <c r="R98" s="86"/>
    </row>
    <row r="99" spans="1:18">
      <c r="A99" s="237">
        <v>21</v>
      </c>
      <c r="B99" s="95"/>
      <c r="C99" s="577"/>
      <c r="D99" s="577"/>
      <c r="E99" s="577"/>
      <c r="F99" s="577"/>
      <c r="G99" s="577"/>
      <c r="H99" s="427"/>
      <c r="I99" s="86"/>
      <c r="J99" s="86"/>
      <c r="K99" s="86"/>
      <c r="L99" s="86"/>
      <c r="M99" s="86"/>
      <c r="N99" s="86"/>
      <c r="O99" s="86"/>
      <c r="P99" s="86"/>
      <c r="Q99" s="86"/>
      <c r="R99" s="86"/>
    </row>
    <row r="100" spans="1:18">
      <c r="A100" s="237">
        <v>22</v>
      </c>
      <c r="B100" s="95"/>
      <c r="C100" s="577"/>
      <c r="D100" s="577"/>
      <c r="E100" s="577"/>
      <c r="F100" s="577"/>
      <c r="G100" s="577"/>
      <c r="H100" s="427"/>
      <c r="I100" s="86"/>
      <c r="J100" s="86"/>
      <c r="K100" s="86"/>
      <c r="L100" s="86"/>
      <c r="M100" s="86"/>
      <c r="N100" s="86"/>
      <c r="O100" s="86"/>
      <c r="P100" s="86"/>
      <c r="Q100" s="86"/>
      <c r="R100" s="86"/>
    </row>
    <row r="101" spans="1:18">
      <c r="A101" s="237">
        <v>23</v>
      </c>
      <c r="B101" s="95"/>
      <c r="C101" s="577"/>
      <c r="D101" s="577"/>
      <c r="E101" s="577"/>
      <c r="F101" s="577"/>
      <c r="G101" s="577"/>
      <c r="H101" s="427"/>
      <c r="I101" s="86"/>
      <c r="J101" s="86"/>
      <c r="K101" s="86"/>
      <c r="L101" s="86"/>
      <c r="M101" s="86"/>
      <c r="N101" s="86"/>
      <c r="O101" s="86"/>
      <c r="P101" s="86"/>
      <c r="Q101" s="86"/>
      <c r="R101" s="86"/>
    </row>
    <row r="102" spans="1:18">
      <c r="A102" s="237">
        <v>24</v>
      </c>
      <c r="B102" s="95"/>
      <c r="C102" s="577"/>
      <c r="D102" s="577"/>
      <c r="E102" s="577"/>
      <c r="F102" s="577"/>
      <c r="G102" s="577"/>
      <c r="H102" s="427"/>
      <c r="I102" s="86"/>
      <c r="J102" s="86"/>
      <c r="K102" s="86"/>
      <c r="L102" s="86"/>
      <c r="M102" s="86"/>
      <c r="N102" s="86"/>
      <c r="O102" s="86"/>
      <c r="P102" s="86"/>
      <c r="Q102" s="86"/>
      <c r="R102" s="86"/>
    </row>
    <row r="103" spans="1:18">
      <c r="A103" s="237">
        <v>25</v>
      </c>
      <c r="B103" s="95"/>
      <c r="C103" s="577"/>
      <c r="D103" s="577"/>
      <c r="E103" s="577"/>
      <c r="F103" s="577"/>
      <c r="G103" s="577"/>
      <c r="H103" s="427"/>
      <c r="I103" s="86"/>
      <c r="J103" s="86"/>
      <c r="K103" s="86"/>
      <c r="L103" s="86"/>
      <c r="M103" s="86"/>
      <c r="N103" s="86"/>
      <c r="O103" s="86"/>
      <c r="P103" s="86"/>
      <c r="Q103" s="86"/>
      <c r="R103" s="86"/>
    </row>
    <row r="104" spans="1:18">
      <c r="A104" s="237">
        <v>26</v>
      </c>
      <c r="B104" s="95"/>
      <c r="C104" s="577"/>
      <c r="D104" s="577"/>
      <c r="E104" s="577"/>
      <c r="F104" s="577"/>
      <c r="G104" s="577"/>
      <c r="H104" s="427"/>
      <c r="I104" s="86"/>
      <c r="J104" s="86"/>
      <c r="K104" s="86"/>
      <c r="L104" s="86"/>
      <c r="M104" s="86"/>
      <c r="N104" s="86"/>
      <c r="O104" s="86"/>
      <c r="P104" s="86"/>
      <c r="Q104" s="86"/>
      <c r="R104" s="86"/>
    </row>
    <row r="105" spans="1:18">
      <c r="A105" s="237">
        <v>27</v>
      </c>
      <c r="B105" s="95"/>
      <c r="C105" s="577"/>
      <c r="D105" s="577"/>
      <c r="E105" s="577"/>
      <c r="F105" s="577"/>
      <c r="G105" s="577"/>
      <c r="H105" s="427"/>
      <c r="I105" s="86"/>
      <c r="J105" s="86"/>
      <c r="K105" s="86"/>
      <c r="L105" s="86"/>
      <c r="M105" s="86"/>
      <c r="N105" s="86"/>
      <c r="O105" s="86"/>
      <c r="P105" s="86"/>
      <c r="Q105" s="86"/>
      <c r="R105" s="86"/>
    </row>
    <row r="106" spans="1:18">
      <c r="A106" s="237">
        <v>28</v>
      </c>
      <c r="B106" s="95"/>
      <c r="C106" s="577"/>
      <c r="D106" s="577"/>
      <c r="E106" s="577"/>
      <c r="F106" s="577"/>
      <c r="G106" s="577"/>
      <c r="H106" s="427"/>
      <c r="I106" s="86"/>
      <c r="J106" s="86"/>
      <c r="K106" s="86"/>
      <c r="L106" s="86"/>
      <c r="M106" s="86"/>
      <c r="N106" s="86"/>
      <c r="O106" s="86"/>
      <c r="P106" s="86"/>
      <c r="Q106" s="86"/>
      <c r="R106" s="86"/>
    </row>
    <row r="107" spans="1:18">
      <c r="A107" s="237">
        <v>29</v>
      </c>
      <c r="B107" s="95"/>
      <c r="C107" s="577"/>
      <c r="D107" s="577"/>
      <c r="E107" s="577"/>
      <c r="F107" s="577"/>
      <c r="G107" s="577"/>
      <c r="H107" s="427"/>
      <c r="I107" s="86"/>
      <c r="J107" s="86"/>
      <c r="K107" s="86"/>
      <c r="L107" s="86"/>
      <c r="M107" s="86"/>
      <c r="N107" s="86"/>
      <c r="O107" s="86"/>
      <c r="P107" s="86"/>
      <c r="Q107" s="86"/>
      <c r="R107" s="86"/>
    </row>
    <row r="108" spans="1:18">
      <c r="A108" s="237">
        <v>30</v>
      </c>
      <c r="B108" s="95"/>
      <c r="C108" s="577"/>
      <c r="D108" s="577"/>
      <c r="E108" s="577"/>
      <c r="F108" s="577"/>
      <c r="G108" s="577"/>
      <c r="H108" s="427"/>
      <c r="I108" s="86"/>
      <c r="J108" s="86"/>
      <c r="K108" s="86"/>
      <c r="L108" s="86"/>
      <c r="M108" s="86"/>
      <c r="N108" s="86"/>
      <c r="O108" s="86"/>
      <c r="P108" s="86"/>
      <c r="Q108" s="86"/>
      <c r="R108" s="86"/>
    </row>
    <row r="109" spans="1:18">
      <c r="A109" s="237">
        <v>31</v>
      </c>
      <c r="B109" s="95"/>
      <c r="C109" s="577"/>
      <c r="D109" s="577"/>
      <c r="E109" s="577"/>
      <c r="F109" s="577"/>
      <c r="G109" s="577"/>
      <c r="H109" s="427"/>
      <c r="I109" s="86"/>
      <c r="J109" s="86"/>
      <c r="K109" s="86"/>
      <c r="L109" s="86"/>
      <c r="M109" s="86"/>
      <c r="N109" s="86"/>
      <c r="O109" s="86"/>
      <c r="P109" s="86"/>
      <c r="Q109" s="86"/>
      <c r="R109" s="86"/>
    </row>
    <row r="110" spans="1:18">
      <c r="A110" s="237">
        <v>32</v>
      </c>
      <c r="B110" s="95"/>
      <c r="C110" s="577"/>
      <c r="D110" s="577"/>
      <c r="E110" s="577"/>
      <c r="F110" s="577"/>
      <c r="G110" s="577"/>
      <c r="H110" s="427"/>
      <c r="I110" s="86"/>
      <c r="J110" s="86"/>
      <c r="K110" s="86"/>
      <c r="L110" s="86"/>
      <c r="M110" s="86"/>
      <c r="N110" s="86"/>
      <c r="O110" s="86"/>
      <c r="P110" s="86"/>
      <c r="Q110" s="86"/>
      <c r="R110" s="86"/>
    </row>
    <row r="111" spans="1:18">
      <c r="A111" s="237">
        <v>33</v>
      </c>
      <c r="B111" s="95"/>
      <c r="C111" s="577"/>
      <c r="D111" s="577"/>
      <c r="E111" s="577"/>
      <c r="F111" s="577"/>
      <c r="G111" s="577"/>
      <c r="H111" s="427"/>
      <c r="I111" s="86"/>
      <c r="J111" s="86"/>
      <c r="K111" s="86"/>
      <c r="L111" s="86"/>
      <c r="M111" s="86"/>
      <c r="N111" s="86"/>
      <c r="O111" s="86"/>
      <c r="P111" s="86"/>
      <c r="Q111" s="86"/>
      <c r="R111" s="86"/>
    </row>
    <row r="112" spans="1:18">
      <c r="A112" s="237">
        <v>34</v>
      </c>
      <c r="B112" s="95"/>
      <c r="C112" s="577"/>
      <c r="D112" s="577"/>
      <c r="E112" s="577"/>
      <c r="F112" s="577"/>
      <c r="G112" s="577"/>
      <c r="H112" s="427"/>
      <c r="I112" s="86"/>
      <c r="J112" s="86"/>
      <c r="K112" s="86"/>
      <c r="L112" s="86"/>
      <c r="M112" s="86"/>
      <c r="N112" s="86"/>
      <c r="O112" s="86"/>
      <c r="P112" s="86"/>
      <c r="Q112" s="86"/>
      <c r="R112" s="86"/>
    </row>
    <row r="113" spans="1:18">
      <c r="A113" s="237">
        <v>35</v>
      </c>
      <c r="B113" s="95"/>
      <c r="C113" s="577"/>
      <c r="D113" s="577"/>
      <c r="E113" s="577"/>
      <c r="F113" s="577"/>
      <c r="G113" s="577"/>
      <c r="H113" s="427"/>
      <c r="I113" s="86"/>
      <c r="J113" s="86"/>
      <c r="K113" s="86"/>
      <c r="L113" s="86"/>
      <c r="M113" s="86"/>
      <c r="N113" s="86"/>
      <c r="O113" s="86"/>
      <c r="P113" s="86"/>
      <c r="Q113" s="86"/>
      <c r="R113" s="86"/>
    </row>
    <row r="114" spans="1:18">
      <c r="A114" s="237">
        <v>36</v>
      </c>
      <c r="B114" s="95"/>
      <c r="C114" s="577"/>
      <c r="D114" s="577"/>
      <c r="E114" s="577"/>
      <c r="F114" s="577"/>
      <c r="G114" s="577"/>
      <c r="H114" s="427"/>
      <c r="I114" s="86"/>
      <c r="J114" s="86"/>
      <c r="K114" s="86"/>
      <c r="L114" s="86"/>
      <c r="M114" s="86"/>
      <c r="N114" s="86"/>
      <c r="O114" s="86"/>
      <c r="P114" s="86"/>
      <c r="Q114" s="86"/>
      <c r="R114" s="86"/>
    </row>
    <row r="115" spans="1:18">
      <c r="A115" s="237">
        <v>37</v>
      </c>
      <c r="B115" s="95"/>
      <c r="C115" s="577"/>
      <c r="D115" s="577"/>
      <c r="E115" s="577"/>
      <c r="F115" s="577"/>
      <c r="G115" s="577"/>
      <c r="H115" s="427"/>
      <c r="I115" s="86"/>
      <c r="J115" s="86"/>
      <c r="K115" s="86"/>
      <c r="L115" s="86"/>
      <c r="M115" s="86"/>
      <c r="N115" s="86"/>
      <c r="O115" s="86"/>
      <c r="P115" s="86"/>
      <c r="Q115" s="86"/>
      <c r="R115" s="86"/>
    </row>
    <row r="116" spans="1:18">
      <c r="A116" s="237">
        <v>38</v>
      </c>
      <c r="B116" s="95"/>
      <c r="C116" s="577"/>
      <c r="D116" s="577"/>
      <c r="E116" s="577"/>
      <c r="F116" s="577"/>
      <c r="G116" s="577"/>
      <c r="H116" s="427"/>
      <c r="I116" s="86"/>
      <c r="J116" s="86"/>
      <c r="K116" s="86"/>
      <c r="L116" s="86"/>
      <c r="M116" s="86"/>
      <c r="N116" s="86"/>
      <c r="O116" s="86"/>
      <c r="P116" s="86"/>
      <c r="Q116" s="86"/>
      <c r="R116" s="86"/>
    </row>
    <row r="117" spans="1:18">
      <c r="A117" s="237">
        <v>39</v>
      </c>
      <c r="B117" s="95"/>
      <c r="C117" s="577"/>
      <c r="D117" s="577"/>
      <c r="E117" s="577"/>
      <c r="F117" s="577"/>
      <c r="G117" s="577"/>
      <c r="H117" s="427"/>
      <c r="I117" s="86"/>
      <c r="J117" s="86"/>
      <c r="K117" s="86"/>
      <c r="L117" s="86"/>
      <c r="M117" s="86"/>
      <c r="N117" s="86"/>
      <c r="O117" s="86"/>
      <c r="P117" s="86"/>
      <c r="Q117" s="86"/>
      <c r="R117" s="86"/>
    </row>
    <row r="118" spans="1:18">
      <c r="A118" s="237">
        <v>40</v>
      </c>
      <c r="B118" s="95"/>
      <c r="C118" s="577"/>
      <c r="D118" s="577"/>
      <c r="E118" s="577"/>
      <c r="F118" s="577"/>
      <c r="G118" s="577"/>
      <c r="H118" s="427"/>
      <c r="I118" s="86"/>
      <c r="J118" s="86"/>
      <c r="K118" s="86"/>
      <c r="L118" s="86"/>
      <c r="M118" s="86"/>
      <c r="N118" s="86"/>
      <c r="O118" s="86"/>
      <c r="P118" s="86"/>
      <c r="Q118" s="86"/>
      <c r="R118" s="86"/>
    </row>
    <row r="119" spans="1:18">
      <c r="A119" s="237">
        <v>41</v>
      </c>
      <c r="B119" s="95"/>
      <c r="C119" s="577"/>
      <c r="D119" s="577"/>
      <c r="E119" s="577"/>
      <c r="F119" s="577"/>
      <c r="G119" s="577"/>
      <c r="H119" s="427"/>
      <c r="I119" s="86"/>
      <c r="J119" s="86"/>
      <c r="K119" s="86"/>
      <c r="L119" s="86"/>
      <c r="M119" s="86"/>
      <c r="N119" s="86"/>
      <c r="O119" s="86"/>
      <c r="P119" s="86"/>
      <c r="Q119" s="86"/>
      <c r="R119" s="86"/>
    </row>
    <row r="120" spans="1:18">
      <c r="A120" s="237">
        <v>42</v>
      </c>
      <c r="B120" s="95"/>
      <c r="C120" s="577"/>
      <c r="D120" s="577"/>
      <c r="E120" s="577"/>
      <c r="F120" s="577"/>
      <c r="G120" s="577"/>
      <c r="H120" s="427"/>
      <c r="I120" s="86"/>
      <c r="J120" s="86"/>
      <c r="K120" s="86"/>
      <c r="L120" s="86"/>
      <c r="M120" s="86"/>
      <c r="N120" s="86"/>
      <c r="O120" s="86"/>
      <c r="P120" s="86"/>
      <c r="Q120" s="86"/>
      <c r="R120" s="86"/>
    </row>
    <row r="121" spans="1:18">
      <c r="A121" s="237">
        <v>43</v>
      </c>
      <c r="B121" s="95"/>
      <c r="C121" s="577"/>
      <c r="D121" s="577"/>
      <c r="E121" s="577"/>
      <c r="F121" s="577"/>
      <c r="G121" s="577"/>
      <c r="H121" s="427"/>
      <c r="I121" s="86"/>
      <c r="J121" s="86"/>
      <c r="K121" s="86"/>
      <c r="L121" s="86"/>
      <c r="M121" s="86"/>
      <c r="N121" s="86"/>
      <c r="O121" s="86"/>
      <c r="P121" s="86"/>
      <c r="Q121" s="86"/>
      <c r="R121" s="86"/>
    </row>
    <row r="122" spans="1:18">
      <c r="A122" s="237">
        <v>44</v>
      </c>
      <c r="B122" s="95"/>
      <c r="C122" s="577"/>
      <c r="D122" s="577"/>
      <c r="E122" s="577"/>
      <c r="F122" s="577"/>
      <c r="G122" s="577"/>
      <c r="H122" s="427"/>
      <c r="I122" s="86"/>
      <c r="J122" s="86"/>
      <c r="K122" s="86"/>
      <c r="L122" s="86"/>
      <c r="M122" s="86"/>
      <c r="N122" s="86"/>
      <c r="O122" s="86"/>
      <c r="P122" s="86"/>
      <c r="Q122" s="86"/>
      <c r="R122" s="86"/>
    </row>
    <row r="123" spans="1:18">
      <c r="A123" s="237">
        <v>45</v>
      </c>
      <c r="B123" s="95"/>
      <c r="C123" s="577"/>
      <c r="D123" s="577"/>
      <c r="E123" s="577"/>
      <c r="F123" s="577"/>
      <c r="G123" s="577"/>
      <c r="H123" s="427"/>
      <c r="I123" s="86"/>
      <c r="J123" s="86"/>
      <c r="K123" s="86"/>
      <c r="L123" s="86"/>
      <c r="M123" s="86"/>
      <c r="N123" s="86"/>
      <c r="O123" s="86"/>
      <c r="P123" s="86"/>
      <c r="Q123" s="86"/>
      <c r="R123" s="86"/>
    </row>
    <row r="124" spans="1:18">
      <c r="A124" s="237">
        <v>46</v>
      </c>
      <c r="B124" s="95"/>
      <c r="C124" s="577"/>
      <c r="D124" s="577"/>
      <c r="E124" s="577"/>
      <c r="F124" s="577"/>
      <c r="G124" s="577"/>
      <c r="H124" s="427"/>
      <c r="I124" s="86"/>
      <c r="J124" s="86"/>
      <c r="K124" s="86"/>
      <c r="L124" s="86"/>
      <c r="M124" s="86"/>
      <c r="N124" s="86"/>
      <c r="O124" s="86"/>
      <c r="P124" s="86"/>
      <c r="Q124" s="86"/>
      <c r="R124" s="86"/>
    </row>
    <row r="125" spans="1:18" ht="15.75" thickBot="1">
      <c r="A125" s="443">
        <v>47</v>
      </c>
      <c r="B125" s="1030" t="s">
        <v>1046</v>
      </c>
      <c r="C125" s="647">
        <f t="shared" ref="C125:H125" si="1">SUM(C79:C124)</f>
        <v>92179.520000000004</v>
      </c>
      <c r="D125" s="720">
        <f t="shared" si="1"/>
        <v>9325</v>
      </c>
      <c r="E125" s="720">
        <f>SUM(E79:E124)</f>
        <v>32</v>
      </c>
      <c r="F125" s="647">
        <f t="shared" si="1"/>
        <v>97297.94</v>
      </c>
      <c r="G125" s="720">
        <f t="shared" si="1"/>
        <v>27238</v>
      </c>
      <c r="H125" s="721">
        <f t="shared" si="1"/>
        <v>7</v>
      </c>
      <c r="I125" s="86"/>
      <c r="J125" s="86"/>
      <c r="K125" s="86"/>
      <c r="L125" s="86"/>
      <c r="M125" s="86"/>
      <c r="N125" s="86"/>
      <c r="O125" s="86"/>
      <c r="P125" s="86"/>
      <c r="Q125" s="86"/>
      <c r="R125" s="86"/>
    </row>
    <row r="126" spans="1:18">
      <c r="A126" s="108" t="s">
        <v>2024</v>
      </c>
      <c r="B126" s="86"/>
      <c r="C126" s="86"/>
      <c r="D126" s="86"/>
      <c r="E126" s="86"/>
      <c r="F126" s="86"/>
      <c r="G126" s="86"/>
      <c r="H126" s="86"/>
      <c r="I126" s="86"/>
      <c r="J126" s="86"/>
      <c r="K126" s="86"/>
      <c r="L126" s="86"/>
      <c r="M126" s="86"/>
      <c r="N126" s="86"/>
      <c r="O126" s="86"/>
      <c r="P126" s="86"/>
      <c r="Q126" s="86"/>
      <c r="R126" s="86"/>
    </row>
    <row r="127" spans="1:18">
      <c r="A127" s="5" t="s">
        <v>1049</v>
      </c>
      <c r="B127" s="5"/>
      <c r="C127" s="5"/>
      <c r="D127" s="5"/>
      <c r="E127" s="5"/>
      <c r="F127" s="5"/>
      <c r="G127" s="5"/>
      <c r="H127" s="5"/>
      <c r="I127" s="86"/>
      <c r="J127" s="86"/>
      <c r="K127" s="86"/>
      <c r="L127" s="86"/>
      <c r="M127" s="86"/>
      <c r="N127" s="86"/>
      <c r="O127" s="86"/>
      <c r="P127" s="86"/>
      <c r="Q127" s="86"/>
      <c r="R127" s="86"/>
    </row>
    <row r="128" spans="1:18">
      <c r="B128" s="86"/>
      <c r="C128" s="86"/>
      <c r="D128" s="86"/>
      <c r="E128" s="86"/>
      <c r="F128" s="86"/>
      <c r="G128" s="86"/>
      <c r="H128" s="86"/>
      <c r="I128" s="86"/>
      <c r="J128" s="86"/>
      <c r="K128" s="86"/>
      <c r="L128" s="86"/>
      <c r="M128" s="86"/>
      <c r="N128" s="86"/>
      <c r="O128" s="86"/>
      <c r="P128" s="86"/>
      <c r="Q128" s="86"/>
      <c r="R128" s="86"/>
    </row>
    <row r="129" spans="2:18">
      <c r="B129" s="86"/>
      <c r="C129" s="86"/>
      <c r="D129" s="86"/>
      <c r="E129" s="86"/>
      <c r="F129" s="86"/>
      <c r="G129" s="86"/>
      <c r="H129" s="86"/>
      <c r="I129" s="86"/>
      <c r="J129" s="86"/>
      <c r="K129" s="86"/>
      <c r="L129" s="86"/>
      <c r="M129" s="86"/>
      <c r="N129" s="86"/>
      <c r="O129" s="86"/>
      <c r="P129" s="86"/>
      <c r="Q129" s="86"/>
      <c r="R129" s="86"/>
    </row>
    <row r="130" spans="2:18">
      <c r="B130" s="86"/>
      <c r="C130" s="86"/>
      <c r="D130" s="86"/>
      <c r="E130" s="86"/>
      <c r="F130" s="86"/>
      <c r="G130" s="86"/>
      <c r="H130" s="86"/>
      <c r="I130" s="86"/>
      <c r="J130" s="86"/>
      <c r="K130" s="86"/>
      <c r="L130" s="86"/>
      <c r="M130" s="86"/>
      <c r="N130" s="86"/>
      <c r="O130" s="86"/>
      <c r="P130" s="86"/>
      <c r="Q130" s="86"/>
      <c r="R130" s="86"/>
    </row>
    <row r="131" spans="2:18">
      <c r="B131" s="108"/>
      <c r="C131" s="108"/>
      <c r="D131" s="86"/>
      <c r="E131" s="86"/>
      <c r="F131" s="86"/>
      <c r="G131" s="86"/>
      <c r="H131" s="86"/>
      <c r="I131" s="86"/>
      <c r="J131" s="86"/>
      <c r="K131" s="86"/>
      <c r="L131" s="86"/>
      <c r="M131" s="86"/>
      <c r="N131" s="86"/>
      <c r="O131" s="86"/>
      <c r="P131" s="86"/>
      <c r="Q131" s="86"/>
      <c r="R131" s="86"/>
    </row>
    <row r="132" spans="2:18">
      <c r="D132" s="86"/>
      <c r="E132" s="86"/>
      <c r="F132" s="86"/>
      <c r="G132" s="86"/>
      <c r="H132" s="86"/>
      <c r="I132" s="86"/>
      <c r="J132" s="86"/>
      <c r="K132" s="86"/>
      <c r="L132" s="86"/>
      <c r="M132" s="86"/>
      <c r="N132" s="86"/>
      <c r="O132" s="86"/>
      <c r="P132" s="86"/>
      <c r="Q132" s="86"/>
      <c r="R132" s="86"/>
    </row>
    <row r="133" spans="2:18">
      <c r="B133" s="86"/>
      <c r="C133" s="86"/>
      <c r="D133" s="86"/>
      <c r="E133" s="86"/>
      <c r="G133" s="86"/>
      <c r="H133" s="86"/>
      <c r="I133" s="86"/>
      <c r="J133" s="86"/>
      <c r="K133" s="86"/>
      <c r="L133" s="86"/>
      <c r="M133" s="86"/>
      <c r="N133" s="86"/>
      <c r="O133" s="86"/>
      <c r="P133" s="86"/>
      <c r="Q133" s="86"/>
      <c r="R133" s="86"/>
    </row>
    <row r="134" spans="2:18">
      <c r="B134" s="108"/>
      <c r="C134" s="108"/>
      <c r="D134" s="86"/>
      <c r="E134" s="86"/>
      <c r="G134" s="86"/>
      <c r="H134" s="86"/>
      <c r="I134" s="86"/>
      <c r="J134" s="86"/>
      <c r="K134" s="86"/>
      <c r="L134" s="86"/>
      <c r="M134" s="86"/>
      <c r="N134" s="86"/>
      <c r="O134" s="86"/>
      <c r="P134" s="86"/>
      <c r="Q134" s="86"/>
      <c r="R134" s="86"/>
    </row>
    <row r="135" spans="2:18">
      <c r="B135" s="108"/>
      <c r="C135" s="108"/>
      <c r="D135" s="86"/>
      <c r="E135" s="86"/>
      <c r="G135" s="86"/>
      <c r="H135" s="86"/>
      <c r="I135" s="86"/>
      <c r="J135" s="86"/>
      <c r="K135" s="86"/>
      <c r="L135" s="86"/>
      <c r="M135" s="86"/>
      <c r="N135" s="86"/>
      <c r="O135" s="86"/>
      <c r="P135" s="86"/>
      <c r="Q135" s="86"/>
      <c r="R135" s="86"/>
    </row>
    <row r="136" spans="2:18">
      <c r="B136" s="108"/>
      <c r="C136" s="108"/>
    </row>
    <row r="137" spans="2:18">
      <c r="B137" s="108"/>
      <c r="C137" s="108"/>
    </row>
    <row r="138" spans="2:18">
      <c r="B138" s="14"/>
      <c r="C138" s="108"/>
    </row>
    <row r="139" spans="2:18">
      <c r="B139" s="108"/>
      <c r="C139" s="108"/>
    </row>
    <row r="140" spans="2:18">
      <c r="B140" s="14"/>
      <c r="C140" s="108"/>
    </row>
    <row r="141" spans="2:18">
      <c r="B141" s="108"/>
      <c r="C141" s="108"/>
    </row>
    <row r="142" spans="2:18">
      <c r="B142" s="14"/>
      <c r="C142" s="108"/>
    </row>
    <row r="143" spans="2:18">
      <c r="B143" s="108"/>
    </row>
  </sheetData>
  <mergeCells count="2">
    <mergeCell ref="A5:H5"/>
    <mergeCell ref="A8:H8"/>
  </mergeCells>
  <phoneticPr fontId="0" type="noConversion"/>
  <pageMargins left="0.4" right="0.4" top="0.3" bottom="0.3" header="0.5" footer="0.5"/>
  <pageSetup scale="66" pageOrder="overThenDown" orientation="portrait" r:id="rId1"/>
  <headerFooter alignWithMargins="0"/>
  <rowBreaks count="1" manualBreakCount="1">
    <brk id="66" max="16383" man="1"/>
  </rowBreaks>
  <colBreaks count="1" manualBreakCount="1">
    <brk id="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ransitionEvaluation="1" codeName="Sheet56">
    <pageSetUpPr fitToPage="1"/>
  </sheetPr>
  <dimension ref="A1:K66"/>
  <sheetViews>
    <sheetView defaultGridColor="0" colorId="22" zoomScaleNormal="100" workbookViewId="0">
      <selection activeCell="F38" sqref="F38"/>
    </sheetView>
  </sheetViews>
  <sheetFormatPr defaultColWidth="9.77734375" defaultRowHeight="15"/>
  <cols>
    <col min="1" max="1" width="4.77734375" customWidth="1"/>
    <col min="2" max="2" width="24.77734375" customWidth="1"/>
    <col min="3" max="3" width="12.77734375" customWidth="1"/>
    <col min="4" max="4" width="13.77734375" customWidth="1"/>
    <col min="5" max="5" width="13.5546875" customWidth="1"/>
    <col min="6" max="6" width="33.6640625" customWidth="1"/>
    <col min="7" max="7" width="12" customWidth="1"/>
    <col min="8" max="8" width="12.5546875" customWidth="1"/>
    <col min="9" max="9" width="13.77734375" customWidth="1"/>
    <col min="11" max="11" width="11.33203125" bestFit="1" customWidth="1"/>
  </cols>
  <sheetData>
    <row r="1" spans="1:10" ht="15.75" thickBot="1">
      <c r="A1" t="str">
        <f>'Data sheet'!A63</f>
        <v>Annual Report of Veolia Water New York, Inc.                                                                             Year Ended  December 31, 2023</v>
      </c>
      <c r="H1" s="16"/>
      <c r="I1" s="4"/>
    </row>
    <row r="2" spans="1:10">
      <c r="A2" s="80"/>
      <c r="B2" s="81"/>
      <c r="C2" s="81"/>
      <c r="D2" s="81"/>
      <c r="E2" s="81"/>
      <c r="F2" s="81"/>
      <c r="G2" s="81"/>
      <c r="H2" s="81"/>
      <c r="I2" s="82"/>
    </row>
    <row r="3" spans="1:10" ht="15.75">
      <c r="A3" s="723" t="s">
        <v>3931</v>
      </c>
      <c r="B3" s="724"/>
      <c r="C3" s="724"/>
      <c r="D3" s="724"/>
      <c r="E3" s="724"/>
      <c r="F3" s="724"/>
      <c r="G3" s="724"/>
      <c r="H3" s="724"/>
      <c r="I3" s="725"/>
    </row>
    <row r="4" spans="1:10">
      <c r="A4" s="123"/>
      <c r="B4" s="224"/>
      <c r="C4" s="224"/>
      <c r="D4" s="224"/>
      <c r="E4" s="224"/>
      <c r="F4" s="224"/>
      <c r="G4" s="224"/>
      <c r="H4" s="224"/>
      <c r="I4" s="225"/>
    </row>
    <row r="5" spans="1:10">
      <c r="A5" s="83"/>
      <c r="I5" s="214"/>
    </row>
    <row r="6" spans="1:10">
      <c r="A6" s="83"/>
      <c r="B6" t="s">
        <v>3932</v>
      </c>
      <c r="I6" s="214"/>
    </row>
    <row r="7" spans="1:10">
      <c r="A7" s="123"/>
      <c r="B7" s="224"/>
      <c r="C7" s="224"/>
      <c r="D7" s="224"/>
      <c r="E7" s="224"/>
      <c r="F7" s="224"/>
      <c r="G7" s="224"/>
      <c r="H7" s="224"/>
      <c r="I7" s="225"/>
    </row>
    <row r="8" spans="1:10">
      <c r="A8" s="595"/>
      <c r="B8" s="238"/>
      <c r="C8" s="726" t="s">
        <v>4304</v>
      </c>
      <c r="D8" s="227"/>
      <c r="E8" s="726" t="s">
        <v>3933</v>
      </c>
      <c r="F8" s="234"/>
      <c r="G8" s="726" t="s">
        <v>4304</v>
      </c>
      <c r="H8" s="227"/>
      <c r="I8" s="727" t="s">
        <v>3933</v>
      </c>
    </row>
    <row r="9" spans="1:10">
      <c r="A9" s="595"/>
      <c r="B9" s="238"/>
      <c r="C9" s="726" t="s">
        <v>2920</v>
      </c>
      <c r="D9" s="726" t="s">
        <v>2921</v>
      </c>
      <c r="E9" s="726" t="s">
        <v>3934</v>
      </c>
      <c r="F9" s="234"/>
      <c r="G9" s="726" t="s">
        <v>2920</v>
      </c>
      <c r="H9" s="726" t="s">
        <v>4142</v>
      </c>
      <c r="I9" s="727" t="s">
        <v>3934</v>
      </c>
    </row>
    <row r="10" spans="1:10">
      <c r="A10" s="595" t="s">
        <v>1727</v>
      </c>
      <c r="B10" s="714" t="s">
        <v>3558</v>
      </c>
      <c r="C10" s="726" t="s">
        <v>698</v>
      </c>
      <c r="D10" s="227"/>
      <c r="E10" s="726" t="s">
        <v>699</v>
      </c>
      <c r="F10" s="479" t="s">
        <v>1002</v>
      </c>
      <c r="G10" s="726"/>
      <c r="H10" s="227"/>
      <c r="I10" s="727" t="s">
        <v>699</v>
      </c>
    </row>
    <row r="11" spans="1:10">
      <c r="A11" s="596" t="s">
        <v>1739</v>
      </c>
      <c r="B11" s="715" t="s">
        <v>3279</v>
      </c>
      <c r="C11" s="861" t="s">
        <v>3280</v>
      </c>
      <c r="D11" s="861" t="s">
        <v>3281</v>
      </c>
      <c r="E11" s="861" t="s">
        <v>3282</v>
      </c>
      <c r="F11" s="567" t="s">
        <v>721</v>
      </c>
      <c r="G11" s="861" t="s">
        <v>722</v>
      </c>
      <c r="H11" s="861" t="s">
        <v>723</v>
      </c>
      <c r="I11" s="823" t="s">
        <v>335</v>
      </c>
    </row>
    <row r="12" spans="1:10">
      <c r="A12" s="595">
        <v>1</v>
      </c>
      <c r="B12" s="2132"/>
      <c r="C12" s="2133"/>
      <c r="D12" s="2134"/>
      <c r="E12" s="2135" t="str">
        <f>IF(ISERR(D12/C12)," ",D12/C12)</f>
        <v xml:space="preserve"> </v>
      </c>
      <c r="F12" s="2136"/>
      <c r="G12" s="2133"/>
      <c r="H12" s="2134"/>
      <c r="I12" s="2137" t="str">
        <f>IF(ISERR(H12/G12)," ",H12/G12)</f>
        <v xml:space="preserve"> </v>
      </c>
    </row>
    <row r="13" spans="1:10">
      <c r="A13" s="595">
        <v>2</v>
      </c>
      <c r="B13" s="2132" t="s">
        <v>5197</v>
      </c>
      <c r="C13" s="2133">
        <v>38174.498491422244</v>
      </c>
      <c r="D13" s="2133">
        <v>334756</v>
      </c>
      <c r="E13" s="2135">
        <v>8.7311972839058765</v>
      </c>
      <c r="F13" s="2136" t="s">
        <v>4533</v>
      </c>
      <c r="G13" s="2133">
        <v>84716.49</v>
      </c>
      <c r="H13" s="2134">
        <v>112764</v>
      </c>
      <c r="I13" s="2137">
        <v>2.1740270931162118</v>
      </c>
    </row>
    <row r="14" spans="1:10">
      <c r="A14" s="595">
        <v>3</v>
      </c>
      <c r="B14" s="2132"/>
      <c r="C14" s="2133"/>
      <c r="D14" s="2133"/>
      <c r="E14" s="2135"/>
      <c r="F14" s="2136"/>
      <c r="G14" s="2133"/>
      <c r="H14" s="2133"/>
      <c r="I14" s="2137" t="s">
        <v>218</v>
      </c>
    </row>
    <row r="15" spans="1:10">
      <c r="A15" s="595">
        <v>4</v>
      </c>
      <c r="B15" s="2132" t="s">
        <v>2294</v>
      </c>
      <c r="C15" s="2133">
        <v>27941.865612926682</v>
      </c>
      <c r="D15" s="2133">
        <v>151350</v>
      </c>
      <c r="E15" s="2135">
        <v>5.0294137560638639</v>
      </c>
      <c r="F15" s="2136" t="s">
        <v>4533</v>
      </c>
      <c r="G15" s="2133">
        <v>182500</v>
      </c>
      <c r="H15" s="2133">
        <v>237707</v>
      </c>
      <c r="I15" s="2137">
        <v>105.21250000000001</v>
      </c>
      <c r="J15" s="86"/>
    </row>
    <row r="16" spans="1:10">
      <c r="A16" s="595">
        <v>5</v>
      </c>
      <c r="B16" s="2132"/>
      <c r="C16" s="2133"/>
      <c r="D16" s="2133"/>
      <c r="E16" s="2135" t="s">
        <v>218</v>
      </c>
      <c r="F16" s="2136"/>
      <c r="G16" s="2133"/>
      <c r="H16" s="2133"/>
      <c r="I16" s="2137" t="s">
        <v>218</v>
      </c>
    </row>
    <row r="17" spans="1:9">
      <c r="A17" s="595">
        <v>6</v>
      </c>
      <c r="B17" s="2132" t="s">
        <v>5085</v>
      </c>
      <c r="C17" s="2133">
        <v>13394</v>
      </c>
      <c r="D17" s="2133">
        <v>50061</v>
      </c>
      <c r="E17" s="2135">
        <v>3.7627233657543542</v>
      </c>
      <c r="F17" s="2136" t="s">
        <v>4835</v>
      </c>
      <c r="G17" s="2133">
        <v>216</v>
      </c>
      <c r="H17" s="2133">
        <v>26373</v>
      </c>
      <c r="I17" s="2137" t="s">
        <v>218</v>
      </c>
    </row>
    <row r="18" spans="1:9">
      <c r="A18" s="595">
        <v>7</v>
      </c>
      <c r="B18" s="2138"/>
      <c r="C18" s="2133"/>
      <c r="D18" s="2133"/>
      <c r="E18" s="2135" t="s">
        <v>218</v>
      </c>
      <c r="F18" s="2136"/>
      <c r="G18" s="2133"/>
      <c r="H18" s="2133"/>
      <c r="I18" s="2137"/>
    </row>
    <row r="19" spans="1:9">
      <c r="A19" s="595">
        <v>8</v>
      </c>
      <c r="B19" s="2132" t="s">
        <v>5086</v>
      </c>
      <c r="C19" s="2133">
        <v>13844</v>
      </c>
      <c r="D19" s="2133">
        <v>47237</v>
      </c>
      <c r="E19" s="2135">
        <v>3.3919639764461378</v>
      </c>
      <c r="F19" s="2136" t="s">
        <v>4534</v>
      </c>
      <c r="G19" s="2133"/>
      <c r="H19" s="2133">
        <v>-63995</v>
      </c>
      <c r="I19" s="2137" t="s">
        <v>218</v>
      </c>
    </row>
    <row r="20" spans="1:9">
      <c r="A20" s="595">
        <v>9</v>
      </c>
      <c r="B20" s="2138"/>
      <c r="C20" s="2133"/>
      <c r="D20" s="2133"/>
      <c r="E20" s="2135" t="s">
        <v>218</v>
      </c>
      <c r="F20" s="2136"/>
      <c r="G20" s="2133"/>
      <c r="H20" s="729"/>
      <c r="I20" s="2137"/>
    </row>
    <row r="21" spans="1:9">
      <c r="A21" s="595">
        <v>10</v>
      </c>
      <c r="B21" s="2132"/>
      <c r="C21" s="2133"/>
      <c r="D21" s="2133"/>
      <c r="E21" s="2135"/>
      <c r="F21" s="2136" t="s">
        <v>5329</v>
      </c>
      <c r="G21" s="2133"/>
      <c r="H21" s="2133">
        <v>10000</v>
      </c>
      <c r="I21" s="2137"/>
    </row>
    <row r="22" spans="1:9">
      <c r="A22" s="595">
        <v>11</v>
      </c>
      <c r="B22" s="728"/>
      <c r="C22" s="729"/>
      <c r="D22" s="729"/>
      <c r="E22" s="730" t="str">
        <f>IF(ISERR(D22/C22)," ",D22/C22)</f>
        <v xml:space="preserve"> </v>
      </c>
      <c r="F22" s="2136"/>
      <c r="G22" s="2133"/>
      <c r="H22" s="2133"/>
      <c r="I22" s="2137"/>
    </row>
    <row r="23" spans="1:9">
      <c r="A23" s="595">
        <v>12</v>
      </c>
      <c r="B23" s="728"/>
      <c r="C23" s="729"/>
      <c r="D23" s="729"/>
      <c r="E23" s="730" t="str">
        <f>IF(ISERR(D23/C23)," ",D23/C23)</f>
        <v xml:space="preserve"> </v>
      </c>
      <c r="F23" s="2136"/>
      <c r="G23" s="2133"/>
      <c r="H23" s="2133"/>
      <c r="I23" s="2137"/>
    </row>
    <row r="24" spans="1:9">
      <c r="A24" s="595">
        <v>13</v>
      </c>
      <c r="B24" s="728"/>
      <c r="C24" s="729"/>
      <c r="D24" s="729"/>
      <c r="E24" s="730" t="str">
        <f>IF(ISERR(D24/C24)," ",D24/C24)</f>
        <v xml:space="preserve"> </v>
      </c>
      <c r="F24" s="2136"/>
      <c r="G24" s="2133"/>
      <c r="H24" s="2133"/>
      <c r="I24" s="2137"/>
    </row>
    <row r="25" spans="1:9">
      <c r="A25" s="595">
        <v>14</v>
      </c>
      <c r="B25" s="728"/>
      <c r="C25" s="729"/>
      <c r="D25" s="729"/>
      <c r="E25" s="730" t="str">
        <f t="shared" ref="E25:E44" si="0">IF(ISERR(D25/C25)," ",D25/C25)</f>
        <v xml:space="preserve"> </v>
      </c>
      <c r="F25" s="2136"/>
      <c r="G25" s="2133"/>
      <c r="H25" s="2133"/>
      <c r="I25" s="2137"/>
    </row>
    <row r="26" spans="1:9">
      <c r="A26" s="595">
        <v>15</v>
      </c>
      <c r="B26" s="728"/>
      <c r="C26" s="729"/>
      <c r="D26" s="729"/>
      <c r="E26" s="730" t="str">
        <f t="shared" si="0"/>
        <v xml:space="preserve"> </v>
      </c>
      <c r="F26" s="2136"/>
      <c r="G26" s="2133"/>
      <c r="H26" s="2133"/>
      <c r="I26" s="2137"/>
    </row>
    <row r="27" spans="1:9">
      <c r="A27" s="595">
        <v>16</v>
      </c>
      <c r="B27" s="728"/>
      <c r="C27" s="729"/>
      <c r="D27" s="729"/>
      <c r="E27" s="730" t="str">
        <f t="shared" si="0"/>
        <v xml:space="preserve"> </v>
      </c>
      <c r="F27" s="2136"/>
      <c r="G27" s="2133"/>
      <c r="H27" s="2133"/>
      <c r="I27" s="2137"/>
    </row>
    <row r="28" spans="1:9">
      <c r="A28" s="595">
        <v>17</v>
      </c>
      <c r="B28" s="728"/>
      <c r="C28" s="729"/>
      <c r="D28" s="729"/>
      <c r="E28" s="730" t="str">
        <f t="shared" si="0"/>
        <v xml:space="preserve"> </v>
      </c>
      <c r="F28" s="2136"/>
      <c r="G28" s="2133"/>
      <c r="H28" s="2133"/>
      <c r="I28" s="2137"/>
    </row>
    <row r="29" spans="1:9">
      <c r="A29" s="595">
        <v>18</v>
      </c>
      <c r="B29" s="728"/>
      <c r="C29" s="729"/>
      <c r="D29" s="729"/>
      <c r="E29" s="730" t="str">
        <f t="shared" si="0"/>
        <v xml:space="preserve"> </v>
      </c>
      <c r="F29" s="2136"/>
      <c r="G29" s="2133"/>
      <c r="H29" s="2133"/>
      <c r="I29" s="2137"/>
    </row>
    <row r="30" spans="1:9">
      <c r="A30" s="595">
        <v>19</v>
      </c>
      <c r="B30" s="728"/>
      <c r="C30" s="729"/>
      <c r="D30" s="729"/>
      <c r="E30" s="730" t="str">
        <f t="shared" si="0"/>
        <v xml:space="preserve"> </v>
      </c>
      <c r="F30" s="2136"/>
      <c r="G30" s="2133"/>
      <c r="H30" s="2133"/>
      <c r="I30" s="2137"/>
    </row>
    <row r="31" spans="1:9">
      <c r="A31" s="595">
        <v>20</v>
      </c>
      <c r="B31" s="728"/>
      <c r="C31" s="729"/>
      <c r="D31" s="729"/>
      <c r="E31" s="730" t="str">
        <f t="shared" si="0"/>
        <v xml:space="preserve"> </v>
      </c>
      <c r="F31" s="2136"/>
      <c r="G31" s="2133"/>
      <c r="H31" s="2133"/>
      <c r="I31" s="2137"/>
    </row>
    <row r="32" spans="1:9">
      <c r="A32" s="595">
        <v>21</v>
      </c>
      <c r="B32" s="728"/>
      <c r="C32" s="729"/>
      <c r="D32" s="729"/>
      <c r="E32" s="730" t="str">
        <f t="shared" si="0"/>
        <v xml:space="preserve"> </v>
      </c>
      <c r="F32" s="2136"/>
      <c r="G32" s="2133"/>
      <c r="H32" s="2133"/>
      <c r="I32" s="2137" t="s">
        <v>218</v>
      </c>
    </row>
    <row r="33" spans="1:11">
      <c r="A33" s="595">
        <v>22</v>
      </c>
      <c r="B33" s="728"/>
      <c r="C33" s="729"/>
      <c r="D33" s="729"/>
      <c r="E33" s="730" t="str">
        <f t="shared" si="0"/>
        <v xml:space="preserve"> </v>
      </c>
      <c r="F33" s="731"/>
      <c r="G33" s="2133"/>
      <c r="H33" s="729"/>
      <c r="I33" s="2137" t="str">
        <f t="shared" ref="I33:I44" si="1">IF(ISERR(H33/G33)," ",H33/G33)</f>
        <v xml:space="preserve"> </v>
      </c>
    </row>
    <row r="34" spans="1:11">
      <c r="A34" s="595">
        <v>23</v>
      </c>
      <c r="B34" s="728"/>
      <c r="C34" s="729"/>
      <c r="D34" s="729"/>
      <c r="E34" s="730" t="str">
        <f t="shared" si="0"/>
        <v xml:space="preserve"> </v>
      </c>
      <c r="F34" s="731"/>
      <c r="G34" s="729"/>
      <c r="H34" s="729"/>
      <c r="I34" s="732" t="str">
        <f t="shared" si="1"/>
        <v xml:space="preserve"> </v>
      </c>
    </row>
    <row r="35" spans="1:11">
      <c r="A35" s="595">
        <v>24</v>
      </c>
      <c r="B35" s="728"/>
      <c r="C35" s="729"/>
      <c r="D35" s="729"/>
      <c r="E35" s="730" t="str">
        <f t="shared" si="0"/>
        <v xml:space="preserve"> </v>
      </c>
      <c r="F35" s="731"/>
      <c r="G35" s="729"/>
      <c r="H35" s="729"/>
      <c r="I35" s="732" t="str">
        <f t="shared" si="1"/>
        <v xml:space="preserve"> </v>
      </c>
    </row>
    <row r="36" spans="1:11">
      <c r="A36" s="595">
        <v>25</v>
      </c>
      <c r="B36" s="728"/>
      <c r="C36" s="729"/>
      <c r="D36" s="729"/>
      <c r="E36" s="730" t="str">
        <f t="shared" si="0"/>
        <v xml:space="preserve"> </v>
      </c>
      <c r="F36" s="731"/>
      <c r="G36" s="729"/>
      <c r="H36" s="729"/>
      <c r="I36" s="732" t="str">
        <f t="shared" si="1"/>
        <v xml:space="preserve"> </v>
      </c>
    </row>
    <row r="37" spans="1:11">
      <c r="A37" s="595">
        <v>26</v>
      </c>
      <c r="B37" s="728"/>
      <c r="C37" s="729"/>
      <c r="D37" s="729"/>
      <c r="E37" s="730" t="str">
        <f t="shared" si="0"/>
        <v xml:space="preserve"> </v>
      </c>
      <c r="F37" s="731"/>
      <c r="G37" s="729"/>
      <c r="H37" s="729"/>
      <c r="I37" s="732" t="str">
        <f t="shared" si="1"/>
        <v xml:space="preserve"> </v>
      </c>
    </row>
    <row r="38" spans="1:11">
      <c r="A38" s="595">
        <v>27</v>
      </c>
      <c r="B38" s="728"/>
      <c r="C38" s="729"/>
      <c r="D38" s="729"/>
      <c r="E38" s="730" t="str">
        <f t="shared" si="0"/>
        <v xml:space="preserve"> </v>
      </c>
      <c r="F38" s="731"/>
      <c r="G38" s="729"/>
      <c r="H38" s="729"/>
      <c r="I38" s="732" t="str">
        <f t="shared" si="1"/>
        <v xml:space="preserve"> </v>
      </c>
    </row>
    <row r="39" spans="1:11">
      <c r="A39" s="595">
        <v>28</v>
      </c>
      <c r="B39" s="728"/>
      <c r="C39" s="729"/>
      <c r="D39" s="729"/>
      <c r="E39" s="730" t="str">
        <f t="shared" si="0"/>
        <v xml:space="preserve"> </v>
      </c>
      <c r="F39" s="731"/>
      <c r="G39" s="729"/>
      <c r="H39" s="729"/>
      <c r="I39" s="732" t="str">
        <f t="shared" si="1"/>
        <v xml:space="preserve"> </v>
      </c>
    </row>
    <row r="40" spans="1:11">
      <c r="A40" s="595">
        <v>29</v>
      </c>
      <c r="B40" s="728"/>
      <c r="C40" s="729"/>
      <c r="D40" s="729"/>
      <c r="E40" s="730" t="str">
        <f t="shared" si="0"/>
        <v xml:space="preserve"> </v>
      </c>
      <c r="F40" s="731"/>
      <c r="G40" s="729"/>
      <c r="H40" s="729"/>
      <c r="I40" s="732" t="str">
        <f t="shared" si="1"/>
        <v xml:space="preserve"> </v>
      </c>
    </row>
    <row r="41" spans="1:11">
      <c r="A41" s="595">
        <v>30</v>
      </c>
      <c r="B41" s="728"/>
      <c r="C41" s="729"/>
      <c r="D41" s="729"/>
      <c r="E41" s="730" t="str">
        <f t="shared" si="0"/>
        <v xml:space="preserve"> </v>
      </c>
      <c r="F41" s="731"/>
      <c r="G41" s="729"/>
      <c r="H41" s="729"/>
      <c r="I41" s="732" t="str">
        <f t="shared" si="1"/>
        <v xml:space="preserve"> </v>
      </c>
    </row>
    <row r="42" spans="1:11">
      <c r="A42" s="595">
        <v>31</v>
      </c>
      <c r="B42" s="728"/>
      <c r="C42" s="729"/>
      <c r="D42" s="729"/>
      <c r="E42" s="730" t="str">
        <f t="shared" si="0"/>
        <v xml:space="preserve"> </v>
      </c>
      <c r="F42" s="731"/>
      <c r="G42" s="729"/>
      <c r="H42" s="729"/>
      <c r="I42" s="732" t="str">
        <f t="shared" si="1"/>
        <v xml:space="preserve"> </v>
      </c>
    </row>
    <row r="43" spans="1:11">
      <c r="A43" s="595">
        <v>32</v>
      </c>
      <c r="B43" s="728"/>
      <c r="C43" s="729"/>
      <c r="D43" s="729"/>
      <c r="E43" s="730" t="str">
        <f t="shared" si="0"/>
        <v xml:space="preserve"> </v>
      </c>
      <c r="F43" s="731"/>
      <c r="G43" s="729"/>
      <c r="H43" s="729"/>
      <c r="I43" s="732" t="str">
        <f t="shared" si="1"/>
        <v xml:space="preserve"> </v>
      </c>
    </row>
    <row r="44" spans="1:11" s="86" customFormat="1" ht="15.75" thickBot="1">
      <c r="A44" s="437">
        <v>33</v>
      </c>
      <c r="B44" s="2141" t="s">
        <v>4232</v>
      </c>
      <c r="C44" s="2142">
        <f>SUM(C12:C43)</f>
        <v>93354.364104348933</v>
      </c>
      <c r="D44" s="2143">
        <f>SUM(D12:D43)</f>
        <v>583404</v>
      </c>
      <c r="E44" s="2144">
        <f t="shared" si="0"/>
        <v>6.2493489789924244</v>
      </c>
      <c r="F44" s="2145" t="s">
        <v>4232</v>
      </c>
      <c r="G44" s="2142">
        <f>SUM(G12:G43)</f>
        <v>267432.49</v>
      </c>
      <c r="H44" s="2143">
        <f>SUM(H12:H43)</f>
        <v>322849</v>
      </c>
      <c r="I44" s="2146">
        <f t="shared" si="1"/>
        <v>1.2072168194672233</v>
      </c>
      <c r="J44" s="86" t="str">
        <f>+IF(ROUND(H44,0)=ROUND('307309'!D15,0), "ok", "error")</f>
        <v>ok</v>
      </c>
      <c r="K44" t="str">
        <f>IF(D44='300'!D30,"ok","error")</f>
        <v>ok</v>
      </c>
    </row>
    <row r="45" spans="1:11">
      <c r="A45" t="s">
        <v>2024</v>
      </c>
      <c r="F45" s="140"/>
      <c r="G45" s="140"/>
      <c r="H45" s="140"/>
      <c r="I45" s="198"/>
    </row>
    <row r="46" spans="1:11">
      <c r="A46" s="4" t="s">
        <v>1004</v>
      </c>
      <c r="B46" s="4"/>
      <c r="C46" s="4"/>
      <c r="D46" s="4"/>
      <c r="E46" s="4"/>
      <c r="F46" s="734"/>
      <c r="G46" s="734"/>
      <c r="H46" s="1857"/>
      <c r="I46" s="735"/>
    </row>
    <row r="47" spans="1:11">
      <c r="H47" s="1605"/>
    </row>
    <row r="48" spans="1:11">
      <c r="H48" s="1605"/>
    </row>
    <row r="49" spans="2:4">
      <c r="D49" s="136"/>
    </row>
    <row r="50" spans="2:4">
      <c r="B50" s="108"/>
    </row>
    <row r="53" spans="2:4">
      <c r="B53" s="108"/>
    </row>
    <row r="54" spans="2:4">
      <c r="B54" s="108"/>
    </row>
    <row r="55" spans="2:4">
      <c r="B55" s="108"/>
    </row>
    <row r="56" spans="2:4">
      <c r="B56" s="108"/>
    </row>
    <row r="57" spans="2:4">
      <c r="B57" s="14"/>
    </row>
    <row r="58" spans="2:4">
      <c r="B58" s="108"/>
    </row>
    <row r="59" spans="2:4">
      <c r="B59" s="108"/>
    </row>
    <row r="62" spans="2:4">
      <c r="B62" s="108"/>
    </row>
    <row r="63" spans="2:4">
      <c r="B63" s="108"/>
    </row>
    <row r="64" spans="2:4">
      <c r="B64" s="108"/>
    </row>
    <row r="65" spans="2:2">
      <c r="B65" s="108"/>
    </row>
    <row r="66" spans="2:2">
      <c r="B66" s="108"/>
    </row>
  </sheetData>
  <phoneticPr fontId="0" type="noConversion"/>
  <pageMargins left="0.4" right="0.4" top="0.3" bottom="0.3" header="0.5" footer="0.5"/>
  <pageSetup scale="67"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ransitionEvaluation="1" codeName="Sheet57">
    <pageSetUpPr fitToPage="1"/>
  </sheetPr>
  <dimension ref="A1:F80"/>
  <sheetViews>
    <sheetView defaultGridColor="0" colorId="22" zoomScaleNormal="100" workbookViewId="0">
      <selection activeCell="K42" sqref="K42"/>
    </sheetView>
  </sheetViews>
  <sheetFormatPr defaultColWidth="9.77734375" defaultRowHeight="15"/>
  <cols>
    <col min="1" max="1" width="4.77734375" customWidth="1"/>
    <col min="2" max="3" width="30.77734375" customWidth="1"/>
    <col min="4" max="4" width="12.77734375" customWidth="1"/>
    <col min="5" max="5" width="14.77734375" customWidth="1"/>
    <col min="7" max="7" width="11.88671875" bestFit="1" customWidth="1"/>
  </cols>
  <sheetData>
    <row r="1" spans="1:5" ht="15.75" thickBot="1">
      <c r="A1" t="str">
        <f>'Data sheet'!A55</f>
        <v>Annual Report of Veolia Water New York, Inc.                                  Year Ended  December 31, 2023</v>
      </c>
      <c r="D1" s="16"/>
      <c r="E1" s="4"/>
    </row>
    <row r="2" spans="1:5">
      <c r="A2" s="736"/>
      <c r="B2" s="737"/>
      <c r="C2" s="737"/>
      <c r="D2" s="737"/>
      <c r="E2" s="738"/>
    </row>
    <row r="3" spans="1:5" ht="15.75">
      <c r="A3" s="723" t="s">
        <v>4140</v>
      </c>
      <c r="B3" s="724"/>
      <c r="C3" s="724"/>
      <c r="D3" s="724"/>
      <c r="E3" s="725"/>
    </row>
    <row r="4" spans="1:5">
      <c r="A4" s="739"/>
      <c r="B4" s="740"/>
      <c r="C4" s="740"/>
      <c r="D4" s="740"/>
      <c r="E4" s="741"/>
    </row>
    <row r="5" spans="1:5">
      <c r="A5" s="742"/>
      <c r="B5" s="14"/>
      <c r="C5" s="14"/>
      <c r="D5" s="14"/>
      <c r="E5" s="743"/>
    </row>
    <row r="6" spans="1:5">
      <c r="A6" s="742"/>
      <c r="B6" s="14" t="s">
        <v>621</v>
      </c>
      <c r="C6" s="14"/>
      <c r="D6" s="14"/>
      <c r="E6" s="743"/>
    </row>
    <row r="7" spans="1:5">
      <c r="A7" s="742"/>
      <c r="B7" s="14" t="s">
        <v>1371</v>
      </c>
      <c r="C7" s="14"/>
      <c r="D7" s="14"/>
      <c r="E7" s="743"/>
    </row>
    <row r="8" spans="1:5">
      <c r="A8" s="742"/>
      <c r="B8" s="14"/>
      <c r="C8" s="14"/>
      <c r="D8" s="14"/>
      <c r="E8" s="743"/>
    </row>
    <row r="9" spans="1:5">
      <c r="A9" s="742"/>
      <c r="B9" s="14" t="s">
        <v>1372</v>
      </c>
      <c r="C9" s="14"/>
      <c r="D9" s="14"/>
      <c r="E9" s="743"/>
    </row>
    <row r="10" spans="1:5">
      <c r="A10" s="742"/>
      <c r="B10" s="14"/>
      <c r="C10" s="14"/>
      <c r="D10" s="14"/>
      <c r="E10" s="743"/>
    </row>
    <row r="11" spans="1:5">
      <c r="A11" s="742"/>
      <c r="B11" s="14" t="s">
        <v>1373</v>
      </c>
      <c r="C11" s="14"/>
      <c r="D11" s="14"/>
      <c r="E11" s="743"/>
    </row>
    <row r="12" spans="1:5">
      <c r="A12" s="742"/>
      <c r="B12" s="14"/>
      <c r="C12" s="14"/>
      <c r="D12" s="14"/>
      <c r="E12" s="743"/>
    </row>
    <row r="13" spans="1:5">
      <c r="A13" s="744"/>
      <c r="B13" s="745"/>
      <c r="C13" s="745"/>
      <c r="D13" s="745"/>
      <c r="E13" s="746"/>
    </row>
    <row r="14" spans="1:5">
      <c r="A14" s="747"/>
      <c r="B14" s="14"/>
      <c r="C14" s="14"/>
      <c r="D14" s="14"/>
      <c r="E14" s="1031" t="s">
        <v>403</v>
      </c>
    </row>
    <row r="15" spans="1:5">
      <c r="A15" s="748" t="s">
        <v>3963</v>
      </c>
      <c r="B15" s="16" t="s">
        <v>1374</v>
      </c>
      <c r="C15" s="16"/>
      <c r="D15" s="16"/>
      <c r="E15" s="1031" t="s">
        <v>1375</v>
      </c>
    </row>
    <row r="16" spans="1:5">
      <c r="A16" s="749" t="s">
        <v>1690</v>
      </c>
      <c r="B16" s="750" t="s">
        <v>3279</v>
      </c>
      <c r="C16" s="750"/>
      <c r="D16" s="750"/>
      <c r="E16" s="1032" t="s">
        <v>3280</v>
      </c>
    </row>
    <row r="17" spans="1:5">
      <c r="A17" s="748">
        <v>1</v>
      </c>
      <c r="B17" s="14" t="s">
        <v>4641</v>
      </c>
      <c r="C17" s="14"/>
      <c r="D17" s="14"/>
      <c r="E17" s="751">
        <v>6247</v>
      </c>
    </row>
    <row r="18" spans="1:5">
      <c r="A18" s="748">
        <v>2</v>
      </c>
      <c r="B18" s="14" t="s">
        <v>4642</v>
      </c>
      <c r="C18" s="14"/>
      <c r="D18" s="14"/>
      <c r="E18" s="752">
        <v>26325</v>
      </c>
    </row>
    <row r="19" spans="1:5">
      <c r="A19" s="748">
        <v>3</v>
      </c>
      <c r="B19" s="14" t="s">
        <v>4560</v>
      </c>
      <c r="C19" s="14"/>
      <c r="D19" s="14"/>
      <c r="E19" s="752">
        <v>22968</v>
      </c>
    </row>
    <row r="20" spans="1:5">
      <c r="A20" s="748">
        <v>4</v>
      </c>
      <c r="B20" s="14" t="s">
        <v>4643</v>
      </c>
      <c r="C20" s="14"/>
      <c r="D20" s="14"/>
      <c r="E20" s="752">
        <v>-12700</v>
      </c>
    </row>
    <row r="21" spans="1:5">
      <c r="A21" s="748">
        <v>5</v>
      </c>
      <c r="B21" s="14" t="s">
        <v>4644</v>
      </c>
      <c r="C21" s="14"/>
      <c r="D21" s="14"/>
      <c r="E21" s="752">
        <v>15411</v>
      </c>
    </row>
    <row r="22" spans="1:5">
      <c r="A22" s="748">
        <v>6</v>
      </c>
      <c r="B22" s="14" t="s">
        <v>4561</v>
      </c>
      <c r="C22" s="14"/>
      <c r="D22" s="14"/>
      <c r="E22" s="752">
        <v>2469</v>
      </c>
    </row>
    <row r="23" spans="1:5">
      <c r="A23" s="748">
        <v>7</v>
      </c>
      <c r="B23" s="14" t="s">
        <v>4661</v>
      </c>
      <c r="C23" s="14"/>
      <c r="D23" s="14"/>
      <c r="E23" s="752">
        <v>3000</v>
      </c>
    </row>
    <row r="24" spans="1:5">
      <c r="A24" s="748">
        <v>8</v>
      </c>
      <c r="B24" s="14" t="s">
        <v>4562</v>
      </c>
      <c r="C24" s="14"/>
      <c r="D24" s="14"/>
      <c r="E24" s="752">
        <v>178385</v>
      </c>
    </row>
    <row r="25" spans="1:5">
      <c r="A25" s="748">
        <v>9</v>
      </c>
      <c r="B25" s="14" t="s">
        <v>5084</v>
      </c>
      <c r="C25" s="14"/>
      <c r="D25" s="14"/>
      <c r="E25" s="752">
        <v>1469</v>
      </c>
    </row>
    <row r="26" spans="1:5">
      <c r="A26" s="748">
        <v>10</v>
      </c>
      <c r="B26" s="14"/>
      <c r="C26" s="14"/>
      <c r="D26" s="14"/>
      <c r="E26" s="752"/>
    </row>
    <row r="27" spans="1:5">
      <c r="A27" s="748">
        <v>11</v>
      </c>
      <c r="B27" s="14"/>
      <c r="C27" s="14"/>
      <c r="D27" s="14"/>
      <c r="E27" s="752"/>
    </row>
    <row r="28" spans="1:5">
      <c r="A28" s="748">
        <v>12</v>
      </c>
      <c r="B28" s="14"/>
      <c r="C28" s="14"/>
      <c r="D28" s="14"/>
      <c r="E28" s="752"/>
    </row>
    <row r="29" spans="1:5">
      <c r="A29" s="748">
        <v>13</v>
      </c>
      <c r="B29" s="14"/>
      <c r="C29" s="14"/>
      <c r="D29" s="14"/>
      <c r="E29" s="752"/>
    </row>
    <row r="30" spans="1:5">
      <c r="A30" s="748">
        <v>14</v>
      </c>
      <c r="B30" s="14"/>
      <c r="C30" s="14"/>
      <c r="D30" s="14"/>
      <c r="E30" s="752"/>
    </row>
    <row r="31" spans="1:5">
      <c r="A31" s="748">
        <v>15</v>
      </c>
      <c r="B31" s="14"/>
      <c r="C31" s="14"/>
      <c r="D31" s="14"/>
      <c r="E31" s="752"/>
    </row>
    <row r="32" spans="1:5">
      <c r="A32" s="748">
        <v>16</v>
      </c>
      <c r="B32" s="14"/>
      <c r="C32" s="14"/>
      <c r="D32" s="14"/>
      <c r="E32" s="752"/>
    </row>
    <row r="33" spans="1:6">
      <c r="A33" s="748">
        <v>17</v>
      </c>
      <c r="B33" s="14"/>
      <c r="C33" s="14"/>
      <c r="D33" s="14"/>
      <c r="E33" s="752"/>
    </row>
    <row r="34" spans="1:6">
      <c r="A34" s="748">
        <v>18</v>
      </c>
      <c r="B34" s="14"/>
      <c r="C34" s="14"/>
      <c r="D34" s="14"/>
      <c r="E34" s="752"/>
    </row>
    <row r="35" spans="1:6">
      <c r="A35" s="748">
        <v>19</v>
      </c>
      <c r="B35" s="753" t="s">
        <v>1376</v>
      </c>
      <c r="C35" s="753"/>
      <c r="D35" s="753"/>
      <c r="E35" s="754">
        <f>SUM(E17:E34)</f>
        <v>243574</v>
      </c>
      <c r="F35" s="136" t="str">
        <f>IF(E35='300'!D36,"ok","error")</f>
        <v>ok</v>
      </c>
    </row>
    <row r="36" spans="1:6">
      <c r="A36" s="748">
        <v>20</v>
      </c>
      <c r="B36" s="755"/>
      <c r="C36" s="755"/>
      <c r="D36" s="755"/>
      <c r="E36" s="756"/>
    </row>
    <row r="37" spans="1:6">
      <c r="A37" s="748">
        <v>21</v>
      </c>
      <c r="B37" s="14" t="s">
        <v>4535</v>
      </c>
      <c r="C37" s="14"/>
      <c r="D37" s="14"/>
      <c r="E37" s="751">
        <v>-2186567</v>
      </c>
    </row>
    <row r="38" spans="1:6">
      <c r="A38" s="748">
        <v>22</v>
      </c>
      <c r="B38" s="14" t="s">
        <v>4536</v>
      </c>
      <c r="C38" s="14"/>
      <c r="D38" s="14"/>
      <c r="E38" s="752">
        <v>1991090</v>
      </c>
    </row>
    <row r="39" spans="1:6">
      <c r="A39" s="748">
        <v>23</v>
      </c>
      <c r="B39" s="14" t="s">
        <v>4537</v>
      </c>
      <c r="C39" s="14"/>
      <c r="D39" s="14"/>
      <c r="E39" s="752">
        <v>283425</v>
      </c>
    </row>
    <row r="40" spans="1:6">
      <c r="A40" s="748">
        <v>24</v>
      </c>
      <c r="B40" s="14" t="s">
        <v>4538</v>
      </c>
      <c r="C40" s="14"/>
      <c r="D40" s="14"/>
      <c r="E40" s="752">
        <v>-613373</v>
      </c>
    </row>
    <row r="41" spans="1:6">
      <c r="A41" s="748">
        <v>25</v>
      </c>
      <c r="B41" s="14" t="s">
        <v>4689</v>
      </c>
      <c r="C41" s="14"/>
      <c r="D41" s="14"/>
      <c r="E41" s="752">
        <v>106625</v>
      </c>
    </row>
    <row r="42" spans="1:6">
      <c r="A42" s="748">
        <v>26</v>
      </c>
      <c r="B42" s="14" t="s">
        <v>4608</v>
      </c>
      <c r="C42" s="14"/>
      <c r="D42" s="14"/>
      <c r="E42" s="752">
        <v>11719</v>
      </c>
    </row>
    <row r="43" spans="1:6">
      <c r="A43" s="748">
        <v>27</v>
      </c>
      <c r="B43" s="14" t="s">
        <v>4693</v>
      </c>
      <c r="C43" s="14"/>
      <c r="D43" s="14"/>
      <c r="E43" s="752">
        <v>419631</v>
      </c>
    </row>
    <row r="44" spans="1:6">
      <c r="A44" s="748">
        <v>28</v>
      </c>
      <c r="B44" s="14"/>
      <c r="C44" s="14"/>
      <c r="D44" s="14"/>
      <c r="E44" s="752"/>
    </row>
    <row r="45" spans="1:6">
      <c r="A45" s="748">
        <v>29</v>
      </c>
      <c r="B45" s="14"/>
      <c r="C45" s="14"/>
      <c r="D45" s="14"/>
      <c r="E45" s="752"/>
    </row>
    <row r="46" spans="1:6">
      <c r="A46" s="748">
        <v>30</v>
      </c>
      <c r="B46" s="14"/>
      <c r="C46" s="14"/>
      <c r="D46" s="14"/>
      <c r="E46" s="752"/>
    </row>
    <row r="47" spans="1:6">
      <c r="A47" s="748">
        <v>31</v>
      </c>
      <c r="B47" s="14"/>
      <c r="C47" s="14"/>
      <c r="D47" s="14"/>
      <c r="E47" s="752"/>
      <c r="F47" s="86"/>
    </row>
    <row r="48" spans="1:6">
      <c r="A48" s="748">
        <v>32</v>
      </c>
      <c r="B48" s="14"/>
      <c r="C48" s="14"/>
      <c r="D48" s="14"/>
      <c r="E48" s="752"/>
    </row>
    <row r="49" spans="1:6">
      <c r="A49" s="748">
        <v>33</v>
      </c>
      <c r="B49" s="14"/>
      <c r="C49" s="14"/>
      <c r="D49" s="14"/>
      <c r="E49" s="752"/>
    </row>
    <row r="50" spans="1:6">
      <c r="A50" s="748">
        <v>34</v>
      </c>
      <c r="B50" s="14"/>
      <c r="C50" s="14"/>
      <c r="D50" s="14"/>
      <c r="E50" s="752"/>
    </row>
    <row r="51" spans="1:6">
      <c r="A51" s="748">
        <v>35</v>
      </c>
      <c r="B51" s="14"/>
      <c r="C51" s="14"/>
      <c r="D51" s="14"/>
      <c r="E51" s="752"/>
    </row>
    <row r="52" spans="1:6">
      <c r="A52" s="748">
        <v>36</v>
      </c>
      <c r="B52" s="14"/>
      <c r="C52" s="14"/>
      <c r="D52" s="14"/>
      <c r="E52" s="752"/>
    </row>
    <row r="53" spans="1:6">
      <c r="A53" s="748">
        <v>37</v>
      </c>
      <c r="B53" s="14"/>
      <c r="C53" s="14"/>
      <c r="D53" s="14"/>
      <c r="E53" s="752"/>
    </row>
    <row r="54" spans="1:6">
      <c r="A54" s="748">
        <v>38</v>
      </c>
      <c r="B54" s="14"/>
      <c r="C54" s="14"/>
      <c r="D54" s="14"/>
      <c r="E54" s="752"/>
    </row>
    <row r="55" spans="1:6">
      <c r="A55" s="748">
        <v>39</v>
      </c>
      <c r="B55" s="14"/>
      <c r="C55" s="14"/>
      <c r="D55" s="14"/>
      <c r="E55" s="752"/>
    </row>
    <row r="56" spans="1:6">
      <c r="A56" s="748">
        <v>40</v>
      </c>
      <c r="B56" s="14"/>
      <c r="C56" s="14"/>
      <c r="D56" s="14"/>
      <c r="E56" s="752"/>
    </row>
    <row r="57" spans="1:6">
      <c r="A57" s="748">
        <v>41</v>
      </c>
      <c r="B57" s="14"/>
      <c r="C57" s="14"/>
      <c r="D57" s="14"/>
      <c r="E57" s="752"/>
    </row>
    <row r="58" spans="1:6">
      <c r="A58" s="748">
        <v>42</v>
      </c>
      <c r="B58" s="14"/>
      <c r="C58" s="14"/>
      <c r="D58" s="14"/>
      <c r="E58" s="752"/>
    </row>
    <row r="59" spans="1:6">
      <c r="A59" s="748">
        <v>43</v>
      </c>
      <c r="B59" s="14"/>
      <c r="C59" s="14"/>
      <c r="D59" s="14"/>
      <c r="E59" s="752"/>
    </row>
    <row r="60" spans="1:6">
      <c r="A60" s="748">
        <v>44</v>
      </c>
      <c r="B60" s="14"/>
      <c r="C60" s="14"/>
      <c r="D60" s="14"/>
      <c r="E60" s="752"/>
    </row>
    <row r="61" spans="1:6">
      <c r="A61" s="748">
        <v>45</v>
      </c>
      <c r="B61" s="14"/>
      <c r="C61" s="14"/>
      <c r="D61" s="14"/>
      <c r="E61" s="752"/>
    </row>
    <row r="62" spans="1:6">
      <c r="A62" s="748">
        <v>46</v>
      </c>
      <c r="B62" s="14"/>
      <c r="C62" s="14"/>
      <c r="D62" s="14"/>
      <c r="E62" s="752"/>
    </row>
    <row r="63" spans="1:6" ht="15.75" thickBot="1">
      <c r="A63" s="757">
        <v>47</v>
      </c>
      <c r="B63" s="2131" t="s">
        <v>3565</v>
      </c>
      <c r="C63" s="758"/>
      <c r="D63" s="758"/>
      <c r="E63" s="2267">
        <f>SUM(E37:E62)</f>
        <v>12550</v>
      </c>
      <c r="F63" s="136" t="str">
        <f>IF(E63=+'300'!D39,"ok","error")</f>
        <v>ok</v>
      </c>
    </row>
    <row r="64" spans="1:6">
      <c r="A64" s="14"/>
      <c r="B64" s="14"/>
      <c r="C64" s="14"/>
      <c r="D64" s="14"/>
      <c r="E64" s="14" t="s">
        <v>2024</v>
      </c>
    </row>
    <row r="65" spans="1:5">
      <c r="A65" s="16" t="s">
        <v>3566</v>
      </c>
      <c r="B65" s="16"/>
      <c r="C65" s="16"/>
      <c r="D65" s="16"/>
      <c r="E65" s="16"/>
    </row>
    <row r="72" spans="1:5">
      <c r="B72" s="108"/>
    </row>
    <row r="75" spans="1:5">
      <c r="B75" s="108"/>
    </row>
    <row r="76" spans="1:5">
      <c r="B76" s="108"/>
    </row>
    <row r="77" spans="1:5">
      <c r="B77" s="108"/>
    </row>
    <row r="78" spans="1:5">
      <c r="B78" s="108"/>
    </row>
    <row r="79" spans="1:5">
      <c r="B79" s="14"/>
    </row>
    <row r="80" spans="1:5">
      <c r="B80" s="108"/>
    </row>
  </sheetData>
  <phoneticPr fontId="0" type="noConversion"/>
  <printOptions horizontalCentered="1" verticalCentered="1"/>
  <pageMargins left="0.4" right="0.4" top="0.3" bottom="0.3" header="0" footer="0"/>
  <pageSetup scale="77" orientation="portrait" r:id="rId1"/>
  <headerFooter alignWithMargins="0"/>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ransitionEvaluation="1" codeName="Sheet58"/>
  <dimension ref="A1:R215"/>
  <sheetViews>
    <sheetView defaultGridColor="0" colorId="22" zoomScaleNormal="100" workbookViewId="0">
      <selection activeCell="J28" sqref="J28"/>
    </sheetView>
  </sheetViews>
  <sheetFormatPr defaultColWidth="9.77734375" defaultRowHeight="15"/>
  <cols>
    <col min="1" max="1" width="5.77734375" customWidth="1"/>
    <col min="2" max="2" width="6.77734375" customWidth="1"/>
    <col min="3" max="3" width="56.33203125" customWidth="1"/>
    <col min="4" max="5" width="16.77734375" style="86" customWidth="1"/>
    <col min="6" max="6" width="10.33203125" bestFit="1" customWidth="1"/>
    <col min="7" max="7" width="27.109375" bestFit="1" customWidth="1"/>
    <col min="8" max="8" width="14" bestFit="1" customWidth="1"/>
    <col min="9" max="9" width="4.6640625" bestFit="1" customWidth="1"/>
    <col min="10" max="10" width="11.44140625" bestFit="1" customWidth="1"/>
    <col min="11" max="11" width="2.88671875" bestFit="1" customWidth="1"/>
    <col min="12" max="12" width="9.77734375" customWidth="1"/>
    <col min="13" max="14" width="12.88671875" bestFit="1" customWidth="1"/>
    <col min="15" max="15" width="17.21875" bestFit="1" customWidth="1"/>
  </cols>
  <sheetData>
    <row r="1" spans="1:6" ht="16.5" thickBot="1">
      <c r="A1" s="80" t="str">
        <f>'Data sheet'!A57</f>
        <v>Annual Report of Veolia Water New York, Inc.                                              Year Ended  December 31, 2023</v>
      </c>
      <c r="B1" s="81"/>
      <c r="C1" s="81"/>
      <c r="D1" s="1614"/>
      <c r="E1" s="1615"/>
    </row>
    <row r="2" spans="1:6">
      <c r="A2" s="80"/>
      <c r="B2" s="81"/>
      <c r="C2" s="81"/>
      <c r="D2" s="130"/>
      <c r="E2" s="131"/>
    </row>
    <row r="3" spans="1:6" ht="15.75">
      <c r="A3" s="118" t="s">
        <v>2045</v>
      </c>
      <c r="B3" s="4"/>
      <c r="C3" s="4"/>
      <c r="D3" s="5"/>
      <c r="E3" s="132"/>
    </row>
    <row r="4" spans="1:6">
      <c r="A4" s="83"/>
      <c r="E4" s="87"/>
    </row>
    <row r="5" spans="1:6">
      <c r="A5" s="83"/>
      <c r="B5" t="s">
        <v>2046</v>
      </c>
      <c r="E5" s="87"/>
    </row>
    <row r="6" spans="1:6">
      <c r="A6" s="83"/>
      <c r="E6" s="87"/>
    </row>
    <row r="7" spans="1:6">
      <c r="A7" s="123"/>
      <c r="B7" s="224"/>
      <c r="C7" s="224"/>
      <c r="D7" s="98"/>
      <c r="E7" s="101"/>
    </row>
    <row r="8" spans="1:6">
      <c r="A8" s="479"/>
      <c r="C8" s="227"/>
      <c r="D8" s="440" t="s">
        <v>2047</v>
      </c>
      <c r="E8" s="428" t="s">
        <v>2047</v>
      </c>
    </row>
    <row r="9" spans="1:6">
      <c r="A9" s="479" t="s">
        <v>2048</v>
      </c>
      <c r="C9" s="726" t="s">
        <v>2049</v>
      </c>
      <c r="D9" s="440" t="s">
        <v>2050</v>
      </c>
      <c r="E9" s="428" t="s">
        <v>1558</v>
      </c>
    </row>
    <row r="10" spans="1:6">
      <c r="A10" s="567" t="s">
        <v>2051</v>
      </c>
      <c r="B10" s="224"/>
      <c r="C10" s="861" t="s">
        <v>3279</v>
      </c>
      <c r="D10" s="1000" t="s">
        <v>3280</v>
      </c>
      <c r="E10" s="424" t="s">
        <v>3281</v>
      </c>
    </row>
    <row r="11" spans="1:6" ht="15.75">
      <c r="A11" s="479">
        <v>1</v>
      </c>
      <c r="C11" s="107" t="s">
        <v>2052</v>
      </c>
      <c r="D11" s="95"/>
      <c r="E11" s="138"/>
    </row>
    <row r="12" spans="1:6">
      <c r="A12" s="479">
        <v>2</v>
      </c>
      <c r="C12" s="726" t="s">
        <v>2053</v>
      </c>
      <c r="D12" s="95"/>
      <c r="E12" s="135"/>
    </row>
    <row r="13" spans="1:6">
      <c r="A13" s="479">
        <v>3</v>
      </c>
      <c r="B13">
        <v>600</v>
      </c>
      <c r="C13" s="227" t="s">
        <v>2054</v>
      </c>
      <c r="D13" s="2254">
        <v>391866</v>
      </c>
      <c r="E13" s="2255">
        <v>383534</v>
      </c>
      <c r="F13" s="1605"/>
    </row>
    <row r="14" spans="1:6">
      <c r="A14" s="479">
        <v>4</v>
      </c>
      <c r="B14">
        <v>601</v>
      </c>
      <c r="C14" s="227" t="s">
        <v>2055</v>
      </c>
      <c r="D14" s="2076">
        <v>7713</v>
      </c>
      <c r="E14" s="2077">
        <v>2570</v>
      </c>
      <c r="F14" s="1605"/>
    </row>
    <row r="15" spans="1:6">
      <c r="A15" s="479">
        <v>5</v>
      </c>
      <c r="B15">
        <v>602</v>
      </c>
      <c r="C15" s="227" t="s">
        <v>2056</v>
      </c>
      <c r="D15" s="2076">
        <v>322849</v>
      </c>
      <c r="E15" s="2077">
        <v>312996</v>
      </c>
      <c r="F15" s="1605"/>
    </row>
    <row r="16" spans="1:6">
      <c r="A16" s="479">
        <v>6</v>
      </c>
      <c r="B16">
        <v>603</v>
      </c>
      <c r="C16" s="227" t="s">
        <v>2057</v>
      </c>
      <c r="D16" s="2076">
        <v>203385</v>
      </c>
      <c r="E16" s="2077">
        <v>178738</v>
      </c>
      <c r="F16" s="1605"/>
    </row>
    <row r="17" spans="1:6">
      <c r="A17" s="479">
        <v>7</v>
      </c>
      <c r="B17">
        <v>604</v>
      </c>
      <c r="C17" s="227" t="s">
        <v>2058</v>
      </c>
      <c r="D17" s="2076">
        <v>170</v>
      </c>
      <c r="E17" s="2077"/>
    </row>
    <row r="18" spans="1:6">
      <c r="A18" s="479">
        <v>8</v>
      </c>
      <c r="C18" s="759" t="s">
        <v>2059</v>
      </c>
      <c r="D18" s="1262">
        <f>SUM(D13:D17)</f>
        <v>925983</v>
      </c>
      <c r="E18" s="1300">
        <f>SUM(E13:E17)</f>
        <v>877838</v>
      </c>
      <c r="F18" s="1605"/>
    </row>
    <row r="19" spans="1:6">
      <c r="A19" s="479">
        <v>9</v>
      </c>
      <c r="C19" s="726" t="s">
        <v>2060</v>
      </c>
      <c r="D19" s="1264"/>
      <c r="E19" s="1301"/>
    </row>
    <row r="20" spans="1:6">
      <c r="A20" s="479">
        <v>10</v>
      </c>
      <c r="B20">
        <v>610</v>
      </c>
      <c r="C20" s="227" t="s">
        <v>2061</v>
      </c>
      <c r="D20" s="1985">
        <v>244</v>
      </c>
      <c r="E20" s="1559"/>
      <c r="F20" s="1605"/>
    </row>
    <row r="21" spans="1:6">
      <c r="A21" s="479">
        <v>11</v>
      </c>
      <c r="B21">
        <v>611</v>
      </c>
      <c r="C21" s="227" t="s">
        <v>2062</v>
      </c>
      <c r="D21" s="1985">
        <v>412657</v>
      </c>
      <c r="E21" s="1559">
        <v>263701</v>
      </c>
      <c r="F21" s="1605"/>
    </row>
    <row r="22" spans="1:6">
      <c r="A22" s="479">
        <v>12</v>
      </c>
      <c r="B22">
        <v>612</v>
      </c>
      <c r="C22" s="227" t="s">
        <v>2063</v>
      </c>
      <c r="D22" s="1558">
        <v>62113</v>
      </c>
      <c r="E22" s="1559">
        <v>49736</v>
      </c>
      <c r="F22" s="1605"/>
    </row>
    <row r="23" spans="1:6">
      <c r="A23" s="479">
        <v>13</v>
      </c>
      <c r="B23">
        <v>613</v>
      </c>
      <c r="C23" s="227" t="s">
        <v>3836</v>
      </c>
      <c r="D23" s="1558">
        <v>12658</v>
      </c>
      <c r="E23" s="1559">
        <v>2833</v>
      </c>
      <c r="F23" s="1605"/>
    </row>
    <row r="24" spans="1:6">
      <c r="A24" s="479">
        <v>14</v>
      </c>
      <c r="B24">
        <v>614</v>
      </c>
      <c r="C24" s="227" t="s">
        <v>3837</v>
      </c>
      <c r="D24" s="1558">
        <v>288094</v>
      </c>
      <c r="E24" s="1559">
        <v>338003</v>
      </c>
      <c r="F24" s="1605"/>
    </row>
    <row r="25" spans="1:6">
      <c r="A25" s="479">
        <v>15</v>
      </c>
      <c r="B25">
        <v>615</v>
      </c>
      <c r="C25" s="227" t="s">
        <v>3838</v>
      </c>
      <c r="D25" s="508"/>
      <c r="E25" s="1559"/>
      <c r="F25" s="1605"/>
    </row>
    <row r="26" spans="1:6">
      <c r="A26" s="479">
        <v>16</v>
      </c>
      <c r="B26">
        <v>616</v>
      </c>
      <c r="C26" s="227" t="s">
        <v>3839</v>
      </c>
      <c r="D26" s="1985"/>
      <c r="E26" s="442">
        <v>2882</v>
      </c>
      <c r="F26" s="1605"/>
    </row>
    <row r="27" spans="1:6">
      <c r="A27" s="479">
        <v>17</v>
      </c>
      <c r="B27">
        <v>617</v>
      </c>
      <c r="C27" s="227" t="s">
        <v>3840</v>
      </c>
      <c r="D27" s="1985">
        <v>29791</v>
      </c>
      <c r="E27" s="442">
        <v>2770880</v>
      </c>
      <c r="F27" s="1605"/>
    </row>
    <row r="28" spans="1:6">
      <c r="A28" s="479">
        <v>18</v>
      </c>
      <c r="C28" s="759" t="s">
        <v>3841</v>
      </c>
      <c r="D28" s="1262">
        <f>SUM(D20:D27)</f>
        <v>805557</v>
      </c>
      <c r="E28" s="1263">
        <f>SUM(E20:E27)</f>
        <v>3428035</v>
      </c>
      <c r="F28" s="1605"/>
    </row>
    <row r="29" spans="1:6">
      <c r="A29" s="479">
        <v>19</v>
      </c>
      <c r="C29" s="726" t="s">
        <v>286</v>
      </c>
      <c r="D29" s="2234">
        <f>D18+D28</f>
        <v>1731540</v>
      </c>
      <c r="E29" s="1272">
        <f>E18+E28</f>
        <v>4305873</v>
      </c>
      <c r="F29" s="1605"/>
    </row>
    <row r="30" spans="1:6">
      <c r="A30" s="479"/>
      <c r="C30" s="227"/>
      <c r="D30" s="1264"/>
      <c r="E30" s="1301"/>
    </row>
    <row r="31" spans="1:6">
      <c r="A31" s="479"/>
      <c r="C31" s="227"/>
      <c r="D31" s="1264"/>
      <c r="E31" s="1301"/>
    </row>
    <row r="32" spans="1:6" ht="15.75">
      <c r="A32" s="479">
        <v>20</v>
      </c>
      <c r="C32" s="107" t="s">
        <v>287</v>
      </c>
      <c r="D32" s="1264"/>
      <c r="E32" s="1301"/>
    </row>
    <row r="33" spans="1:7">
      <c r="A33" s="479">
        <v>21</v>
      </c>
      <c r="C33" s="726" t="s">
        <v>2053</v>
      </c>
      <c r="D33" s="1264"/>
      <c r="E33" s="1301"/>
    </row>
    <row r="34" spans="1:7">
      <c r="A34" s="479">
        <v>22</v>
      </c>
      <c r="B34">
        <v>620</v>
      </c>
      <c r="C34" s="227" t="s">
        <v>288</v>
      </c>
      <c r="D34" s="2076">
        <v>1129452</v>
      </c>
      <c r="E34" s="2077">
        <v>977387</v>
      </c>
      <c r="F34" s="1605"/>
    </row>
    <row r="35" spans="1:7">
      <c r="A35" s="479">
        <v>23</v>
      </c>
      <c r="B35">
        <v>621</v>
      </c>
      <c r="C35" s="227" t="s">
        <v>289</v>
      </c>
      <c r="D35" s="2076">
        <v>85072</v>
      </c>
      <c r="E35" s="2077">
        <v>66880</v>
      </c>
      <c r="F35" s="1605"/>
    </row>
    <row r="36" spans="1:7">
      <c r="A36" s="479">
        <v>24</v>
      </c>
      <c r="B36">
        <v>622</v>
      </c>
      <c r="C36" s="227" t="s">
        <v>290</v>
      </c>
      <c r="D36" s="2076">
        <v>732</v>
      </c>
      <c r="E36" s="2077">
        <v>3076</v>
      </c>
      <c r="F36" s="1605"/>
    </row>
    <row r="37" spans="1:7">
      <c r="A37" s="479">
        <v>25</v>
      </c>
      <c r="B37">
        <v>623</v>
      </c>
      <c r="C37" s="227" t="s">
        <v>291</v>
      </c>
      <c r="D37" s="2076">
        <v>1972916</v>
      </c>
      <c r="E37" s="2077">
        <v>2140158</v>
      </c>
      <c r="F37" s="1605"/>
    </row>
    <row r="38" spans="1:7">
      <c r="A38" s="479">
        <v>26</v>
      </c>
      <c r="B38">
        <v>624</v>
      </c>
      <c r="C38" s="227" t="s">
        <v>292</v>
      </c>
      <c r="D38" s="2076">
        <v>873879</v>
      </c>
      <c r="E38" s="2077">
        <v>683828</v>
      </c>
      <c r="F38" s="1605"/>
    </row>
    <row r="39" spans="1:7">
      <c r="A39" s="479">
        <v>27</v>
      </c>
      <c r="B39">
        <v>625</v>
      </c>
      <c r="C39" s="227" t="s">
        <v>293</v>
      </c>
      <c r="D39" s="2076"/>
      <c r="E39" s="2077"/>
      <c r="F39" s="1605"/>
    </row>
    <row r="40" spans="1:7">
      <c r="A40" s="479">
        <v>28</v>
      </c>
      <c r="B40">
        <v>626</v>
      </c>
      <c r="C40" s="227" t="s">
        <v>2057</v>
      </c>
      <c r="D40" s="2076">
        <v>385571</v>
      </c>
      <c r="E40" s="2077">
        <v>395922</v>
      </c>
      <c r="F40" s="1605"/>
      <c r="G40" s="1592"/>
    </row>
    <row r="41" spans="1:7">
      <c r="A41" s="479">
        <v>29</v>
      </c>
      <c r="B41">
        <v>627</v>
      </c>
      <c r="C41" s="227" t="s">
        <v>2058</v>
      </c>
      <c r="D41" s="2076"/>
      <c r="E41" s="2077"/>
      <c r="F41" s="1605"/>
      <c r="G41" s="1592"/>
    </row>
    <row r="42" spans="1:7">
      <c r="A42" s="479">
        <v>30</v>
      </c>
      <c r="C42" s="759" t="s">
        <v>294</v>
      </c>
      <c r="D42" s="1262">
        <f>SUM(D34:D41)</f>
        <v>4447622</v>
      </c>
      <c r="E42" s="1263">
        <f>SUM(E34:E41)</f>
        <v>4267251</v>
      </c>
      <c r="F42" s="1605"/>
    </row>
    <row r="43" spans="1:7">
      <c r="A43" s="479">
        <v>31</v>
      </c>
      <c r="C43" s="726" t="s">
        <v>2060</v>
      </c>
      <c r="D43" s="1264"/>
      <c r="E43" s="1301"/>
    </row>
    <row r="44" spans="1:7">
      <c r="A44" s="479">
        <v>32</v>
      </c>
      <c r="B44">
        <v>630</v>
      </c>
      <c r="C44" s="227" t="s">
        <v>295</v>
      </c>
      <c r="D44" s="2076">
        <v>121945</v>
      </c>
      <c r="E44" s="2077">
        <v>86047</v>
      </c>
      <c r="F44" s="1605"/>
    </row>
    <row r="45" spans="1:7">
      <c r="A45" s="479">
        <v>33</v>
      </c>
      <c r="B45">
        <v>631</v>
      </c>
      <c r="C45" s="227" t="s">
        <v>263</v>
      </c>
      <c r="D45" s="2076">
        <v>259428</v>
      </c>
      <c r="E45" s="2077">
        <v>257203</v>
      </c>
      <c r="F45" s="1605"/>
    </row>
    <row r="46" spans="1:7">
      <c r="A46" s="479">
        <v>34</v>
      </c>
      <c r="B46">
        <v>632</v>
      </c>
      <c r="C46" s="227" t="s">
        <v>264</v>
      </c>
      <c r="D46" s="2078">
        <v>69730</v>
      </c>
      <c r="E46" s="2077">
        <v>115000</v>
      </c>
      <c r="F46" s="1605"/>
    </row>
    <row r="47" spans="1:7">
      <c r="A47" s="479">
        <v>35</v>
      </c>
      <c r="B47">
        <v>633</v>
      </c>
      <c r="C47" s="227" t="s">
        <v>682</v>
      </c>
      <c r="D47" s="2079">
        <v>393351</v>
      </c>
      <c r="E47" s="2077">
        <v>597788</v>
      </c>
      <c r="F47" s="1605"/>
    </row>
    <row r="48" spans="1:7">
      <c r="A48" s="479">
        <v>36</v>
      </c>
      <c r="C48" s="759" t="s">
        <v>683</v>
      </c>
      <c r="D48" s="1262">
        <f>SUM(D44:D47)</f>
        <v>844454</v>
      </c>
      <c r="E48" s="1263">
        <f>SUM(E44:E47)</f>
        <v>1056038</v>
      </c>
      <c r="F48" s="1605"/>
    </row>
    <row r="49" spans="1:6">
      <c r="A49" s="479">
        <v>37</v>
      </c>
      <c r="C49" s="726" t="s">
        <v>684</v>
      </c>
      <c r="D49" s="1262">
        <f>D42+D48</f>
        <v>5292076</v>
      </c>
      <c r="E49" s="1263">
        <f>E42+E48</f>
        <v>5323289</v>
      </c>
      <c r="F49" s="1605"/>
    </row>
    <row r="50" spans="1:6">
      <c r="A50" s="479"/>
      <c r="C50" s="726"/>
      <c r="D50" s="2078"/>
      <c r="E50" s="2077"/>
    </row>
    <row r="51" spans="1:6">
      <c r="A51" s="479"/>
      <c r="C51" s="726"/>
      <c r="D51" s="2078"/>
      <c r="E51" s="2077"/>
    </row>
    <row r="52" spans="1:6">
      <c r="A52" s="479"/>
      <c r="C52" s="726"/>
      <c r="D52" s="2078"/>
      <c r="E52" s="2077"/>
    </row>
    <row r="53" spans="1:6" ht="15.75">
      <c r="A53" s="479">
        <v>38</v>
      </c>
      <c r="C53" s="107" t="s">
        <v>3385</v>
      </c>
      <c r="D53" s="2076"/>
      <c r="E53" s="2077"/>
    </row>
    <row r="54" spans="1:6">
      <c r="A54" s="479">
        <v>39</v>
      </c>
      <c r="C54" s="726" t="s">
        <v>3386</v>
      </c>
      <c r="D54" s="2076"/>
      <c r="E54" s="2077"/>
    </row>
    <row r="55" spans="1:6">
      <c r="A55" s="479">
        <v>40</v>
      </c>
      <c r="B55">
        <v>640</v>
      </c>
      <c r="C55" s="227" t="s">
        <v>2054</v>
      </c>
      <c r="D55" s="2076">
        <v>49490</v>
      </c>
      <c r="E55" s="2077">
        <v>35325</v>
      </c>
      <c r="F55" s="1605"/>
    </row>
    <row r="56" spans="1:6">
      <c r="A56" s="479">
        <v>41</v>
      </c>
      <c r="B56">
        <v>641</v>
      </c>
      <c r="C56" t="s">
        <v>3387</v>
      </c>
      <c r="D56" s="2078">
        <v>1266446</v>
      </c>
      <c r="E56" s="2077">
        <v>1251221</v>
      </c>
      <c r="F56" s="1605"/>
    </row>
    <row r="57" spans="1:6">
      <c r="A57" s="479">
        <v>42</v>
      </c>
      <c r="B57">
        <v>642</v>
      </c>
      <c r="C57" s="227" t="s">
        <v>3388</v>
      </c>
      <c r="D57" s="2076">
        <v>4996950</v>
      </c>
      <c r="E57" s="2077">
        <v>3911848</v>
      </c>
      <c r="F57" s="1605"/>
    </row>
    <row r="58" spans="1:6">
      <c r="A58" s="479">
        <v>43</v>
      </c>
      <c r="B58">
        <v>643</v>
      </c>
      <c r="C58" s="227" t="s">
        <v>2057</v>
      </c>
      <c r="D58" s="2076">
        <v>353679.43</v>
      </c>
      <c r="E58" s="2077">
        <v>910013</v>
      </c>
      <c r="F58" s="1605"/>
    </row>
    <row r="59" spans="1:6">
      <c r="A59" s="479">
        <v>44</v>
      </c>
      <c r="B59">
        <v>644</v>
      </c>
      <c r="C59" s="227" t="s">
        <v>2058</v>
      </c>
      <c r="D59" s="2076"/>
      <c r="E59" s="2077"/>
      <c r="F59" s="1605"/>
    </row>
    <row r="60" spans="1:6" ht="15.75" thickBot="1">
      <c r="A60" s="583">
        <v>45</v>
      </c>
      <c r="B60" s="125"/>
      <c r="C60" s="761" t="s">
        <v>3389</v>
      </c>
      <c r="D60" s="647">
        <f>SUM(D55:D59)</f>
        <v>6666565.4299999997</v>
      </c>
      <c r="E60" s="1139">
        <f>SUM(E55:E59)</f>
        <v>6108407</v>
      </c>
      <c r="F60" s="1605"/>
    </row>
    <row r="61" spans="1:6">
      <c r="A61" s="600"/>
      <c r="C61" s="81"/>
      <c r="D61" s="1266"/>
      <c r="E61" s="1266"/>
    </row>
    <row r="62" spans="1:6">
      <c r="A62" s="4" t="s">
        <v>3390</v>
      </c>
      <c r="B62" s="4"/>
      <c r="C62" s="4"/>
      <c r="D62" s="1267"/>
      <c r="E62" s="1267"/>
    </row>
    <row r="63" spans="1:6" ht="15.75" thickBot="1">
      <c r="A63" t="str">
        <f>'Data sheet'!A57</f>
        <v>Annual Report of Veolia Water New York, Inc.                                              Year Ended  December 31, 2023</v>
      </c>
      <c r="C63" s="4"/>
      <c r="D63" s="1266"/>
      <c r="E63" s="1266"/>
    </row>
    <row r="64" spans="1:6">
      <c r="A64" s="80"/>
      <c r="B64" s="81"/>
      <c r="C64" s="81"/>
      <c r="D64" s="1268"/>
      <c r="E64" s="1269"/>
    </row>
    <row r="65" spans="1:6" ht="15.75">
      <c r="A65" s="118" t="s">
        <v>2045</v>
      </c>
      <c r="B65" s="4"/>
      <c r="C65" s="4"/>
      <c r="D65" s="1267"/>
      <c r="E65" s="1270"/>
    </row>
    <row r="66" spans="1:6">
      <c r="A66" s="83"/>
      <c r="D66" s="1266"/>
      <c r="E66" s="1261"/>
    </row>
    <row r="67" spans="1:6">
      <c r="A67" s="83"/>
      <c r="B67" t="s">
        <v>2046</v>
      </c>
      <c r="D67" s="1266"/>
      <c r="E67" s="1261"/>
    </row>
    <row r="68" spans="1:6">
      <c r="A68" s="83"/>
      <c r="D68" s="1266"/>
      <c r="E68" s="1261"/>
    </row>
    <row r="69" spans="1:6">
      <c r="A69" s="123"/>
      <c r="B69" s="224"/>
      <c r="C69" s="224"/>
      <c r="D69" s="1271"/>
      <c r="E69" s="1272"/>
    </row>
    <row r="70" spans="1:6">
      <c r="A70" s="479"/>
      <c r="C70" s="227"/>
      <c r="D70" s="1273" t="s">
        <v>2047</v>
      </c>
      <c r="E70" s="428" t="s">
        <v>2047</v>
      </c>
    </row>
    <row r="71" spans="1:6">
      <c r="A71" s="479" t="s">
        <v>2048</v>
      </c>
      <c r="C71" s="726" t="s">
        <v>2049</v>
      </c>
      <c r="D71" s="1273" t="s">
        <v>2050</v>
      </c>
      <c r="E71" s="428" t="s">
        <v>1558</v>
      </c>
    </row>
    <row r="72" spans="1:6">
      <c r="A72" s="567" t="s">
        <v>2051</v>
      </c>
      <c r="B72" s="224"/>
      <c r="C72" s="861" t="s">
        <v>3279</v>
      </c>
      <c r="D72" s="1274" t="s">
        <v>3280</v>
      </c>
      <c r="E72" s="424" t="s">
        <v>3281</v>
      </c>
    </row>
    <row r="73" spans="1:6">
      <c r="A73" s="479"/>
      <c r="C73" s="227"/>
      <c r="D73" s="2227"/>
      <c r="E73" s="1261" t="s">
        <v>218</v>
      </c>
    </row>
    <row r="74" spans="1:6">
      <c r="A74" s="479">
        <v>46</v>
      </c>
      <c r="B74" s="522"/>
      <c r="C74" s="726" t="s">
        <v>2060</v>
      </c>
      <c r="D74" s="1265" t="s">
        <v>218</v>
      </c>
      <c r="E74" s="1261" t="s">
        <v>218</v>
      </c>
    </row>
    <row r="75" spans="1:6">
      <c r="A75" s="479">
        <v>47</v>
      </c>
      <c r="B75">
        <v>650</v>
      </c>
      <c r="C75" s="227" t="s">
        <v>295</v>
      </c>
      <c r="D75" s="2254"/>
      <c r="E75" s="2255"/>
      <c r="F75" s="1605"/>
    </row>
    <row r="76" spans="1:6">
      <c r="A76" s="479">
        <v>48</v>
      </c>
      <c r="B76">
        <v>651</v>
      </c>
      <c r="C76" s="227" t="s">
        <v>263</v>
      </c>
      <c r="D76" s="2076">
        <v>29478</v>
      </c>
      <c r="E76" s="2077">
        <v>720</v>
      </c>
      <c r="F76" s="1605"/>
    </row>
    <row r="77" spans="1:6">
      <c r="A77" s="479">
        <v>49</v>
      </c>
      <c r="B77">
        <v>652</v>
      </c>
      <c r="C77" s="227" t="s">
        <v>3391</v>
      </c>
      <c r="D77" s="2076">
        <v>303752</v>
      </c>
      <c r="E77" s="2077">
        <v>212259</v>
      </c>
      <c r="F77" s="1605"/>
    </row>
    <row r="78" spans="1:6">
      <c r="A78" s="479">
        <v>50</v>
      </c>
      <c r="C78" s="759" t="s">
        <v>3841</v>
      </c>
      <c r="D78" s="2080">
        <f>SUM(D75:D77)</f>
        <v>333230</v>
      </c>
      <c r="E78" s="2081">
        <f>SUM(E75:E77)</f>
        <v>212979</v>
      </c>
      <c r="F78" s="1605"/>
    </row>
    <row r="79" spans="1:6">
      <c r="A79" s="479">
        <v>51</v>
      </c>
      <c r="B79" s="4"/>
      <c r="C79" s="726" t="s">
        <v>3392</v>
      </c>
      <c r="D79" s="2233">
        <f>D60+D78</f>
        <v>6999795.4299999997</v>
      </c>
      <c r="E79" s="2081">
        <f>E60+E78</f>
        <v>6321386</v>
      </c>
      <c r="F79" s="1605"/>
    </row>
    <row r="80" spans="1:6">
      <c r="A80" s="479"/>
      <c r="B80" s="4"/>
      <c r="C80" s="227"/>
      <c r="D80" s="1264"/>
      <c r="E80" s="1536"/>
    </row>
    <row r="81" spans="1:7">
      <c r="A81" s="479"/>
      <c r="B81" s="4"/>
      <c r="C81" s="227"/>
      <c r="D81" s="1264"/>
      <c r="E81" s="1301"/>
    </row>
    <row r="82" spans="1:7">
      <c r="A82" s="479"/>
      <c r="B82" s="4"/>
      <c r="C82" s="227"/>
      <c r="D82" s="1264"/>
      <c r="E82" s="1301"/>
    </row>
    <row r="83" spans="1:7" ht="15.75">
      <c r="A83" s="479">
        <v>52</v>
      </c>
      <c r="B83" s="522"/>
      <c r="C83" s="107" t="s">
        <v>2733</v>
      </c>
      <c r="D83" s="1264"/>
      <c r="E83" s="1301"/>
    </row>
    <row r="84" spans="1:7">
      <c r="A84" s="479">
        <v>53</v>
      </c>
      <c r="C84" s="600"/>
      <c r="D84" s="1265"/>
      <c r="E84" s="1301"/>
    </row>
    <row r="85" spans="1:7">
      <c r="A85" s="479">
        <v>54</v>
      </c>
      <c r="B85" s="522"/>
      <c r="C85" s="726" t="s">
        <v>3386</v>
      </c>
      <c r="D85" s="1264"/>
      <c r="E85" s="1301"/>
    </row>
    <row r="86" spans="1:7">
      <c r="A86" s="479">
        <v>55</v>
      </c>
      <c r="B86" s="522">
        <v>660</v>
      </c>
      <c r="C86" s="227" t="s">
        <v>2054</v>
      </c>
      <c r="D86" s="1985"/>
      <c r="E86" s="1559"/>
      <c r="F86" s="1605"/>
    </row>
    <row r="87" spans="1:7">
      <c r="A87" s="479">
        <v>56</v>
      </c>
      <c r="B87" s="522">
        <v>661</v>
      </c>
      <c r="C87" s="227" t="s">
        <v>2734</v>
      </c>
      <c r="D87" s="1985">
        <v>13708</v>
      </c>
      <c r="E87" s="1559">
        <v>3109</v>
      </c>
      <c r="F87" s="1605"/>
    </row>
    <row r="88" spans="1:7">
      <c r="A88" s="479">
        <v>57</v>
      </c>
      <c r="B88">
        <v>662</v>
      </c>
      <c r="C88" s="227" t="s">
        <v>3048</v>
      </c>
      <c r="D88" s="1985">
        <v>865131</v>
      </c>
      <c r="E88" s="1559">
        <v>356564</v>
      </c>
      <c r="F88" s="1605"/>
    </row>
    <row r="89" spans="1:7">
      <c r="A89" s="479">
        <v>58</v>
      </c>
      <c r="B89">
        <v>663</v>
      </c>
      <c r="C89" s="227" t="s">
        <v>3049</v>
      </c>
      <c r="D89" s="1985">
        <v>217574</v>
      </c>
      <c r="E89" s="1559">
        <v>268594</v>
      </c>
      <c r="F89" s="1605"/>
    </row>
    <row r="90" spans="1:7">
      <c r="A90" s="479">
        <v>59</v>
      </c>
      <c r="B90">
        <v>664</v>
      </c>
      <c r="C90" s="227" t="s">
        <v>3050</v>
      </c>
      <c r="D90" s="1985"/>
      <c r="E90" s="1559">
        <v>1325</v>
      </c>
      <c r="F90" s="1605"/>
    </row>
    <row r="91" spans="1:7">
      <c r="A91" s="479">
        <v>60</v>
      </c>
      <c r="B91">
        <v>665</v>
      </c>
      <c r="C91" s="227" t="s">
        <v>3051</v>
      </c>
      <c r="D91" s="1985">
        <v>1326815</v>
      </c>
      <c r="E91" s="1559">
        <v>1093189</v>
      </c>
      <c r="F91" s="1605"/>
    </row>
    <row r="92" spans="1:7">
      <c r="A92" s="479">
        <v>61</v>
      </c>
      <c r="B92">
        <v>666</v>
      </c>
      <c r="C92" s="227" t="s">
        <v>2058</v>
      </c>
      <c r="D92" s="1985"/>
      <c r="E92" s="1559"/>
      <c r="F92" s="1605"/>
    </row>
    <row r="93" spans="1:7">
      <c r="A93" s="479">
        <v>62</v>
      </c>
      <c r="C93" s="759" t="s">
        <v>3389</v>
      </c>
      <c r="D93" s="1749">
        <f>SUM(D86:D92)</f>
        <v>2423228</v>
      </c>
      <c r="E93" s="1750">
        <f>SUM(E86:E92)</f>
        <v>1722781</v>
      </c>
      <c r="F93" s="1605"/>
    </row>
    <row r="94" spans="1:7">
      <c r="A94" s="479">
        <v>63</v>
      </c>
      <c r="C94" s="726" t="s">
        <v>2060</v>
      </c>
      <c r="D94" s="2076"/>
      <c r="E94" s="1261"/>
      <c r="G94" s="1592"/>
    </row>
    <row r="95" spans="1:7">
      <c r="A95" s="479">
        <v>64</v>
      </c>
      <c r="B95">
        <v>670</v>
      </c>
      <c r="C95" s="227" t="s">
        <v>295</v>
      </c>
      <c r="D95" s="2076">
        <v>97264</v>
      </c>
      <c r="E95" s="2077">
        <v>102056</v>
      </c>
      <c r="F95" s="1605"/>
      <c r="G95" s="1594"/>
    </row>
    <row r="96" spans="1:7">
      <c r="A96" s="479">
        <v>65</v>
      </c>
      <c r="B96">
        <v>671</v>
      </c>
      <c r="C96" s="227" t="s">
        <v>263</v>
      </c>
      <c r="D96" s="2076">
        <v>282</v>
      </c>
      <c r="E96" s="2077">
        <v>33333</v>
      </c>
      <c r="F96" s="1605"/>
    </row>
    <row r="97" spans="1:6">
      <c r="A97" s="479">
        <v>66</v>
      </c>
      <c r="B97">
        <v>672</v>
      </c>
      <c r="C97" s="227" t="s">
        <v>3864</v>
      </c>
      <c r="D97" s="2076">
        <v>374829</v>
      </c>
      <c r="E97" s="2077">
        <v>376095</v>
      </c>
      <c r="F97" s="1605"/>
    </row>
    <row r="98" spans="1:6">
      <c r="A98" s="479">
        <v>67</v>
      </c>
      <c r="B98">
        <v>673</v>
      </c>
      <c r="C98" s="227" t="s">
        <v>3865</v>
      </c>
      <c r="D98" s="2076">
        <v>975622</v>
      </c>
      <c r="E98" s="2077">
        <v>920074</v>
      </c>
      <c r="F98" s="1605"/>
    </row>
    <row r="99" spans="1:6">
      <c r="A99" s="479">
        <v>68</v>
      </c>
      <c r="B99">
        <v>674</v>
      </c>
      <c r="C99" s="227" t="s">
        <v>3866</v>
      </c>
      <c r="D99" s="2076"/>
      <c r="E99" s="2077"/>
      <c r="F99" s="1605"/>
    </row>
    <row r="100" spans="1:6">
      <c r="A100" s="479">
        <v>69</v>
      </c>
      <c r="B100">
        <v>675</v>
      </c>
      <c r="C100" s="227" t="s">
        <v>3867</v>
      </c>
      <c r="D100" s="2076">
        <v>724549</v>
      </c>
      <c r="E100" s="2077">
        <v>449717</v>
      </c>
      <c r="F100" s="1605"/>
    </row>
    <row r="101" spans="1:6">
      <c r="A101" s="479">
        <v>70</v>
      </c>
      <c r="B101">
        <v>676</v>
      </c>
      <c r="C101" s="227" t="s">
        <v>3868</v>
      </c>
      <c r="D101" s="2076">
        <v>21159</v>
      </c>
      <c r="E101" s="2077">
        <v>23915</v>
      </c>
      <c r="F101" s="1605"/>
    </row>
    <row r="102" spans="1:6">
      <c r="A102" s="479">
        <v>71</v>
      </c>
      <c r="B102">
        <v>677</v>
      </c>
      <c r="C102" s="227" t="s">
        <v>3869</v>
      </c>
      <c r="D102" s="2076">
        <v>318112</v>
      </c>
      <c r="E102" s="2077">
        <v>396579</v>
      </c>
      <c r="F102" s="1605"/>
    </row>
    <row r="103" spans="1:6">
      <c r="A103" s="479">
        <v>72</v>
      </c>
      <c r="B103">
        <v>678</v>
      </c>
      <c r="C103" s="227" t="s">
        <v>1562</v>
      </c>
      <c r="D103" s="2076">
        <v>245205</v>
      </c>
      <c r="E103" s="2077">
        <v>65902</v>
      </c>
      <c r="F103" s="1605"/>
    </row>
    <row r="104" spans="1:6">
      <c r="A104" s="479">
        <v>73</v>
      </c>
      <c r="C104" s="759" t="s">
        <v>3841</v>
      </c>
      <c r="D104" s="1262">
        <f>SUM(D95:D103)</f>
        <v>2757022</v>
      </c>
      <c r="E104" s="1263">
        <f>SUM(E95:E103)</f>
        <v>2367671</v>
      </c>
      <c r="F104" s="1605"/>
    </row>
    <row r="105" spans="1:6">
      <c r="A105" s="479">
        <v>74</v>
      </c>
      <c r="C105" s="726" t="s">
        <v>3572</v>
      </c>
      <c r="D105" s="1262">
        <f>D93+D104</f>
        <v>5180250</v>
      </c>
      <c r="E105" s="1263">
        <f>E93+E104</f>
        <v>4090452</v>
      </c>
      <c r="F105" s="1605"/>
    </row>
    <row r="106" spans="1:6">
      <c r="A106" s="479"/>
      <c r="C106" s="726"/>
      <c r="D106" s="2076"/>
      <c r="E106" s="2082"/>
    </row>
    <row r="107" spans="1:6">
      <c r="A107" s="479">
        <v>75</v>
      </c>
      <c r="C107" s="227"/>
      <c r="D107" s="2076"/>
      <c r="E107" s="1261"/>
    </row>
    <row r="108" spans="1:6" ht="15.75">
      <c r="A108" s="479">
        <v>79</v>
      </c>
      <c r="C108" s="107" t="s">
        <v>3573</v>
      </c>
      <c r="D108" s="1264"/>
      <c r="E108" s="1261"/>
    </row>
    <row r="109" spans="1:6">
      <c r="A109" s="479">
        <v>80</v>
      </c>
      <c r="C109" s="227"/>
      <c r="D109" s="1264"/>
      <c r="E109" s="1261"/>
    </row>
    <row r="110" spans="1:6">
      <c r="A110" s="479">
        <v>81</v>
      </c>
      <c r="C110" s="759"/>
      <c r="D110" s="1264"/>
      <c r="E110" s="1261"/>
    </row>
    <row r="111" spans="1:6">
      <c r="A111" s="479">
        <v>82</v>
      </c>
      <c r="B111">
        <v>901</v>
      </c>
      <c r="C111" s="227" t="s">
        <v>3574</v>
      </c>
      <c r="D111" s="2076">
        <v>104122</v>
      </c>
      <c r="E111" s="2077">
        <v>86843</v>
      </c>
      <c r="F111" s="1605"/>
    </row>
    <row r="112" spans="1:6">
      <c r="A112" s="479">
        <v>83</v>
      </c>
      <c r="B112">
        <v>902</v>
      </c>
      <c r="C112" s="227" t="s">
        <v>3575</v>
      </c>
      <c r="D112" s="2076">
        <v>2021208</v>
      </c>
      <c r="E112" s="2077">
        <v>2151556</v>
      </c>
      <c r="F112" s="1605"/>
    </row>
    <row r="113" spans="1:6">
      <c r="A113" s="479">
        <v>84</v>
      </c>
      <c r="B113">
        <v>903</v>
      </c>
      <c r="C113" s="227" t="s">
        <v>3576</v>
      </c>
      <c r="D113" s="2076">
        <v>1119574</v>
      </c>
      <c r="E113" s="2077">
        <v>1056370</v>
      </c>
      <c r="F113" s="1605"/>
    </row>
    <row r="114" spans="1:6">
      <c r="A114" s="479">
        <v>85</v>
      </c>
      <c r="B114">
        <v>904</v>
      </c>
      <c r="C114" s="227" t="s">
        <v>3577</v>
      </c>
      <c r="D114" s="2076">
        <v>1263660</v>
      </c>
      <c r="E114" s="2077">
        <v>393223</v>
      </c>
      <c r="F114" s="1605"/>
    </row>
    <row r="115" spans="1:6">
      <c r="A115" s="479">
        <v>86</v>
      </c>
      <c r="B115">
        <v>905</v>
      </c>
      <c r="C115" s="227" t="s">
        <v>3578</v>
      </c>
      <c r="D115" s="2076">
        <v>103635</v>
      </c>
      <c r="E115" s="2077">
        <v>69496</v>
      </c>
      <c r="F115" s="1605"/>
    </row>
    <row r="116" spans="1:6">
      <c r="A116" s="479">
        <v>87</v>
      </c>
      <c r="C116" s="726" t="s">
        <v>3579</v>
      </c>
      <c r="D116" s="381">
        <f>SUM(D111:D115)</f>
        <v>4612199</v>
      </c>
      <c r="E116" s="379">
        <f>SUM(E111:E115)</f>
        <v>3757488</v>
      </c>
      <c r="F116" s="1605"/>
    </row>
    <row r="117" spans="1:6">
      <c r="A117" s="479"/>
      <c r="C117" s="759"/>
      <c r="D117" s="2076"/>
      <c r="E117" s="1261"/>
    </row>
    <row r="118" spans="1:6">
      <c r="A118" s="479"/>
      <c r="C118" s="759"/>
      <c r="D118" s="2076"/>
      <c r="E118" s="1261"/>
    </row>
    <row r="119" spans="1:6">
      <c r="A119" s="479"/>
      <c r="C119" s="759"/>
      <c r="D119" s="2076"/>
      <c r="E119" s="1261"/>
    </row>
    <row r="120" spans="1:6">
      <c r="A120" s="479"/>
      <c r="C120" s="759"/>
      <c r="D120" s="2076"/>
      <c r="E120" s="1261"/>
    </row>
    <row r="121" spans="1:6" ht="15.75" thickBot="1">
      <c r="A121" s="583"/>
      <c r="B121" s="765"/>
      <c r="C121" s="444"/>
      <c r="D121" s="2083"/>
      <c r="E121" s="2084"/>
    </row>
    <row r="122" spans="1:6">
      <c r="C122" s="81" t="s">
        <v>218</v>
      </c>
      <c r="D122" s="2085"/>
      <c r="E122" s="1266"/>
    </row>
    <row r="123" spans="1:6">
      <c r="A123" s="4" t="s">
        <v>3580</v>
      </c>
      <c r="B123" s="4"/>
      <c r="C123" s="4"/>
      <c r="D123" s="2086"/>
      <c r="E123" s="1267"/>
    </row>
    <row r="124" spans="1:6" ht="15.75" thickBot="1">
      <c r="A124" t="str">
        <f>'Data sheet'!A57</f>
        <v>Annual Report of Veolia Water New York, Inc.                                              Year Ended  December 31, 2023</v>
      </c>
      <c r="C124" s="4"/>
      <c r="D124" s="1266"/>
      <c r="E124" s="1266"/>
    </row>
    <row r="125" spans="1:6">
      <c r="A125" s="80"/>
      <c r="B125" s="81"/>
      <c r="C125" s="81"/>
      <c r="D125" s="1268"/>
      <c r="E125" s="1269"/>
    </row>
    <row r="126" spans="1:6" ht="15.75">
      <c r="A126" s="118" t="s">
        <v>2045</v>
      </c>
      <c r="B126" s="4"/>
      <c r="C126" s="4"/>
      <c r="D126" s="1267"/>
      <c r="E126" s="1270"/>
    </row>
    <row r="127" spans="1:6">
      <c r="A127" s="83"/>
      <c r="D127" s="1266"/>
      <c r="E127" s="1261"/>
    </row>
    <row r="128" spans="1:6">
      <c r="A128" s="83"/>
      <c r="B128" t="s">
        <v>2046</v>
      </c>
      <c r="D128" s="1266"/>
      <c r="E128" s="1261"/>
    </row>
    <row r="129" spans="1:6">
      <c r="A129" s="83"/>
      <c r="D129" s="1266"/>
      <c r="E129" s="1261"/>
    </row>
    <row r="130" spans="1:6">
      <c r="A130" s="123"/>
      <c r="B130" s="224"/>
      <c r="C130" s="224"/>
      <c r="D130" s="1271"/>
      <c r="E130" s="1272"/>
    </row>
    <row r="131" spans="1:6">
      <c r="A131" s="479"/>
      <c r="C131" s="227"/>
      <c r="D131" s="1273" t="s">
        <v>2047</v>
      </c>
      <c r="E131" s="428" t="s">
        <v>2047</v>
      </c>
    </row>
    <row r="132" spans="1:6">
      <c r="A132" s="479" t="s">
        <v>2048</v>
      </c>
      <c r="C132" s="726" t="s">
        <v>2049</v>
      </c>
      <c r="D132" s="1273" t="s">
        <v>2050</v>
      </c>
      <c r="E132" s="428" t="s">
        <v>1558</v>
      </c>
    </row>
    <row r="133" spans="1:6">
      <c r="A133" s="567" t="s">
        <v>2051</v>
      </c>
      <c r="B133" s="224"/>
      <c r="C133" s="861" t="s">
        <v>3279</v>
      </c>
      <c r="D133" s="1274" t="s">
        <v>3280</v>
      </c>
      <c r="E133" s="424" t="s">
        <v>3281</v>
      </c>
    </row>
    <row r="134" spans="1:6" ht="15.75">
      <c r="A134" s="479">
        <v>88</v>
      </c>
      <c r="C134" s="107" t="s">
        <v>3681</v>
      </c>
      <c r="D134" s="95"/>
      <c r="E134" s="1261"/>
    </row>
    <row r="135" spans="1:6">
      <c r="A135" s="479">
        <v>89</v>
      </c>
      <c r="C135" s="726" t="s">
        <v>2053</v>
      </c>
      <c r="D135" s="2076"/>
      <c r="E135" s="1261"/>
    </row>
    <row r="136" spans="1:6">
      <c r="A136" s="479">
        <v>90</v>
      </c>
      <c r="B136">
        <v>910</v>
      </c>
      <c r="C136" s="766" t="s">
        <v>3682</v>
      </c>
      <c r="D136" s="2256">
        <v>56217</v>
      </c>
      <c r="E136" s="2257">
        <v>41684</v>
      </c>
      <c r="F136" s="1605"/>
    </row>
    <row r="137" spans="1:6">
      <c r="A137" s="479">
        <v>91</v>
      </c>
      <c r="C137" s="766"/>
      <c r="D137" s="1264"/>
      <c r="E137" s="1261"/>
    </row>
    <row r="138" spans="1:6" ht="15.75">
      <c r="A138" s="479">
        <v>92</v>
      </c>
      <c r="C138" s="107" t="s">
        <v>3683</v>
      </c>
      <c r="D138" s="1264"/>
      <c r="E138" s="1261"/>
    </row>
    <row r="139" spans="1:6">
      <c r="A139" s="479">
        <v>93</v>
      </c>
      <c r="C139" s="726" t="s">
        <v>2053</v>
      </c>
      <c r="D139" s="1264"/>
      <c r="E139" s="1261"/>
    </row>
    <row r="140" spans="1:6">
      <c r="A140" s="479">
        <v>94</v>
      </c>
      <c r="B140">
        <v>920</v>
      </c>
      <c r="C140" s="227" t="s">
        <v>3684</v>
      </c>
      <c r="D140" s="1985">
        <v>1993586</v>
      </c>
      <c r="E140" s="2077">
        <v>1746624</v>
      </c>
      <c r="F140" s="1605"/>
    </row>
    <row r="141" spans="1:6">
      <c r="A141" s="479">
        <v>95</v>
      </c>
      <c r="B141">
        <v>921</v>
      </c>
      <c r="C141" s="227" t="s">
        <v>3685</v>
      </c>
      <c r="D141" s="1985">
        <v>314604</v>
      </c>
      <c r="E141" s="2077">
        <v>279097</v>
      </c>
      <c r="F141" s="1605"/>
    </row>
    <row r="142" spans="1:6">
      <c r="A142" s="479">
        <v>96</v>
      </c>
      <c r="B142">
        <v>922</v>
      </c>
      <c r="C142" s="227" t="s">
        <v>2728</v>
      </c>
      <c r="D142" s="1985">
        <v>-5767046</v>
      </c>
      <c r="E142" s="1559">
        <v>-5292566</v>
      </c>
      <c r="F142" s="1605"/>
    </row>
    <row r="143" spans="1:6">
      <c r="A143" s="479">
        <v>97</v>
      </c>
      <c r="B143">
        <v>923</v>
      </c>
      <c r="C143" s="227" t="s">
        <v>2729</v>
      </c>
      <c r="D143" s="1985">
        <f>8605512-3</f>
        <v>8605509</v>
      </c>
      <c r="E143" s="2077">
        <v>9043422</v>
      </c>
      <c r="F143" s="1605"/>
    </row>
    <row r="144" spans="1:6">
      <c r="A144" s="479">
        <v>98</v>
      </c>
      <c r="B144" s="522">
        <v>924</v>
      </c>
      <c r="C144" s="227" t="s">
        <v>2730</v>
      </c>
      <c r="D144" s="1985">
        <v>-36188</v>
      </c>
      <c r="E144" s="2077">
        <v>295451</v>
      </c>
      <c r="F144" s="1605"/>
    </row>
    <row r="145" spans="1:8">
      <c r="A145" s="479">
        <v>99</v>
      </c>
      <c r="B145" s="522">
        <v>925</v>
      </c>
      <c r="C145" s="227" t="s">
        <v>2731</v>
      </c>
      <c r="D145" s="1985">
        <v>156762</v>
      </c>
      <c r="E145" s="1559">
        <v>-36491</v>
      </c>
      <c r="F145" s="1605"/>
    </row>
    <row r="146" spans="1:8">
      <c r="A146" s="479">
        <v>100</v>
      </c>
      <c r="B146" s="522">
        <v>926</v>
      </c>
      <c r="C146" s="227" t="s">
        <v>2732</v>
      </c>
      <c r="D146" s="1985">
        <v>4400166</v>
      </c>
      <c r="E146" s="2077">
        <v>3773296</v>
      </c>
      <c r="F146" s="1605"/>
    </row>
    <row r="147" spans="1:8">
      <c r="A147" s="595">
        <v>101</v>
      </c>
      <c r="B147" s="522">
        <v>927</v>
      </c>
      <c r="C147" s="227" t="s">
        <v>8</v>
      </c>
      <c r="D147" s="1985"/>
      <c r="E147" s="2077"/>
      <c r="F147" s="1605"/>
    </row>
    <row r="148" spans="1:8">
      <c r="A148" s="595">
        <v>102</v>
      </c>
      <c r="B148" s="522">
        <v>928</v>
      </c>
      <c r="C148" s="227" t="s">
        <v>9</v>
      </c>
      <c r="D148" s="1985">
        <v>444835</v>
      </c>
      <c r="E148" s="2077">
        <v>494387</v>
      </c>
      <c r="F148" s="1605"/>
    </row>
    <row r="149" spans="1:8">
      <c r="A149" s="595">
        <v>103</v>
      </c>
      <c r="B149" s="522">
        <v>929</v>
      </c>
      <c r="C149" s="227" t="s">
        <v>477</v>
      </c>
      <c r="D149" s="1985"/>
      <c r="E149" s="2077"/>
      <c r="F149" s="1605"/>
    </row>
    <row r="150" spans="1:8">
      <c r="A150" s="595">
        <v>104</v>
      </c>
      <c r="B150" s="522">
        <v>930</v>
      </c>
      <c r="C150" s="227" t="s">
        <v>2967</v>
      </c>
      <c r="D150" s="1985">
        <v>412782</v>
      </c>
      <c r="E150" s="1559">
        <v>1317321</v>
      </c>
      <c r="F150" s="1605"/>
    </row>
    <row r="151" spans="1:8">
      <c r="A151" s="595">
        <v>105</v>
      </c>
      <c r="B151" s="522">
        <v>931.1</v>
      </c>
      <c r="C151" s="227" t="s">
        <v>2968</v>
      </c>
      <c r="D151" s="1985">
        <v>22389</v>
      </c>
      <c r="E151" s="2077">
        <v>9175</v>
      </c>
      <c r="F151" s="1605"/>
    </row>
    <row r="152" spans="1:8">
      <c r="A152" s="595">
        <v>106</v>
      </c>
      <c r="B152" s="522">
        <v>931.2</v>
      </c>
      <c r="C152" s="227" t="s">
        <v>2969</v>
      </c>
      <c r="D152" s="1985"/>
      <c r="E152" s="2077"/>
      <c r="F152" s="1605"/>
    </row>
    <row r="153" spans="1:8">
      <c r="A153" s="595">
        <v>107</v>
      </c>
      <c r="B153" s="522"/>
      <c r="C153" s="227"/>
      <c r="D153" s="2076"/>
      <c r="E153" s="1261"/>
    </row>
    <row r="154" spans="1:8">
      <c r="A154" s="595">
        <v>108</v>
      </c>
      <c r="B154" s="522"/>
      <c r="C154" s="759" t="s">
        <v>2970</v>
      </c>
      <c r="D154" s="1262">
        <f>SUM(D140:D153)</f>
        <v>10547399</v>
      </c>
      <c r="E154" s="1263">
        <f>SUM(E140:E153)</f>
        <v>11629716</v>
      </c>
      <c r="F154" s="1605"/>
    </row>
    <row r="155" spans="1:8">
      <c r="A155" s="595">
        <v>109</v>
      </c>
      <c r="B155" s="522"/>
      <c r="C155" s="726" t="s">
        <v>2060</v>
      </c>
      <c r="D155" s="1264"/>
      <c r="E155" s="1261"/>
      <c r="F155" s="1605"/>
    </row>
    <row r="156" spans="1:8">
      <c r="A156" s="479">
        <v>110</v>
      </c>
      <c r="B156" s="522">
        <v>932</v>
      </c>
      <c r="C156" s="227" t="s">
        <v>2971</v>
      </c>
      <c r="D156" s="2079">
        <f>1237145+3</f>
        <v>1237148</v>
      </c>
      <c r="E156" s="2087">
        <v>1103009</v>
      </c>
      <c r="F156" s="1605"/>
    </row>
    <row r="157" spans="1:8">
      <c r="A157" s="479">
        <v>111</v>
      </c>
      <c r="B157" s="522"/>
      <c r="C157" s="759" t="s">
        <v>3841</v>
      </c>
      <c r="D157" s="1264">
        <f>SUM(D156)</f>
        <v>1237148</v>
      </c>
      <c r="E157" s="1263">
        <f>SUM(E156)</f>
        <v>1103009</v>
      </c>
      <c r="F157" s="1605"/>
      <c r="H157" s="140"/>
    </row>
    <row r="158" spans="1:8">
      <c r="A158" s="479">
        <v>113</v>
      </c>
      <c r="B158" s="522"/>
      <c r="C158" s="227" t="s">
        <v>767</v>
      </c>
      <c r="D158" s="1262">
        <f>D154+D157</f>
        <v>11784547</v>
      </c>
      <c r="E158" s="1263">
        <f>E154+E157</f>
        <v>12732725</v>
      </c>
      <c r="F158" s="1605"/>
    </row>
    <row r="159" spans="1:8">
      <c r="A159" s="479">
        <v>114</v>
      </c>
      <c r="B159" s="522"/>
      <c r="C159" s="227"/>
      <c r="D159" s="1985"/>
      <c r="E159" s="427"/>
      <c r="F159" s="1605"/>
      <c r="H159" s="140"/>
    </row>
    <row r="160" spans="1:8" ht="15.75">
      <c r="A160" s="479">
        <v>115</v>
      </c>
      <c r="C160" s="227"/>
      <c r="D160" s="577"/>
      <c r="E160" s="427"/>
      <c r="F160" s="1605"/>
      <c r="G160" s="2197"/>
    </row>
    <row r="161" spans="1:18">
      <c r="A161" s="479">
        <v>116</v>
      </c>
      <c r="D161" s="508"/>
      <c r="E161" s="427"/>
      <c r="F161" s="1605"/>
      <c r="M161" s="86"/>
      <c r="N161" s="86"/>
      <c r="O161" s="140"/>
      <c r="P161" s="140"/>
      <c r="Q161" s="140"/>
    </row>
    <row r="162" spans="1:18" ht="15.75" thickBot="1">
      <c r="A162" s="583">
        <v>117</v>
      </c>
      <c r="B162" s="1257" t="s">
        <v>613</v>
      </c>
      <c r="C162" s="125"/>
      <c r="D162" s="2602">
        <f>D29+D49+D79+D105+D116+D136+D158</f>
        <v>35656624.43</v>
      </c>
      <c r="E162" s="2603">
        <f>E29+E49++E79+E105+E116+E136+E158</f>
        <v>36572897</v>
      </c>
      <c r="F162" s="1605"/>
      <c r="G162" s="405" t="s">
        <v>2483</v>
      </c>
      <c r="H162" s="787">
        <f>+D18+D42+D60+D93+D116+D136+D154</f>
        <v>29679213.43</v>
      </c>
      <c r="I162" s="432" t="str">
        <f>IF(ROUND(H162,0)=ROUND('116119'!I25,0),"ok","error")</f>
        <v>ok</v>
      </c>
      <c r="J162" s="787">
        <f>+E18+E42+E60+E93+E116+E136+E154</f>
        <v>28405165</v>
      </c>
      <c r="K162" s="432" t="str">
        <f>IF(J162='116119'!J25,"ok","error")</f>
        <v>ok</v>
      </c>
      <c r="M162" s="198"/>
      <c r="N162" s="198"/>
      <c r="O162" s="140"/>
      <c r="P162" s="140"/>
      <c r="Q162" s="140"/>
    </row>
    <row r="163" spans="1:18">
      <c r="A163" s="80"/>
      <c r="B163" s="22"/>
      <c r="C163" s="22"/>
      <c r="D163" s="2088"/>
      <c r="E163" s="132"/>
      <c r="F163" s="1605" t="str">
        <f>IF(ROUND(D162, 0)=ROUND('116119'!G25+'116119'!G26, 0), "ok","error")</f>
        <v>ok</v>
      </c>
      <c r="G163" s="213" t="s">
        <v>2484</v>
      </c>
      <c r="H163" s="787">
        <f>+D28+D48+D78+D104+D157</f>
        <v>5977411</v>
      </c>
      <c r="I163" s="432" t="str">
        <f>IF(H163='116119'!I26,"ok","error")</f>
        <v>ok</v>
      </c>
      <c r="J163" s="787">
        <f>+E28+E48+E78+E104+E157</f>
        <v>8167732</v>
      </c>
      <c r="K163" s="432" t="str">
        <f>IF(J163=ROUND('116119'!J26,0),"ok","error")</f>
        <v>ok</v>
      </c>
      <c r="M163" s="198"/>
      <c r="N163" s="198"/>
      <c r="O163" s="140"/>
      <c r="P163" s="140"/>
      <c r="Q163" s="140"/>
    </row>
    <row r="164" spans="1:18" s="86" customFormat="1" ht="15.75" thickBot="1">
      <c r="A164" s="85"/>
      <c r="B164" s="2090" t="s">
        <v>3408</v>
      </c>
      <c r="C164" s="2091"/>
      <c r="D164" s="2089"/>
      <c r="E164" s="132"/>
      <c r="F164" s="1605"/>
      <c r="G164"/>
      <c r="H164" s="2366">
        <f>SUM(H162:H163)</f>
        <v>35656624.43</v>
      </c>
      <c r="J164" s="2366">
        <f>SUM(J162:J163)</f>
        <v>36572897</v>
      </c>
      <c r="L164"/>
      <c r="M164"/>
      <c r="N164" s="136"/>
      <c r="O164" s="140"/>
      <c r="P164" s="140"/>
      <c r="Q164" s="140"/>
      <c r="R164" s="140"/>
    </row>
    <row r="165" spans="1:18" s="86" customFormat="1" ht="15.75" thickTop="1">
      <c r="A165" s="85"/>
      <c r="B165" s="2092"/>
      <c r="C165" s="2092"/>
      <c r="D165" s="404"/>
      <c r="E165" s="87"/>
      <c r="F165" s="1266"/>
      <c r="G165"/>
      <c r="L165"/>
      <c r="M165"/>
      <c r="N165"/>
      <c r="O165"/>
    </row>
    <row r="166" spans="1:18" s="86" customFormat="1" ht="45">
      <c r="A166" s="85"/>
      <c r="C166" s="2093" t="s">
        <v>3409</v>
      </c>
      <c r="E166" s="87"/>
      <c r="F166" s="1266"/>
      <c r="L166"/>
      <c r="M166"/>
      <c r="O166"/>
    </row>
    <row r="167" spans="1:18" s="86" customFormat="1">
      <c r="A167" s="85"/>
      <c r="B167" s="2093"/>
      <c r="C167" s="2093"/>
      <c r="E167" s="767"/>
    </row>
    <row r="168" spans="1:18" s="86" customFormat="1" ht="60.75" customHeight="1">
      <c r="A168" s="85"/>
      <c r="B168" s="2093"/>
      <c r="C168" s="2093" t="s">
        <v>2575</v>
      </c>
      <c r="E168" s="87"/>
    </row>
    <row r="169" spans="1:18" s="86" customFormat="1">
      <c r="A169" s="85"/>
      <c r="B169" s="2093"/>
      <c r="C169" s="2093"/>
      <c r="E169" s="87"/>
    </row>
    <row r="170" spans="1:18" s="86" customFormat="1" ht="45">
      <c r="A170" s="85"/>
      <c r="B170" s="2093"/>
      <c r="C170" s="2093" t="s">
        <v>1274</v>
      </c>
      <c r="E170" s="87"/>
    </row>
    <row r="171" spans="1:18" s="86" customFormat="1">
      <c r="A171" s="85"/>
      <c r="B171" s="2093"/>
      <c r="C171" s="2093"/>
      <c r="E171" s="87"/>
    </row>
    <row r="172" spans="1:18" s="86" customFormat="1">
      <c r="A172" s="1518" t="s">
        <v>284</v>
      </c>
      <c r="B172" s="2093"/>
      <c r="C172" s="2094" t="s">
        <v>1275</v>
      </c>
      <c r="D172" s="2382">
        <v>45291</v>
      </c>
      <c r="E172" s="87"/>
    </row>
    <row r="173" spans="1:18" s="86" customFormat="1">
      <c r="A173" s="1518" t="s">
        <v>1687</v>
      </c>
      <c r="B173" s="2093"/>
      <c r="C173" s="2094" t="s">
        <v>1276</v>
      </c>
      <c r="D173" s="506">
        <v>136</v>
      </c>
      <c r="E173" s="87"/>
    </row>
    <row r="174" spans="1:18" s="86" customFormat="1">
      <c r="A174" s="1518" t="s">
        <v>3053</v>
      </c>
      <c r="B174" s="2093"/>
      <c r="C174" s="2094" t="s">
        <v>1277</v>
      </c>
      <c r="D174" s="506">
        <v>0</v>
      </c>
      <c r="E174" s="87"/>
    </row>
    <row r="175" spans="1:18" s="86" customFormat="1">
      <c r="A175" s="1518" t="s">
        <v>2364</v>
      </c>
      <c r="B175" s="2093"/>
      <c r="C175" s="2095" t="s">
        <v>1278</v>
      </c>
      <c r="D175" s="382">
        <f>D174+D173</f>
        <v>136</v>
      </c>
      <c r="E175" s="87"/>
    </row>
    <row r="176" spans="1:18" s="86" customFormat="1">
      <c r="A176" s="85"/>
      <c r="B176" s="2093"/>
      <c r="C176" s="2093"/>
      <c r="E176" s="87"/>
    </row>
    <row r="177" spans="1:5" ht="15.75" thickBot="1">
      <c r="A177" s="124"/>
      <c r="B177" s="768"/>
      <c r="C177" s="768"/>
      <c r="D177" s="113"/>
      <c r="E177" s="116"/>
    </row>
    <row r="179" spans="1:5">
      <c r="A179" s="4" t="s">
        <v>1279</v>
      </c>
      <c r="B179" s="4"/>
      <c r="C179" s="4"/>
      <c r="D179" s="5"/>
      <c r="E179" s="5"/>
    </row>
    <row r="187" spans="1:5">
      <c r="C187" s="108"/>
    </row>
    <row r="188" spans="1:5">
      <c r="C188" s="108"/>
    </row>
    <row r="189" spans="1:5">
      <c r="C189" s="108"/>
    </row>
    <row r="190" spans="1:5">
      <c r="C190" s="108"/>
    </row>
    <row r="191" spans="1:5">
      <c r="C191" s="108"/>
    </row>
    <row r="192" spans="1:5">
      <c r="C192" s="108"/>
    </row>
    <row r="194" spans="3:3">
      <c r="C194" s="108"/>
    </row>
    <row r="195" spans="3:3">
      <c r="C195" s="108"/>
    </row>
    <row r="196" spans="3:3">
      <c r="C196" s="108"/>
    </row>
    <row r="197" spans="3:3">
      <c r="C197" s="108"/>
    </row>
    <row r="198" spans="3:3">
      <c r="C198" s="108"/>
    </row>
    <row r="199" spans="3:3">
      <c r="C199" s="108"/>
    </row>
    <row r="202" spans="3:3">
      <c r="C202" s="108"/>
    </row>
    <row r="203" spans="3:3">
      <c r="C203" s="108"/>
    </row>
    <row r="204" spans="3:3">
      <c r="C204" s="108"/>
    </row>
    <row r="205" spans="3:3">
      <c r="C205" s="108"/>
    </row>
    <row r="206" spans="3:3">
      <c r="C206" s="108"/>
    </row>
    <row r="207" spans="3:3">
      <c r="C207" s="108"/>
    </row>
    <row r="210" spans="3:3">
      <c r="C210" s="108"/>
    </row>
    <row r="211" spans="3:3">
      <c r="C211" s="108"/>
    </row>
    <row r="212" spans="3:3">
      <c r="C212" s="108"/>
    </row>
    <row r="213" spans="3:3">
      <c r="C213" s="108"/>
    </row>
    <row r="214" spans="3:3">
      <c r="C214" s="108"/>
    </row>
    <row r="215" spans="3:3">
      <c r="C215" s="108"/>
    </row>
  </sheetData>
  <phoneticPr fontId="0" type="noConversion"/>
  <printOptions horizontalCentered="1" verticalCentered="1"/>
  <pageMargins left="0.4" right="0.4" top="0.3" bottom="0.3" header="0" footer="0"/>
  <pageSetup scale="78" fitToHeight="3" orientation="portrait" r:id="rId1"/>
  <headerFooter alignWithMargins="0"/>
  <rowBreaks count="2" manualBreakCount="2">
    <brk id="62" max="4" man="1"/>
    <brk id="123" max="4" man="1"/>
  </rowBreaks>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ransitionEvaluation="1" codeName="Sheet59">
    <pageSetUpPr fitToPage="1"/>
  </sheetPr>
  <dimension ref="A1:L83"/>
  <sheetViews>
    <sheetView defaultGridColor="0" colorId="22" zoomScaleNormal="100" workbookViewId="0">
      <selection activeCell="D27" sqref="D27"/>
    </sheetView>
  </sheetViews>
  <sheetFormatPr defaultColWidth="9.77734375" defaultRowHeight="15"/>
  <cols>
    <col min="1" max="1" width="4.77734375" customWidth="1"/>
    <col min="2" max="2" width="67.44140625" customWidth="1"/>
    <col min="4" max="4" width="15.77734375" customWidth="1"/>
    <col min="5" max="5" width="14.33203125" bestFit="1" customWidth="1"/>
    <col min="6" max="6" width="12.88671875" bestFit="1" customWidth="1"/>
    <col min="7" max="7" width="13.6640625" bestFit="1" customWidth="1"/>
    <col min="8" max="8" width="18.21875" bestFit="1" customWidth="1"/>
  </cols>
  <sheetData>
    <row r="1" spans="1:12" ht="15.75" thickBot="1">
      <c r="A1" t="str">
        <f>'Data sheet'!A65</f>
        <v>Annual Report of Veolia Water New York, Inc.                                                                                          Year Ended  December 31, 2023</v>
      </c>
      <c r="E1" s="4"/>
    </row>
    <row r="2" spans="1:12">
      <c r="A2" s="80"/>
      <c r="B2" s="81"/>
      <c r="C2" s="81"/>
      <c r="D2" s="81"/>
      <c r="E2" s="82"/>
    </row>
    <row r="3" spans="1:12" ht="15.75">
      <c r="A3" s="723" t="s">
        <v>1280</v>
      </c>
      <c r="B3" s="724"/>
      <c r="C3" s="724"/>
      <c r="D3" s="724"/>
      <c r="E3" s="725"/>
    </row>
    <row r="4" spans="1:12">
      <c r="A4" s="123"/>
      <c r="B4" s="224"/>
      <c r="C4" s="224"/>
      <c r="D4" s="224"/>
      <c r="E4" s="225"/>
    </row>
    <row r="5" spans="1:12">
      <c r="A5" s="83"/>
      <c r="E5" s="214"/>
    </row>
    <row r="6" spans="1:12">
      <c r="A6" s="83"/>
      <c r="B6" t="s">
        <v>1281</v>
      </c>
      <c r="E6" s="214"/>
    </row>
    <row r="7" spans="1:12">
      <c r="A7" s="83"/>
      <c r="B7" t="s">
        <v>109</v>
      </c>
      <c r="E7" s="214"/>
    </row>
    <row r="8" spans="1:12">
      <c r="A8" s="123"/>
      <c r="B8" s="224"/>
      <c r="C8" s="224"/>
      <c r="D8" s="224"/>
      <c r="E8" s="225"/>
    </row>
    <row r="9" spans="1:12">
      <c r="A9" s="595"/>
      <c r="B9" s="238"/>
      <c r="C9" s="227"/>
      <c r="D9" s="726" t="s">
        <v>110</v>
      </c>
      <c r="E9" s="727"/>
    </row>
    <row r="10" spans="1:12">
      <c r="A10" s="595" t="s">
        <v>1727</v>
      </c>
      <c r="B10" s="714" t="s">
        <v>111</v>
      </c>
      <c r="C10" s="726" t="s">
        <v>112</v>
      </c>
      <c r="D10" s="726" t="s">
        <v>113</v>
      </c>
      <c r="E10" s="727"/>
    </row>
    <row r="11" spans="1:12">
      <c r="A11" s="595"/>
      <c r="B11" s="238"/>
      <c r="C11" s="726" t="s">
        <v>114</v>
      </c>
      <c r="D11" s="726" t="s">
        <v>115</v>
      </c>
      <c r="E11" s="727" t="s">
        <v>1291</v>
      </c>
    </row>
    <row r="12" spans="1:12">
      <c r="A12" s="596" t="s">
        <v>1739</v>
      </c>
      <c r="B12" s="715" t="s">
        <v>3279</v>
      </c>
      <c r="C12" s="861" t="s">
        <v>3280</v>
      </c>
      <c r="D12" s="861" t="s">
        <v>3281</v>
      </c>
      <c r="E12" s="823" t="s">
        <v>3282</v>
      </c>
    </row>
    <row r="13" spans="1:12">
      <c r="A13" s="595">
        <v>1</v>
      </c>
      <c r="B13" s="728"/>
      <c r="C13" s="729"/>
      <c r="D13" s="95"/>
      <c r="E13" s="769"/>
    </row>
    <row r="14" spans="1:12" s="86" customFormat="1">
      <c r="A14" s="110">
        <v>2</v>
      </c>
      <c r="B14" s="2063" t="s">
        <v>4625</v>
      </c>
      <c r="C14" s="1558" t="s">
        <v>2169</v>
      </c>
      <c r="D14" s="2655">
        <v>26855325</v>
      </c>
      <c r="E14" s="2139">
        <v>1826647</v>
      </c>
      <c r="F14"/>
      <c r="G14"/>
      <c r="H14"/>
      <c r="I14"/>
      <c r="J14"/>
      <c r="K14"/>
      <c r="L14"/>
    </row>
    <row r="15" spans="1:12">
      <c r="A15" s="595">
        <v>3</v>
      </c>
      <c r="B15" s="96"/>
      <c r="C15" s="2140"/>
      <c r="D15" s="2133"/>
      <c r="E15" s="2139"/>
    </row>
    <row r="16" spans="1:12">
      <c r="A16" s="595">
        <v>4</v>
      </c>
      <c r="B16" s="96" t="s">
        <v>5078</v>
      </c>
      <c r="C16" s="1558" t="s">
        <v>2169</v>
      </c>
      <c r="D16" s="2655">
        <v>1174723</v>
      </c>
      <c r="E16" s="2653">
        <v>146269</v>
      </c>
    </row>
    <row r="17" spans="1:5">
      <c r="A17" s="595">
        <v>5</v>
      </c>
      <c r="B17" s="96"/>
      <c r="C17" s="1558"/>
      <c r="D17" s="2655"/>
      <c r="E17" s="2653"/>
    </row>
    <row r="18" spans="1:5">
      <c r="A18" s="595">
        <v>6</v>
      </c>
      <c r="B18" s="96"/>
      <c r="C18" s="1558"/>
      <c r="D18" s="2655"/>
      <c r="E18" s="2653"/>
    </row>
    <row r="19" spans="1:5">
      <c r="A19" s="595">
        <v>7</v>
      </c>
      <c r="B19" s="96"/>
      <c r="C19" s="1558"/>
      <c r="D19" s="2655"/>
      <c r="E19" s="2653"/>
    </row>
    <row r="20" spans="1:5">
      <c r="A20" s="595">
        <v>8</v>
      </c>
      <c r="B20" s="96"/>
      <c r="C20" s="1558"/>
      <c r="D20" s="2655"/>
      <c r="E20" s="2653"/>
    </row>
    <row r="21" spans="1:5">
      <c r="A21" s="595">
        <v>9</v>
      </c>
      <c r="B21" s="2063"/>
      <c r="C21" s="1558"/>
      <c r="D21" s="2655"/>
      <c r="E21" s="2653"/>
    </row>
    <row r="22" spans="1:5">
      <c r="A22" s="595">
        <v>10</v>
      </c>
      <c r="B22" s="2063"/>
      <c r="C22" s="1558"/>
      <c r="D22" s="2655"/>
      <c r="E22" s="2653"/>
    </row>
    <row r="23" spans="1:5">
      <c r="A23" s="595">
        <v>11</v>
      </c>
      <c r="B23" s="2063"/>
      <c r="C23" s="1558"/>
      <c r="D23" s="2655"/>
      <c r="E23" s="2653"/>
    </row>
    <row r="24" spans="1:5">
      <c r="A24" s="595">
        <v>12</v>
      </c>
      <c r="B24" s="2063"/>
      <c r="C24" s="1558"/>
      <c r="D24" s="2655"/>
      <c r="E24" s="2653"/>
    </row>
    <row r="25" spans="1:5">
      <c r="A25" s="595">
        <v>13</v>
      </c>
      <c r="B25" s="2063"/>
      <c r="C25" s="1558"/>
      <c r="D25" s="2655"/>
      <c r="E25" s="2653"/>
    </row>
    <row r="26" spans="1:5">
      <c r="A26" s="595">
        <v>14</v>
      </c>
      <c r="B26" s="2063"/>
      <c r="C26" s="1558"/>
      <c r="D26" s="2655"/>
      <c r="E26" s="2653"/>
    </row>
    <row r="27" spans="1:5">
      <c r="A27" s="595">
        <v>15</v>
      </c>
      <c r="B27" s="2063"/>
      <c r="C27" s="1558"/>
      <c r="D27" s="2655"/>
      <c r="E27" s="2653"/>
    </row>
    <row r="28" spans="1:5">
      <c r="A28" s="595">
        <v>16</v>
      </c>
      <c r="B28" s="2063"/>
      <c r="C28" s="1558"/>
      <c r="D28" s="2655"/>
      <c r="E28" s="2653"/>
    </row>
    <row r="29" spans="1:5">
      <c r="A29" s="595">
        <v>17</v>
      </c>
      <c r="B29" s="728"/>
      <c r="C29" s="729"/>
      <c r="D29" s="2655"/>
      <c r="E29" s="2653"/>
    </row>
    <row r="30" spans="1:5">
      <c r="A30" s="595">
        <v>18</v>
      </c>
      <c r="B30" s="728"/>
      <c r="C30" s="729"/>
      <c r="D30" s="2655"/>
      <c r="E30" s="2653"/>
    </row>
    <row r="31" spans="1:5">
      <c r="A31" s="595">
        <v>19</v>
      </c>
      <c r="B31" s="728"/>
      <c r="C31" s="729"/>
      <c r="D31" s="2655"/>
      <c r="E31" s="2653"/>
    </row>
    <row r="32" spans="1:5">
      <c r="A32" s="595">
        <v>20</v>
      </c>
      <c r="B32" s="728"/>
      <c r="C32" s="729"/>
      <c r="D32" s="2655"/>
      <c r="E32" s="2653"/>
    </row>
    <row r="33" spans="1:5">
      <c r="A33" s="595">
        <v>21</v>
      </c>
      <c r="B33" s="728"/>
      <c r="C33" s="729"/>
      <c r="D33" s="729"/>
      <c r="E33" s="760"/>
    </row>
    <row r="34" spans="1:5">
      <c r="A34" s="595">
        <v>22</v>
      </c>
      <c r="B34" s="728"/>
      <c r="C34" s="729"/>
      <c r="D34" s="729"/>
      <c r="E34" s="760"/>
    </row>
    <row r="35" spans="1:5">
      <c r="A35" s="595">
        <v>23</v>
      </c>
      <c r="B35" s="728"/>
      <c r="C35" s="729"/>
      <c r="D35" s="729"/>
      <c r="E35" s="760"/>
    </row>
    <row r="36" spans="1:5">
      <c r="A36" s="595">
        <v>24</v>
      </c>
      <c r="B36" s="728"/>
      <c r="C36" s="729"/>
      <c r="D36" s="729"/>
      <c r="E36" s="760"/>
    </row>
    <row r="37" spans="1:5">
      <c r="A37" s="595">
        <v>25</v>
      </c>
      <c r="B37" s="728"/>
      <c r="C37" s="729"/>
      <c r="D37" s="729"/>
      <c r="E37" s="760"/>
    </row>
    <row r="38" spans="1:5">
      <c r="A38" s="595">
        <v>26</v>
      </c>
      <c r="B38" s="728"/>
      <c r="C38" s="729"/>
      <c r="D38" s="729"/>
      <c r="E38" s="760"/>
    </row>
    <row r="39" spans="1:5">
      <c r="A39" s="595">
        <v>27</v>
      </c>
      <c r="B39" s="728"/>
      <c r="C39" s="729"/>
      <c r="D39" s="729"/>
      <c r="E39" s="760"/>
    </row>
    <row r="40" spans="1:5">
      <c r="A40" s="595">
        <v>28</v>
      </c>
      <c r="B40" s="728"/>
      <c r="C40" s="729"/>
      <c r="D40" s="729"/>
      <c r="E40" s="760"/>
    </row>
    <row r="41" spans="1:5">
      <c r="A41" s="595">
        <v>29</v>
      </c>
      <c r="B41" s="728"/>
      <c r="C41" s="729"/>
      <c r="D41" s="729"/>
      <c r="E41" s="760"/>
    </row>
    <row r="42" spans="1:5">
      <c r="A42" s="595">
        <f t="shared" ref="A42:A60" si="0">A41+1</f>
        <v>30</v>
      </c>
      <c r="B42" s="728"/>
      <c r="C42" s="729"/>
      <c r="D42" s="729"/>
      <c r="E42" s="760"/>
    </row>
    <row r="43" spans="1:5">
      <c r="A43" s="595">
        <f t="shared" si="0"/>
        <v>31</v>
      </c>
      <c r="B43" s="728"/>
      <c r="C43" s="729"/>
      <c r="D43" s="729"/>
      <c r="E43" s="760"/>
    </row>
    <row r="44" spans="1:5">
      <c r="A44" s="595">
        <f t="shared" si="0"/>
        <v>32</v>
      </c>
      <c r="B44" s="728"/>
      <c r="C44" s="729"/>
      <c r="D44" s="729"/>
      <c r="E44" s="760"/>
    </row>
    <row r="45" spans="1:5">
      <c r="A45" s="595">
        <f t="shared" si="0"/>
        <v>33</v>
      </c>
      <c r="B45" s="728"/>
      <c r="C45" s="729"/>
      <c r="D45" s="729"/>
      <c r="E45" s="760"/>
    </row>
    <row r="46" spans="1:5">
      <c r="A46" s="595">
        <f t="shared" si="0"/>
        <v>34</v>
      </c>
      <c r="B46" s="728"/>
      <c r="C46" s="729"/>
      <c r="D46" s="729"/>
      <c r="E46" s="760"/>
    </row>
    <row r="47" spans="1:5">
      <c r="A47" s="595">
        <f t="shared" si="0"/>
        <v>35</v>
      </c>
      <c r="B47" s="728"/>
      <c r="C47" s="729"/>
      <c r="D47" s="729"/>
      <c r="E47" s="760"/>
    </row>
    <row r="48" spans="1:5">
      <c r="A48" s="595">
        <f t="shared" si="0"/>
        <v>36</v>
      </c>
      <c r="B48" s="728"/>
      <c r="C48" s="729"/>
      <c r="D48" s="729"/>
      <c r="E48" s="760"/>
    </row>
    <row r="49" spans="1:6">
      <c r="A49" s="595">
        <f t="shared" si="0"/>
        <v>37</v>
      </c>
      <c r="B49" s="728"/>
      <c r="C49" s="729"/>
      <c r="D49" s="729"/>
      <c r="E49" s="760"/>
    </row>
    <row r="50" spans="1:6">
      <c r="A50" s="595">
        <f t="shared" si="0"/>
        <v>38</v>
      </c>
      <c r="B50" s="728"/>
      <c r="C50" s="729"/>
      <c r="D50" s="729"/>
      <c r="E50" s="760"/>
    </row>
    <row r="51" spans="1:6">
      <c r="A51" s="595">
        <f t="shared" si="0"/>
        <v>39</v>
      </c>
      <c r="B51" s="728"/>
      <c r="C51" s="729"/>
      <c r="D51" s="729"/>
      <c r="E51" s="760"/>
    </row>
    <row r="52" spans="1:6">
      <c r="A52" s="595">
        <f t="shared" si="0"/>
        <v>40</v>
      </c>
      <c r="B52" s="728"/>
      <c r="C52" s="729"/>
      <c r="D52" s="729"/>
      <c r="E52" s="760"/>
    </row>
    <row r="53" spans="1:6">
      <c r="A53" s="595">
        <f t="shared" si="0"/>
        <v>41</v>
      </c>
      <c r="B53" s="728"/>
      <c r="C53" s="729"/>
      <c r="D53" s="729"/>
      <c r="E53" s="760"/>
    </row>
    <row r="54" spans="1:6">
      <c r="A54" s="595">
        <f t="shared" si="0"/>
        <v>42</v>
      </c>
      <c r="B54" s="728"/>
      <c r="C54" s="729"/>
      <c r="D54" s="729"/>
      <c r="E54" s="760"/>
    </row>
    <row r="55" spans="1:6">
      <c r="A55" s="595">
        <f t="shared" si="0"/>
        <v>43</v>
      </c>
      <c r="B55" s="728"/>
      <c r="C55" s="729"/>
      <c r="D55" s="729"/>
      <c r="E55" s="760"/>
    </row>
    <row r="56" spans="1:6">
      <c r="A56" s="595">
        <f t="shared" si="0"/>
        <v>44</v>
      </c>
      <c r="B56" s="728"/>
      <c r="C56" s="729"/>
      <c r="D56" s="729"/>
      <c r="E56" s="760"/>
    </row>
    <row r="57" spans="1:6">
      <c r="A57" s="595">
        <f t="shared" si="0"/>
        <v>45</v>
      </c>
      <c r="B57" s="728"/>
      <c r="C57" s="729"/>
      <c r="D57" s="729"/>
      <c r="E57" s="760"/>
    </row>
    <row r="58" spans="1:6">
      <c r="A58" s="595">
        <f t="shared" si="0"/>
        <v>46</v>
      </c>
      <c r="B58" s="728"/>
      <c r="C58" s="729"/>
      <c r="D58" s="729"/>
      <c r="E58" s="760" t="s">
        <v>218</v>
      </c>
    </row>
    <row r="59" spans="1:6">
      <c r="A59" s="595">
        <f t="shared" si="0"/>
        <v>47</v>
      </c>
      <c r="B59" s="728"/>
      <c r="C59" s="729"/>
      <c r="D59" s="729"/>
      <c r="E59" s="760" t="s">
        <v>218</v>
      </c>
    </row>
    <row r="60" spans="1:6">
      <c r="A60" s="595">
        <f t="shared" si="0"/>
        <v>48</v>
      </c>
      <c r="B60" s="728"/>
      <c r="C60" s="729"/>
      <c r="D60" s="729"/>
      <c r="E60" s="760" t="s">
        <v>218</v>
      </c>
    </row>
    <row r="61" spans="1:6" ht="15.75" thickBot="1">
      <c r="A61" s="603">
        <v>49</v>
      </c>
      <c r="B61" s="733" t="s">
        <v>4232</v>
      </c>
      <c r="C61" s="770"/>
      <c r="D61" s="1541">
        <f>SUM(D13:D60)</f>
        <v>28030048</v>
      </c>
      <c r="E61" s="236">
        <f>SUM(E13:E60)</f>
        <v>1972916</v>
      </c>
      <c r="F61" s="1605" t="str">
        <f>IF(E61=+'307309'!D37,"ok","error")</f>
        <v>ok</v>
      </c>
    </row>
    <row r="62" spans="1:6">
      <c r="E62" t="s">
        <v>2024</v>
      </c>
    </row>
    <row r="63" spans="1:6">
      <c r="A63" s="4" t="s">
        <v>116</v>
      </c>
      <c r="B63" s="4"/>
      <c r="C63" s="4"/>
      <c r="D63" s="4"/>
      <c r="E63" s="735"/>
    </row>
    <row r="67" spans="2:2">
      <c r="B67" s="108"/>
    </row>
    <row r="70" spans="2:2">
      <c r="B70" s="108"/>
    </row>
    <row r="71" spans="2:2">
      <c r="B71" s="108"/>
    </row>
    <row r="72" spans="2:2">
      <c r="B72" s="108"/>
    </row>
    <row r="73" spans="2:2">
      <c r="B73" s="108"/>
    </row>
    <row r="74" spans="2:2">
      <c r="B74" s="14"/>
    </row>
    <row r="75" spans="2:2">
      <c r="B75" s="108"/>
    </row>
    <row r="76" spans="2:2">
      <c r="B76" s="108"/>
    </row>
    <row r="79" spans="2:2">
      <c r="B79" s="108"/>
    </row>
    <row r="80" spans="2:2">
      <c r="B80" s="108"/>
    </row>
    <row r="81" spans="2:2">
      <c r="B81" s="108"/>
    </row>
    <row r="82" spans="2:2">
      <c r="B82" s="108"/>
    </row>
    <row r="83" spans="2:2">
      <c r="B83" s="108"/>
    </row>
  </sheetData>
  <phoneticPr fontId="0" type="noConversion"/>
  <printOptions horizontalCentered="1" verticalCentered="1"/>
  <pageMargins left="0.4" right="0.4" top="0.3" bottom="0.3" header="0" footer="0"/>
  <pageSetup scale="73"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ransitionEvaluation="1" codeName="Sheet60"/>
  <dimension ref="A1:R833"/>
  <sheetViews>
    <sheetView defaultGridColor="0" colorId="22" zoomScaleNormal="100" workbookViewId="0">
      <selection activeCell="F1" sqref="F1"/>
    </sheetView>
  </sheetViews>
  <sheetFormatPr defaultColWidth="9.77734375" defaultRowHeight="15"/>
  <cols>
    <col min="1" max="1" width="4.77734375" customWidth="1"/>
    <col min="2" max="2" width="41" customWidth="1"/>
    <col min="3" max="4" width="14.77734375" customWidth="1"/>
    <col min="5" max="5" width="16.109375" customWidth="1"/>
    <col min="6" max="6" width="19.77734375" customWidth="1"/>
    <col min="7" max="7" width="4.77734375" customWidth="1"/>
    <col min="8" max="8" width="11.77734375" customWidth="1"/>
    <col min="9" max="9" width="20.77734375" customWidth="1"/>
    <col min="10" max="12" width="11.77734375" customWidth="1"/>
    <col min="13" max="13" width="12.5546875" customWidth="1"/>
    <col min="14" max="14" width="11.77734375" customWidth="1"/>
    <col min="16" max="16" width="10.44140625" bestFit="1" customWidth="1"/>
  </cols>
  <sheetData>
    <row r="1" spans="1:18" ht="15.75" thickBot="1">
      <c r="A1" s="86" t="str">
        <f>'Data sheet'!A61</f>
        <v>Annual Report of Veolia Water New York, Inc.                                                                       Year Ended  December 31, 2023</v>
      </c>
      <c r="B1" s="86"/>
      <c r="C1" s="86"/>
      <c r="D1" s="86"/>
      <c r="E1" s="86"/>
      <c r="F1" s="86"/>
      <c r="G1" s="86" t="str">
        <f>'Data sheet'!A57</f>
        <v>Annual Report of Veolia Water New York, Inc.                                              Year Ended  December 31, 2023</v>
      </c>
      <c r="H1" s="405"/>
      <c r="I1" s="86"/>
      <c r="J1" s="86"/>
      <c r="K1" s="86"/>
      <c r="L1" s="86"/>
      <c r="M1" s="86"/>
      <c r="N1" s="86"/>
      <c r="O1" s="86"/>
      <c r="P1" s="86"/>
      <c r="Q1" s="86"/>
      <c r="R1" s="86"/>
    </row>
    <row r="2" spans="1:18">
      <c r="A2" s="129"/>
      <c r="B2" s="130"/>
      <c r="C2" s="130"/>
      <c r="D2" s="130"/>
      <c r="E2" s="130"/>
      <c r="F2" s="131"/>
      <c r="G2" s="129"/>
      <c r="H2" s="1170"/>
      <c r="I2" s="130"/>
      <c r="J2" s="130"/>
      <c r="K2" s="130"/>
      <c r="L2" s="130"/>
      <c r="M2" s="130"/>
      <c r="N2" s="131"/>
      <c r="O2" s="86"/>
      <c r="P2" s="86"/>
      <c r="Q2" s="86"/>
      <c r="R2" s="86"/>
    </row>
    <row r="3" spans="1:18" ht="15.75">
      <c r="A3" s="118" t="s">
        <v>117</v>
      </c>
      <c r="B3" s="5"/>
      <c r="C3" s="5"/>
      <c r="D3" s="5"/>
      <c r="E3" s="5"/>
      <c r="F3" s="132"/>
      <c r="G3" s="118" t="s">
        <v>118</v>
      </c>
      <c r="H3" s="5"/>
      <c r="I3" s="5"/>
      <c r="J3" s="5"/>
      <c r="K3" s="5"/>
      <c r="L3" s="5"/>
      <c r="M3" s="5"/>
      <c r="N3" s="132"/>
      <c r="O3" s="86"/>
      <c r="P3" s="86"/>
      <c r="Q3" s="86"/>
      <c r="R3" s="86"/>
    </row>
    <row r="4" spans="1:18">
      <c r="A4" s="488" t="s">
        <v>119</v>
      </c>
      <c r="B4" s="5"/>
      <c r="C4" s="5"/>
      <c r="D4" s="5"/>
      <c r="E4" s="5"/>
      <c r="F4" s="132"/>
      <c r="G4" s="488" t="s">
        <v>1478</v>
      </c>
      <c r="H4" s="5"/>
      <c r="I4" s="5"/>
      <c r="J4" s="5"/>
      <c r="K4" s="5"/>
      <c r="L4" s="5"/>
      <c r="M4" s="5"/>
      <c r="N4" s="132"/>
      <c r="O4" s="86"/>
      <c r="P4" s="86"/>
      <c r="Q4" s="86"/>
      <c r="R4" s="86"/>
    </row>
    <row r="5" spans="1:18">
      <c r="A5" s="97"/>
      <c r="B5" s="98"/>
      <c r="C5" s="98"/>
      <c r="D5" s="98"/>
      <c r="E5" s="98"/>
      <c r="F5" s="101"/>
      <c r="G5" s="110"/>
      <c r="H5" s="405"/>
      <c r="I5" s="94"/>
      <c r="J5" s="94"/>
      <c r="K5" s="94"/>
      <c r="L5" s="94"/>
      <c r="M5" s="94"/>
      <c r="N5" s="428"/>
      <c r="O5" s="86"/>
      <c r="P5" s="86"/>
      <c r="Q5" s="86"/>
      <c r="R5" s="86"/>
    </row>
    <row r="6" spans="1:18">
      <c r="A6" s="85"/>
      <c r="B6" s="86" t="s">
        <v>1479</v>
      </c>
      <c r="C6" s="86"/>
      <c r="D6" s="86"/>
      <c r="E6" s="86"/>
      <c r="F6" s="87"/>
      <c r="G6" s="775"/>
      <c r="H6" s="1581"/>
      <c r="I6" s="1009"/>
      <c r="J6" s="1009"/>
      <c r="K6" s="1009"/>
      <c r="L6" s="1009"/>
      <c r="M6" s="1009"/>
      <c r="N6" s="2597"/>
      <c r="O6" s="86"/>
      <c r="P6" s="86"/>
      <c r="Q6" s="86"/>
      <c r="R6" s="86"/>
    </row>
    <row r="7" spans="1:18">
      <c r="A7" s="771"/>
      <c r="B7" s="86" t="s">
        <v>1480</v>
      </c>
      <c r="C7" s="359"/>
      <c r="D7" s="359"/>
      <c r="E7" s="359"/>
      <c r="F7" s="360"/>
      <c r="G7" s="110"/>
      <c r="H7" s="1582"/>
      <c r="I7" s="620" t="s">
        <v>1481</v>
      </c>
      <c r="J7" s="620" t="s">
        <v>1482</v>
      </c>
      <c r="K7" s="142"/>
      <c r="L7" s="620" t="s">
        <v>1483</v>
      </c>
      <c r="M7" s="142"/>
      <c r="N7" s="363" t="s">
        <v>2917</v>
      </c>
      <c r="O7" s="86"/>
      <c r="P7" s="86"/>
      <c r="Q7" s="86"/>
      <c r="R7" s="86"/>
    </row>
    <row r="8" spans="1:18">
      <c r="A8" s="771"/>
      <c r="B8" s="86" t="s">
        <v>1484</v>
      </c>
      <c r="C8" s="359"/>
      <c r="D8" s="359"/>
      <c r="E8" s="359"/>
      <c r="F8" s="360"/>
      <c r="G8" s="110"/>
      <c r="H8" s="620" t="s">
        <v>4315</v>
      </c>
      <c r="I8" s="620" t="s">
        <v>1485</v>
      </c>
      <c r="J8" s="620" t="s">
        <v>1486</v>
      </c>
      <c r="K8" s="620" t="s">
        <v>1487</v>
      </c>
      <c r="L8" s="620" t="s">
        <v>1488</v>
      </c>
      <c r="M8" s="620" t="s">
        <v>1489</v>
      </c>
      <c r="N8" s="363" t="s">
        <v>1490</v>
      </c>
      <c r="O8" s="86"/>
      <c r="P8" s="86"/>
      <c r="Q8" s="86"/>
      <c r="R8" s="86"/>
    </row>
    <row r="9" spans="1:18">
      <c r="A9" s="771"/>
      <c r="B9" s="86" t="s">
        <v>2566</v>
      </c>
      <c r="C9" s="359"/>
      <c r="D9" s="359"/>
      <c r="E9" s="359"/>
      <c r="F9" s="360"/>
      <c r="G9" s="110" t="s">
        <v>1727</v>
      </c>
      <c r="H9" s="620" t="s">
        <v>1739</v>
      </c>
      <c r="I9" s="620" t="s">
        <v>2567</v>
      </c>
      <c r="J9" s="620" t="s">
        <v>2568</v>
      </c>
      <c r="K9" s="620" t="s">
        <v>2569</v>
      </c>
      <c r="L9" s="620" t="s">
        <v>2569</v>
      </c>
      <c r="M9" s="620" t="s">
        <v>2570</v>
      </c>
      <c r="N9" s="363" t="s">
        <v>2568</v>
      </c>
      <c r="O9" s="86"/>
      <c r="P9" s="86"/>
      <c r="Q9" s="86"/>
      <c r="R9" s="86"/>
    </row>
    <row r="10" spans="1:18">
      <c r="A10" s="771"/>
      <c r="B10" s="86" t="s">
        <v>3428</v>
      </c>
      <c r="C10" s="359"/>
      <c r="D10" s="359"/>
      <c r="E10" s="359"/>
      <c r="F10" s="360"/>
      <c r="G10" s="364"/>
      <c r="H10" s="621" t="s">
        <v>3279</v>
      </c>
      <c r="I10" s="621" t="s">
        <v>3280</v>
      </c>
      <c r="J10" s="621" t="s">
        <v>3281</v>
      </c>
      <c r="K10" s="621" t="s">
        <v>3282</v>
      </c>
      <c r="L10" s="621" t="s">
        <v>721</v>
      </c>
      <c r="M10" s="621" t="s">
        <v>722</v>
      </c>
      <c r="N10" s="367" t="s">
        <v>723</v>
      </c>
      <c r="O10" s="86"/>
      <c r="P10" s="86"/>
      <c r="Q10" s="86"/>
      <c r="R10" s="86"/>
    </row>
    <row r="11" spans="1:18">
      <c r="A11" s="771"/>
      <c r="B11" s="86" t="s">
        <v>530</v>
      </c>
      <c r="C11" s="359"/>
      <c r="D11" s="359"/>
      <c r="E11" s="359"/>
      <c r="F11" s="360"/>
      <c r="G11" s="110">
        <v>9</v>
      </c>
      <c r="H11" s="1947" t="s">
        <v>5277</v>
      </c>
      <c r="I11" s="506">
        <v>2572056.25</v>
      </c>
      <c r="J11" s="1943">
        <v>70.063680879551427</v>
      </c>
      <c r="K11" s="1937">
        <v>1.42727E-3</v>
      </c>
      <c r="L11" s="1945">
        <v>1.4272730000000001E-2</v>
      </c>
      <c r="M11" s="95"/>
      <c r="N11" s="773"/>
      <c r="O11" s="86"/>
      <c r="P11" s="86"/>
      <c r="Q11" s="86"/>
      <c r="R11" s="86"/>
    </row>
    <row r="12" spans="1:18">
      <c r="A12" s="771"/>
      <c r="B12" s="86" t="s">
        <v>531</v>
      </c>
      <c r="C12" s="359"/>
      <c r="D12" s="359"/>
      <c r="E12" s="359"/>
      <c r="F12" s="360"/>
      <c r="G12" s="110">
        <v>10</v>
      </c>
      <c r="H12" s="1948" t="s">
        <v>5045</v>
      </c>
      <c r="I12" s="508">
        <v>1654844.63</v>
      </c>
      <c r="J12" s="1944">
        <v>41.666666666666664</v>
      </c>
      <c r="K12" s="1937">
        <v>0</v>
      </c>
      <c r="L12" s="1946">
        <v>2.4E-2</v>
      </c>
      <c r="M12" s="95"/>
      <c r="N12" s="773"/>
      <c r="O12" s="86"/>
      <c r="P12" s="86"/>
      <c r="Q12" s="86"/>
      <c r="R12" s="86"/>
    </row>
    <row r="13" spans="1:18">
      <c r="A13" s="771"/>
      <c r="B13" s="86" t="s">
        <v>532</v>
      </c>
      <c r="C13" s="359"/>
      <c r="D13" s="359"/>
      <c r="E13" s="359"/>
      <c r="F13" s="360"/>
      <c r="G13" s="110">
        <v>11</v>
      </c>
      <c r="H13" s="1948" t="s">
        <v>5046</v>
      </c>
      <c r="I13" s="508">
        <v>10128372.239999998</v>
      </c>
      <c r="J13" s="1944">
        <v>63.69426751592357</v>
      </c>
      <c r="K13" s="1937">
        <v>0</v>
      </c>
      <c r="L13" s="1946">
        <v>1.5699999999999999E-2</v>
      </c>
      <c r="M13" s="95"/>
      <c r="N13" s="773"/>
      <c r="O13" s="86"/>
      <c r="P13" s="86"/>
      <c r="Q13" s="86"/>
      <c r="R13" s="86"/>
    </row>
    <row r="14" spans="1:18">
      <c r="A14" s="771"/>
      <c r="B14" s="86" t="s">
        <v>533</v>
      </c>
      <c r="C14" s="359"/>
      <c r="D14" s="359"/>
      <c r="E14" s="359"/>
      <c r="F14" s="360"/>
      <c r="G14" s="110">
        <v>12</v>
      </c>
      <c r="H14" s="1948" t="s">
        <v>3422</v>
      </c>
      <c r="I14" s="508">
        <v>6572283.7000000002</v>
      </c>
      <c r="J14" s="1944">
        <v>70.063680879551427</v>
      </c>
      <c r="K14" s="1937">
        <v>1.42727E-3</v>
      </c>
      <c r="L14" s="1946">
        <v>1.4272730000000001E-2</v>
      </c>
      <c r="M14" s="577"/>
      <c r="N14" s="773"/>
      <c r="O14" s="86"/>
      <c r="P14" s="86"/>
      <c r="Q14" s="86"/>
      <c r="R14" s="86"/>
    </row>
    <row r="15" spans="1:18">
      <c r="A15" s="771"/>
      <c r="B15" s="86" t="s">
        <v>534</v>
      </c>
      <c r="C15" s="359"/>
      <c r="D15" s="359"/>
      <c r="E15" s="359"/>
      <c r="F15" s="360"/>
      <c r="G15" s="110">
        <v>13</v>
      </c>
      <c r="H15" s="1948" t="s">
        <v>3425</v>
      </c>
      <c r="I15" s="508">
        <v>1411259.37</v>
      </c>
      <c r="J15" s="1944">
        <v>50</v>
      </c>
      <c r="K15" s="1937">
        <v>3.0000000000000001E-3</v>
      </c>
      <c r="L15" s="1946">
        <v>0.02</v>
      </c>
      <c r="M15" s="95"/>
      <c r="N15" s="773"/>
      <c r="O15" s="86"/>
      <c r="P15" s="86"/>
      <c r="Q15" s="86"/>
      <c r="R15" s="86"/>
    </row>
    <row r="16" spans="1:18">
      <c r="A16" s="771"/>
      <c r="B16" s="86" t="s">
        <v>535</v>
      </c>
      <c r="C16" s="359"/>
      <c r="D16" s="359"/>
      <c r="E16" s="359"/>
      <c r="F16" s="360"/>
      <c r="G16" s="110">
        <v>14</v>
      </c>
      <c r="H16" s="1948" t="s">
        <v>3425</v>
      </c>
      <c r="I16" s="508">
        <v>6638688.1799999997</v>
      </c>
      <c r="J16" s="1944">
        <v>55.023932659510251</v>
      </c>
      <c r="K16" s="1937">
        <v>2.72609E-3</v>
      </c>
      <c r="L16" s="1946">
        <v>1.8173910000000001E-2</v>
      </c>
      <c r="M16" s="95"/>
      <c r="N16" s="773"/>
      <c r="O16" s="86"/>
      <c r="P16" s="86"/>
      <c r="Q16" s="86"/>
      <c r="R16" s="86"/>
    </row>
    <row r="17" spans="1:18">
      <c r="A17" s="771"/>
      <c r="B17" s="86" t="s">
        <v>1566</v>
      </c>
      <c r="C17" s="359"/>
      <c r="D17" s="359"/>
      <c r="E17" s="359"/>
      <c r="F17" s="360"/>
      <c r="G17" s="110">
        <v>15</v>
      </c>
      <c r="H17" s="1948" t="s">
        <v>2520</v>
      </c>
      <c r="I17" s="508">
        <v>2886940.25</v>
      </c>
      <c r="J17" s="1944">
        <v>75.342450272099256</v>
      </c>
      <c r="K17" s="1937">
        <v>1.32727E-3</v>
      </c>
      <c r="L17" s="1946">
        <v>1.327273E-2</v>
      </c>
      <c r="M17" s="95"/>
      <c r="N17" s="773"/>
      <c r="O17" s="86"/>
      <c r="P17" s="86"/>
      <c r="Q17" s="86"/>
      <c r="R17" s="86"/>
    </row>
    <row r="18" spans="1:18">
      <c r="A18" s="771"/>
      <c r="B18" s="86" t="s">
        <v>826</v>
      </c>
      <c r="C18" s="359"/>
      <c r="D18" s="359"/>
      <c r="E18" s="359"/>
      <c r="F18" s="360"/>
      <c r="G18" s="110">
        <v>16</v>
      </c>
      <c r="H18" s="1948" t="s">
        <v>2522</v>
      </c>
      <c r="I18" s="508">
        <v>53591.26</v>
      </c>
      <c r="J18" s="1944">
        <v>25</v>
      </c>
      <c r="K18" s="1937">
        <v>0</v>
      </c>
      <c r="L18" s="1946">
        <v>0.04</v>
      </c>
      <c r="M18" s="95"/>
      <c r="N18" s="773"/>
      <c r="O18" s="86"/>
      <c r="P18" s="86"/>
      <c r="Q18" s="86"/>
      <c r="R18" s="86"/>
    </row>
    <row r="19" spans="1:18">
      <c r="A19" s="771"/>
      <c r="B19" s="86" t="s">
        <v>827</v>
      </c>
      <c r="C19" s="359"/>
      <c r="D19" s="359"/>
      <c r="E19" s="359"/>
      <c r="F19" s="360"/>
      <c r="G19" s="110">
        <v>17</v>
      </c>
      <c r="H19" s="1948" t="s">
        <v>4035</v>
      </c>
      <c r="I19" s="508">
        <v>734500.65</v>
      </c>
      <c r="J19" s="1944">
        <v>45.064369946030915</v>
      </c>
      <c r="K19" s="1937">
        <v>1.1095199999999999E-3</v>
      </c>
      <c r="L19" s="1946">
        <v>2.2190479999999999E-2</v>
      </c>
      <c r="M19" s="95"/>
      <c r="N19" s="773"/>
      <c r="O19" s="86"/>
      <c r="P19" s="86"/>
      <c r="Q19" s="86"/>
      <c r="R19" s="86"/>
    </row>
    <row r="20" spans="1:18">
      <c r="A20" s="771"/>
      <c r="B20" s="86" t="s">
        <v>828</v>
      </c>
      <c r="C20" s="359"/>
      <c r="D20" s="359"/>
      <c r="E20" s="359"/>
      <c r="F20" s="360"/>
      <c r="G20" s="110">
        <v>18</v>
      </c>
      <c r="H20" s="1948" t="s">
        <v>4035</v>
      </c>
      <c r="I20" s="508">
        <v>17884071.5</v>
      </c>
      <c r="J20" s="1944">
        <v>64.971769766036658</v>
      </c>
      <c r="K20" s="1937">
        <v>2.3086999999999999E-3</v>
      </c>
      <c r="L20" s="1946">
        <v>1.53913E-2</v>
      </c>
      <c r="M20" s="95"/>
      <c r="N20" s="773"/>
      <c r="O20" s="86"/>
      <c r="P20" s="86"/>
      <c r="Q20" s="86"/>
      <c r="R20" s="86"/>
    </row>
    <row r="21" spans="1:18">
      <c r="A21" s="771"/>
      <c r="B21" s="86" t="s">
        <v>829</v>
      </c>
      <c r="C21" s="359"/>
      <c r="D21" s="359"/>
      <c r="E21" s="359"/>
      <c r="F21" s="360"/>
      <c r="G21" s="110">
        <v>19</v>
      </c>
      <c r="H21" s="1948" t="s">
        <v>5278</v>
      </c>
      <c r="I21" s="508">
        <v>1261356.21</v>
      </c>
      <c r="J21" s="1944">
        <v>27.989824019579444</v>
      </c>
      <c r="K21" s="1937">
        <v>3.5727300000000001E-3</v>
      </c>
      <c r="L21" s="1946">
        <v>3.5727269999999998E-2</v>
      </c>
      <c r="M21" s="95"/>
      <c r="N21" s="773"/>
      <c r="O21" s="86"/>
      <c r="P21" s="86"/>
      <c r="Q21" s="86"/>
      <c r="R21" s="86"/>
    </row>
    <row r="22" spans="1:18">
      <c r="A22" s="771"/>
      <c r="B22" s="86" t="s">
        <v>4179</v>
      </c>
      <c r="C22" s="359"/>
      <c r="D22" s="359"/>
      <c r="E22" s="359"/>
      <c r="F22" s="360"/>
      <c r="G22" s="110">
        <v>20</v>
      </c>
      <c r="H22" s="1948" t="s">
        <v>5278</v>
      </c>
      <c r="I22" s="508">
        <v>38319830.520000011</v>
      </c>
      <c r="J22" s="1944">
        <v>50</v>
      </c>
      <c r="K22" s="1937">
        <v>3.0000000000000001E-3</v>
      </c>
      <c r="L22" s="1946">
        <v>0.02</v>
      </c>
      <c r="M22" s="577"/>
      <c r="N22" s="773"/>
      <c r="O22" s="86"/>
      <c r="P22" s="86"/>
      <c r="Q22" s="86"/>
      <c r="R22" s="86"/>
    </row>
    <row r="23" spans="1:18">
      <c r="A23" s="771"/>
      <c r="B23" s="86" t="s">
        <v>4180</v>
      </c>
      <c r="C23" s="359"/>
      <c r="D23" s="359"/>
      <c r="E23" s="359"/>
      <c r="F23" s="360"/>
      <c r="G23" s="110">
        <v>21</v>
      </c>
      <c r="H23" s="1948" t="s">
        <v>5279</v>
      </c>
      <c r="I23" s="508">
        <v>37762.01</v>
      </c>
      <c r="J23" s="1944">
        <v>27.989824019579444</v>
      </c>
      <c r="K23" s="1937">
        <v>3.5727300000000001E-3</v>
      </c>
      <c r="L23" s="1946">
        <v>3.5727269999999998E-2</v>
      </c>
      <c r="M23" s="95"/>
      <c r="N23" s="773"/>
      <c r="O23" s="86"/>
      <c r="P23" s="86"/>
      <c r="Q23" s="86"/>
      <c r="R23" s="86"/>
    </row>
    <row r="24" spans="1:18">
      <c r="A24" s="771"/>
      <c r="B24" s="86" t="s">
        <v>2488</v>
      </c>
      <c r="C24" s="359"/>
      <c r="D24" s="359"/>
      <c r="E24" s="359"/>
      <c r="F24" s="360"/>
      <c r="G24" s="110">
        <v>22</v>
      </c>
      <c r="H24" s="1948" t="s">
        <v>5280</v>
      </c>
      <c r="I24" s="508">
        <v>1784209.32</v>
      </c>
      <c r="J24" s="1944">
        <v>50</v>
      </c>
      <c r="K24" s="1937">
        <v>3.0000000000000001E-3</v>
      </c>
      <c r="L24" s="1946">
        <v>0.02</v>
      </c>
      <c r="M24" s="95"/>
      <c r="N24" s="773"/>
      <c r="O24" s="86"/>
      <c r="P24" s="86"/>
      <c r="Q24" s="86"/>
      <c r="R24" s="86"/>
    </row>
    <row r="25" spans="1:18">
      <c r="A25" s="476"/>
      <c r="B25" s="408" t="s">
        <v>2489</v>
      </c>
      <c r="C25" s="408"/>
      <c r="D25" s="408"/>
      <c r="E25" s="408"/>
      <c r="F25" s="774"/>
      <c r="G25" s="110">
        <v>23</v>
      </c>
      <c r="H25" s="1948" t="s">
        <v>5281</v>
      </c>
      <c r="I25" s="508">
        <v>89446.36</v>
      </c>
      <c r="J25" s="1944">
        <v>64.814820816187108</v>
      </c>
      <c r="K25" s="1937">
        <v>7.7143000000000003E-4</v>
      </c>
      <c r="L25" s="1946">
        <v>1.5428570000000001E-2</v>
      </c>
      <c r="M25" s="95"/>
      <c r="N25" s="773"/>
      <c r="O25" s="86"/>
      <c r="P25" s="86"/>
      <c r="Q25" s="86"/>
      <c r="R25" s="86"/>
    </row>
    <row r="26" spans="1:18">
      <c r="A26" s="110"/>
      <c r="B26" s="86"/>
      <c r="C26" s="142"/>
      <c r="D26" s="620" t="s">
        <v>2490</v>
      </c>
      <c r="E26" s="620" t="s">
        <v>2490</v>
      </c>
      <c r="F26" s="135"/>
      <c r="G26" s="110">
        <v>24</v>
      </c>
      <c r="H26" s="1948" t="s">
        <v>5281</v>
      </c>
      <c r="I26" s="508">
        <v>22482552.960000001</v>
      </c>
      <c r="J26" s="1944">
        <v>59.782618442818226</v>
      </c>
      <c r="K26" s="1937">
        <v>1.6727300000000001E-3</v>
      </c>
      <c r="L26" s="1946">
        <v>1.6727269999999999E-2</v>
      </c>
      <c r="M26" s="95"/>
      <c r="N26" s="773"/>
      <c r="O26" s="86"/>
      <c r="P26" s="86"/>
      <c r="Q26" s="86"/>
      <c r="R26" s="86"/>
    </row>
    <row r="27" spans="1:18">
      <c r="A27" s="110"/>
      <c r="B27" s="86"/>
      <c r="C27" s="620" t="s">
        <v>4341</v>
      </c>
      <c r="D27" s="620" t="s">
        <v>2491</v>
      </c>
      <c r="E27" s="620" t="s">
        <v>2492</v>
      </c>
      <c r="F27" s="135"/>
      <c r="G27" s="110">
        <v>25</v>
      </c>
      <c r="H27" s="1948" t="s">
        <v>2519</v>
      </c>
      <c r="I27" s="508">
        <v>454563.73</v>
      </c>
      <c r="J27" s="1944">
        <v>22.964511791702691</v>
      </c>
      <c r="K27" s="1937">
        <v>4.3545499999999996E-3</v>
      </c>
      <c r="L27" s="1946">
        <v>4.3545449999999999E-2</v>
      </c>
      <c r="M27" s="95"/>
      <c r="N27" s="773"/>
      <c r="O27" s="86"/>
      <c r="P27" s="86"/>
      <c r="Q27" s="86"/>
      <c r="R27" s="86"/>
    </row>
    <row r="28" spans="1:18">
      <c r="A28" s="110" t="s">
        <v>2493</v>
      </c>
      <c r="B28" s="94" t="s">
        <v>2494</v>
      </c>
      <c r="C28" s="620" t="s">
        <v>2495</v>
      </c>
      <c r="D28" s="620" t="s">
        <v>867</v>
      </c>
      <c r="E28" s="620" t="s">
        <v>867</v>
      </c>
      <c r="F28" s="363" t="s">
        <v>1738</v>
      </c>
      <c r="G28" s="110">
        <v>26</v>
      </c>
      <c r="H28" s="1948" t="s">
        <v>2519</v>
      </c>
      <c r="I28" s="508">
        <v>85994285.320000008</v>
      </c>
      <c r="J28" s="1944">
        <v>45.112775171011251</v>
      </c>
      <c r="K28" s="1937">
        <v>4.4333300000000001E-3</v>
      </c>
      <c r="L28" s="1946">
        <v>2.2166669999999999E-2</v>
      </c>
      <c r="M28" s="95"/>
      <c r="N28" s="773"/>
      <c r="O28" s="86"/>
      <c r="P28" s="86"/>
      <c r="Q28" s="86"/>
      <c r="R28" s="86"/>
    </row>
    <row r="29" spans="1:18">
      <c r="A29" s="110" t="s">
        <v>1739</v>
      </c>
      <c r="B29" s="86"/>
      <c r="C29" s="620" t="s">
        <v>2496</v>
      </c>
      <c r="D29" s="620" t="s">
        <v>2497</v>
      </c>
      <c r="E29" s="620" t="s">
        <v>2498</v>
      </c>
      <c r="F29" s="135"/>
      <c r="G29" s="110">
        <v>27</v>
      </c>
      <c r="H29" s="1948" t="s">
        <v>5047</v>
      </c>
      <c r="I29" s="508">
        <v>5663738.0899999999</v>
      </c>
      <c r="J29" s="1944">
        <v>31.152647975077883</v>
      </c>
      <c r="K29" s="1937">
        <v>0</v>
      </c>
      <c r="L29" s="1946">
        <v>3.2099999999999997E-2</v>
      </c>
      <c r="M29" s="95"/>
      <c r="N29" s="773"/>
      <c r="O29" s="86"/>
      <c r="P29" s="86"/>
      <c r="Q29" s="86"/>
      <c r="R29" s="86"/>
    </row>
    <row r="30" spans="1:18">
      <c r="A30" s="364"/>
      <c r="B30" s="996" t="s">
        <v>3279</v>
      </c>
      <c r="C30" s="621" t="s">
        <v>3280</v>
      </c>
      <c r="D30" s="621" t="s">
        <v>3281</v>
      </c>
      <c r="E30" s="621" t="s">
        <v>3282</v>
      </c>
      <c r="F30" s="367" t="s">
        <v>721</v>
      </c>
      <c r="G30" s="110">
        <v>28</v>
      </c>
      <c r="H30" s="1948" t="s">
        <v>5282</v>
      </c>
      <c r="I30" s="508">
        <v>0</v>
      </c>
      <c r="J30" s="1944">
        <v>50</v>
      </c>
      <c r="K30" s="1937">
        <v>0</v>
      </c>
      <c r="L30" s="1946">
        <v>0.02</v>
      </c>
      <c r="M30" s="577"/>
      <c r="N30" s="773"/>
      <c r="O30" s="86"/>
      <c r="P30" s="86"/>
      <c r="Q30" s="86"/>
      <c r="R30" s="86"/>
    </row>
    <row r="31" spans="1:18">
      <c r="A31" s="775">
        <v>1</v>
      </c>
      <c r="B31" s="408" t="s">
        <v>2499</v>
      </c>
      <c r="C31" s="2096">
        <v>0</v>
      </c>
      <c r="D31" s="2096">
        <v>0</v>
      </c>
      <c r="E31" s="2096">
        <v>0</v>
      </c>
      <c r="F31" s="490">
        <f t="shared" ref="F31:F37" si="0">SUM(C31:E31)</f>
        <v>0</v>
      </c>
      <c r="G31" s="110">
        <v>29</v>
      </c>
      <c r="H31" s="1948" t="s">
        <v>5283</v>
      </c>
      <c r="I31" s="508">
        <v>590781.27999999991</v>
      </c>
      <c r="J31" s="1944">
        <v>62.857146448979798</v>
      </c>
      <c r="K31" s="1937">
        <v>1.5909100000000001E-3</v>
      </c>
      <c r="L31" s="1946">
        <v>1.5909090000000001E-2</v>
      </c>
      <c r="M31" s="95"/>
      <c r="N31" s="773"/>
      <c r="O31" s="86"/>
      <c r="P31" s="86"/>
      <c r="Q31" s="86"/>
      <c r="R31" s="86"/>
    </row>
    <row r="32" spans="1:18">
      <c r="A32" s="775">
        <v>2</v>
      </c>
      <c r="B32" s="408" t="s">
        <v>121</v>
      </c>
      <c r="C32" s="2097">
        <v>526136</v>
      </c>
      <c r="D32" s="2097">
        <v>39782</v>
      </c>
      <c r="E32" s="2097"/>
      <c r="F32" s="391">
        <f t="shared" si="0"/>
        <v>565918</v>
      </c>
      <c r="G32" s="110">
        <v>30</v>
      </c>
      <c r="H32" s="1948" t="s">
        <v>5283</v>
      </c>
      <c r="I32" s="508">
        <v>17508323.130000003</v>
      </c>
      <c r="J32" s="1944">
        <v>64.814820816187108</v>
      </c>
      <c r="K32" s="1937">
        <v>7.7143000000000003E-4</v>
      </c>
      <c r="L32" s="1946">
        <v>1.5428570000000001E-2</v>
      </c>
      <c r="M32" s="95"/>
      <c r="N32" s="773"/>
      <c r="O32" s="86"/>
      <c r="P32" s="86"/>
      <c r="Q32" s="86"/>
      <c r="R32" s="86"/>
    </row>
    <row r="33" spans="1:18">
      <c r="A33" s="775">
        <v>3</v>
      </c>
      <c r="B33" s="408" t="s">
        <v>2500</v>
      </c>
      <c r="C33" s="2097">
        <v>1174323</v>
      </c>
      <c r="D33" s="2097"/>
      <c r="E33" s="2097"/>
      <c r="F33" s="391">
        <f t="shared" si="0"/>
        <v>1174323</v>
      </c>
      <c r="G33" s="110">
        <v>31</v>
      </c>
      <c r="H33" s="1948" t="s">
        <v>5284</v>
      </c>
      <c r="I33" s="508">
        <v>8180872.4400000004</v>
      </c>
      <c r="J33" s="1944">
        <v>95.588221237026289</v>
      </c>
      <c r="K33" s="1937">
        <v>3.13846E-3</v>
      </c>
      <c r="L33" s="1946">
        <v>1.046154E-2</v>
      </c>
      <c r="M33" s="95"/>
      <c r="N33" s="773"/>
      <c r="O33" s="86"/>
      <c r="P33" s="86"/>
      <c r="Q33" s="86"/>
      <c r="R33" s="86"/>
    </row>
    <row r="34" spans="1:18">
      <c r="A34" s="775">
        <v>4</v>
      </c>
      <c r="B34" s="408" t="s">
        <v>321</v>
      </c>
      <c r="C34" s="2097">
        <v>2007608</v>
      </c>
      <c r="D34" s="2097"/>
      <c r="E34" s="2097"/>
      <c r="F34" s="391">
        <f t="shared" si="0"/>
        <v>2007608</v>
      </c>
      <c r="G34" s="110">
        <v>32</v>
      </c>
      <c r="H34" s="1948" t="s">
        <v>5284</v>
      </c>
      <c r="I34" s="508">
        <v>296360078.45000005</v>
      </c>
      <c r="J34" s="1944">
        <v>105.63376562191351</v>
      </c>
      <c r="K34" s="1937">
        <v>4.73333E-3</v>
      </c>
      <c r="L34" s="1946">
        <v>9.4666699999999999E-3</v>
      </c>
      <c r="M34" s="95"/>
      <c r="N34" s="773"/>
      <c r="O34" s="86"/>
      <c r="P34" s="86"/>
      <c r="Q34" s="86"/>
      <c r="R34" s="86"/>
    </row>
    <row r="35" spans="1:18">
      <c r="A35" s="775">
        <v>5</v>
      </c>
      <c r="B35" s="408" t="s">
        <v>2306</v>
      </c>
      <c r="C35" s="2097">
        <v>10628616</v>
      </c>
      <c r="D35" s="2097"/>
      <c r="E35" s="2097"/>
      <c r="F35" s="391">
        <f t="shared" si="0"/>
        <v>10628616</v>
      </c>
      <c r="G35" s="110">
        <v>33</v>
      </c>
      <c r="H35" s="1948" t="s">
        <v>5285</v>
      </c>
      <c r="I35" s="508">
        <v>3461173.19</v>
      </c>
      <c r="J35" s="1944">
        <v>79.787255262567882</v>
      </c>
      <c r="K35" s="1937">
        <v>6.2666700000000002E-3</v>
      </c>
      <c r="L35" s="1946">
        <v>1.2533330000000001E-2</v>
      </c>
      <c r="M35" s="95"/>
      <c r="N35" s="773"/>
      <c r="O35" s="86"/>
      <c r="P35" s="86"/>
      <c r="Q35" s="86"/>
      <c r="R35" s="86"/>
    </row>
    <row r="36" spans="1:18">
      <c r="A36" s="775">
        <v>6</v>
      </c>
      <c r="B36" s="408" t="s">
        <v>2307</v>
      </c>
      <c r="C36" s="2097">
        <v>1795315</v>
      </c>
      <c r="D36" s="2097"/>
      <c r="E36" s="2097"/>
      <c r="F36" s="391">
        <f t="shared" si="0"/>
        <v>1795315</v>
      </c>
      <c r="G36" s="110">
        <v>34</v>
      </c>
      <c r="H36" s="1948" t="s">
        <v>5285</v>
      </c>
      <c r="I36" s="508">
        <v>96947792.939999998</v>
      </c>
      <c r="J36" s="1944">
        <v>80</v>
      </c>
      <c r="K36" s="1937">
        <v>1.2500000000000001E-2</v>
      </c>
      <c r="L36" s="1946">
        <v>1.2500000000000001E-2</v>
      </c>
      <c r="M36" s="95"/>
      <c r="N36" s="773"/>
      <c r="O36" s="86"/>
      <c r="P36" s="86"/>
      <c r="Q36" s="86"/>
      <c r="R36" s="86"/>
    </row>
    <row r="37" spans="1:18">
      <c r="A37" s="775">
        <v>7</v>
      </c>
      <c r="B37" s="408" t="s">
        <v>4778</v>
      </c>
      <c r="C37" s="2043">
        <v>0</v>
      </c>
      <c r="D37" s="2043"/>
      <c r="E37" s="2043">
        <v>3584952</v>
      </c>
      <c r="F37" s="391">
        <f t="shared" si="0"/>
        <v>3584952</v>
      </c>
      <c r="G37" s="110">
        <v>35</v>
      </c>
      <c r="H37" s="1948" t="s">
        <v>5286</v>
      </c>
      <c r="I37" s="508">
        <v>1013843.7100000001</v>
      </c>
      <c r="J37" s="1944">
        <v>17.973857383912247</v>
      </c>
      <c r="K37" s="1937">
        <v>5.5636399999999999E-3</v>
      </c>
      <c r="L37" s="1946">
        <v>5.5636360000000003E-2</v>
      </c>
      <c r="M37" s="95"/>
      <c r="N37" s="773"/>
      <c r="O37" s="86"/>
      <c r="P37" s="86"/>
      <c r="Q37" s="86"/>
      <c r="R37" s="86"/>
    </row>
    <row r="38" spans="1:18" ht="15.75" thickBot="1">
      <c r="A38" s="775">
        <v>8</v>
      </c>
      <c r="B38" s="1009" t="s">
        <v>4311</v>
      </c>
      <c r="C38" s="776">
        <f>SUM(C31:C37)</f>
        <v>16131998</v>
      </c>
      <c r="D38" s="776">
        <f>SUM(D31:D37)</f>
        <v>39782</v>
      </c>
      <c r="E38" s="776">
        <f>SUM(E31:E37)</f>
        <v>3584952</v>
      </c>
      <c r="F38" s="512">
        <f>SUM(F31:F37)</f>
        <v>19756732</v>
      </c>
      <c r="G38" s="110">
        <v>36</v>
      </c>
      <c r="H38" s="1948" t="s">
        <v>5286</v>
      </c>
      <c r="I38" s="508">
        <v>45175958.590000011</v>
      </c>
      <c r="J38" s="1944">
        <v>15.994436495209504</v>
      </c>
      <c r="K38" s="1937">
        <v>9.3782599999999994E-3</v>
      </c>
      <c r="L38" s="1946">
        <v>6.2521740000000006E-2</v>
      </c>
      <c r="M38" s="95"/>
      <c r="N38" s="773"/>
      <c r="O38" s="86"/>
      <c r="P38" s="86"/>
      <c r="Q38" s="86"/>
      <c r="R38" s="86"/>
    </row>
    <row r="39" spans="1:18" ht="15.75" thickTop="1">
      <c r="A39" s="499" t="s">
        <v>2308</v>
      </c>
      <c r="B39" s="133"/>
      <c r="C39" s="133"/>
      <c r="D39" s="133"/>
      <c r="E39" s="133"/>
      <c r="F39" s="500"/>
      <c r="G39" s="110">
        <v>37</v>
      </c>
      <c r="H39" s="1948" t="s">
        <v>5287</v>
      </c>
      <c r="I39" s="508">
        <v>1905572.9000000001</v>
      </c>
      <c r="J39" s="1944">
        <v>62.200968842290685</v>
      </c>
      <c r="K39" s="1937">
        <v>4.8230800000000004E-3</v>
      </c>
      <c r="L39" s="1946">
        <v>1.6076920000000001E-2</v>
      </c>
      <c r="M39" s="95"/>
      <c r="N39" s="773"/>
      <c r="O39" s="86"/>
      <c r="P39" s="86"/>
      <c r="Q39" s="86"/>
      <c r="R39" s="86"/>
    </row>
    <row r="40" spans="1:18">
      <c r="A40" s="85"/>
      <c r="B40" s="86"/>
      <c r="C40" s="86"/>
      <c r="D40" s="86"/>
      <c r="E40" s="86"/>
      <c r="F40" s="87"/>
      <c r="G40" s="110">
        <v>38</v>
      </c>
      <c r="H40" s="1948" t="s">
        <v>5287</v>
      </c>
      <c r="I40" s="508">
        <v>29396143.68</v>
      </c>
      <c r="J40" s="1944">
        <v>69.868995633187765</v>
      </c>
      <c r="K40" s="1937">
        <v>8.5874999999999996E-3</v>
      </c>
      <c r="L40" s="1946">
        <v>1.4312500000000001E-2</v>
      </c>
      <c r="M40" s="577"/>
      <c r="N40" s="773"/>
      <c r="O40" s="86"/>
      <c r="P40" s="86"/>
      <c r="Q40" s="86"/>
      <c r="R40" s="86"/>
    </row>
    <row r="41" spans="1:18">
      <c r="A41" s="85"/>
      <c r="B41" s="86"/>
      <c r="C41" s="86"/>
      <c r="D41" s="86"/>
      <c r="E41" s="86"/>
      <c r="F41" s="87"/>
      <c r="G41" s="110">
        <v>39</v>
      </c>
      <c r="H41" s="1948" t="s">
        <v>5288</v>
      </c>
      <c r="I41" s="508">
        <v>752491.03999999992</v>
      </c>
      <c r="J41" s="1944">
        <v>50</v>
      </c>
      <c r="K41" s="1937">
        <v>1E-3</v>
      </c>
      <c r="L41" s="1946">
        <v>0.02</v>
      </c>
      <c r="M41" s="95"/>
      <c r="N41" s="773"/>
      <c r="O41" s="86"/>
      <c r="P41" s="86"/>
      <c r="Q41" s="86"/>
      <c r="R41" s="86"/>
    </row>
    <row r="42" spans="1:18">
      <c r="A42" s="85"/>
      <c r="B42" s="239" t="s">
        <v>4779</v>
      </c>
      <c r="C42" s="86"/>
      <c r="D42" s="86"/>
      <c r="E42" s="86"/>
      <c r="F42" s="87"/>
      <c r="G42" s="110">
        <v>40</v>
      </c>
      <c r="H42" s="1948" t="s">
        <v>5288</v>
      </c>
      <c r="I42" s="508">
        <v>12892299.92</v>
      </c>
      <c r="J42" s="1944">
        <v>54.999994500000547</v>
      </c>
      <c r="K42" s="1937">
        <v>1.81818E-3</v>
      </c>
      <c r="L42" s="1946">
        <v>1.8181820000000001E-2</v>
      </c>
      <c r="M42" s="95"/>
      <c r="N42" s="773"/>
      <c r="O42" s="86"/>
      <c r="P42" s="86"/>
      <c r="Q42" s="86"/>
      <c r="R42" s="86"/>
    </row>
    <row r="43" spans="1:18">
      <c r="A43" s="85"/>
      <c r="B43" s="1938" t="s">
        <v>5560</v>
      </c>
      <c r="C43" s="2811"/>
      <c r="D43" s="2811"/>
      <c r="E43" s="2811"/>
      <c r="F43" s="2812"/>
      <c r="G43" s="110">
        <v>41</v>
      </c>
      <c r="H43" s="1948" t="s">
        <v>5289</v>
      </c>
      <c r="I43" s="508">
        <v>152126.09</v>
      </c>
      <c r="J43" s="1944">
        <v>20</v>
      </c>
      <c r="K43" s="1937">
        <v>0</v>
      </c>
      <c r="L43" s="1946">
        <v>0.05</v>
      </c>
      <c r="M43" s="95"/>
      <c r="N43" s="773"/>
      <c r="O43" s="86"/>
      <c r="P43" s="86"/>
      <c r="Q43" s="86"/>
      <c r="R43" s="86"/>
    </row>
    <row r="44" spans="1:18">
      <c r="A44" s="85"/>
      <c r="B44" s="2867" t="s">
        <v>5561</v>
      </c>
      <c r="C44" s="2867"/>
      <c r="D44" s="2867"/>
      <c r="E44" s="2867"/>
      <c r="F44" s="2868"/>
      <c r="G44" s="110">
        <v>42</v>
      </c>
      <c r="H44" s="1948" t="s">
        <v>5289</v>
      </c>
      <c r="I44" s="508">
        <v>2991053.12</v>
      </c>
      <c r="J44" s="1944">
        <v>20</v>
      </c>
      <c r="K44" s="1937">
        <v>0</v>
      </c>
      <c r="L44" s="1946">
        <v>0.05</v>
      </c>
      <c r="M44" s="95"/>
      <c r="N44" s="773"/>
      <c r="O44" s="86"/>
      <c r="P44" s="86"/>
      <c r="Q44" s="86"/>
      <c r="R44" s="86"/>
    </row>
    <row r="45" spans="1:18">
      <c r="A45" s="85"/>
      <c r="B45" s="2867"/>
      <c r="C45" s="2867"/>
      <c r="D45" s="2867"/>
      <c r="E45" s="2867"/>
      <c r="F45" s="2868"/>
      <c r="G45" s="110">
        <v>43</v>
      </c>
      <c r="H45" s="1948" t="s">
        <v>5042</v>
      </c>
      <c r="I45" s="508">
        <v>117589.68</v>
      </c>
      <c r="J45" s="1944">
        <v>5</v>
      </c>
      <c r="K45" s="1937">
        <v>0</v>
      </c>
      <c r="L45" s="1946">
        <v>0.2</v>
      </c>
      <c r="M45" s="95"/>
      <c r="N45" s="773"/>
      <c r="O45" s="86"/>
      <c r="P45" s="86"/>
      <c r="Q45" s="86"/>
      <c r="R45" s="86"/>
    </row>
    <row r="46" spans="1:18">
      <c r="A46" s="85"/>
      <c r="B46" s="86"/>
      <c r="C46" s="86"/>
      <c r="D46" s="86"/>
      <c r="E46" s="86"/>
      <c r="F46" s="87"/>
      <c r="G46" s="110">
        <v>44</v>
      </c>
      <c r="H46" s="1948" t="s">
        <v>5042</v>
      </c>
      <c r="I46" s="508">
        <v>1014223.74</v>
      </c>
      <c r="J46" s="1944">
        <v>5</v>
      </c>
      <c r="K46" s="1937">
        <v>0</v>
      </c>
      <c r="L46" s="1946">
        <v>0.2</v>
      </c>
      <c r="M46" s="95"/>
      <c r="N46" s="773"/>
      <c r="O46" s="86"/>
      <c r="P46" s="86"/>
      <c r="Q46" s="86"/>
      <c r="R46" s="86"/>
    </row>
    <row r="47" spans="1:18">
      <c r="A47" s="85"/>
      <c r="B47" s="86"/>
      <c r="C47" s="86"/>
      <c r="D47" s="86"/>
      <c r="E47" s="86"/>
      <c r="F47" s="87"/>
      <c r="G47" s="110">
        <v>45</v>
      </c>
      <c r="H47" s="1948" t="s">
        <v>5043</v>
      </c>
      <c r="I47" s="508">
        <v>128573.52</v>
      </c>
      <c r="J47" s="1944">
        <v>6.9979006298110571</v>
      </c>
      <c r="K47" s="1937">
        <v>0</v>
      </c>
      <c r="L47" s="1946">
        <v>0.1429</v>
      </c>
      <c r="M47" s="95"/>
      <c r="N47" s="773"/>
      <c r="O47" s="86"/>
      <c r="P47" s="86"/>
      <c r="Q47" s="86"/>
      <c r="R47" s="86"/>
    </row>
    <row r="48" spans="1:18">
      <c r="A48" s="85"/>
      <c r="B48" s="86"/>
      <c r="C48" s="86"/>
      <c r="D48" s="86"/>
      <c r="E48" s="86"/>
      <c r="F48" s="87"/>
      <c r="G48" s="110">
        <v>46</v>
      </c>
      <c r="H48" s="1948" t="s">
        <v>5043</v>
      </c>
      <c r="I48" s="508">
        <v>6133</v>
      </c>
      <c r="J48" s="1944">
        <v>8</v>
      </c>
      <c r="K48" s="1937">
        <v>0</v>
      </c>
      <c r="L48" s="1946">
        <v>0.125</v>
      </c>
      <c r="M48" s="95"/>
      <c r="N48" s="773"/>
      <c r="O48" s="86"/>
      <c r="P48" s="86"/>
      <c r="Q48" s="86"/>
      <c r="R48" s="86"/>
    </row>
    <row r="49" spans="1:18">
      <c r="A49" s="85"/>
      <c r="B49" s="86"/>
      <c r="C49" s="86" t="s">
        <v>5274</v>
      </c>
      <c r="D49" s="86"/>
      <c r="E49" s="426">
        <f>+'116119'!G29</f>
        <v>3584534</v>
      </c>
      <c r="F49" s="87"/>
      <c r="G49" s="110">
        <v>47</v>
      </c>
      <c r="H49" s="1948" t="s">
        <v>5044</v>
      </c>
      <c r="I49" s="508">
        <v>10522.91</v>
      </c>
      <c r="J49" s="1944">
        <v>5</v>
      </c>
      <c r="K49" s="1937">
        <v>0</v>
      </c>
      <c r="L49" s="1946">
        <v>0.2</v>
      </c>
      <c r="M49" s="95"/>
      <c r="N49" s="773"/>
      <c r="O49" s="86"/>
      <c r="P49" s="86"/>
      <c r="Q49" s="86"/>
      <c r="R49" s="86"/>
    </row>
    <row r="50" spans="1:18">
      <c r="A50" s="85"/>
      <c r="B50" s="86"/>
      <c r="C50" s="86" t="s">
        <v>5275</v>
      </c>
      <c r="D50" s="86"/>
      <c r="E50" s="426">
        <f>-E73</f>
        <v>-418</v>
      </c>
      <c r="F50" s="87"/>
      <c r="G50" s="110">
        <v>48</v>
      </c>
      <c r="H50" s="1948" t="s">
        <v>5044</v>
      </c>
      <c r="I50" s="508">
        <v>222314.15</v>
      </c>
      <c r="J50" s="1944">
        <v>5</v>
      </c>
      <c r="K50" s="1937">
        <v>0</v>
      </c>
      <c r="L50" s="1946">
        <v>0.2</v>
      </c>
      <c r="M50" s="95"/>
      <c r="N50" s="773"/>
      <c r="O50" s="86"/>
      <c r="P50" s="86"/>
      <c r="Q50" s="86"/>
      <c r="R50" s="86"/>
    </row>
    <row r="51" spans="1:18" ht="15.75" thickBot="1">
      <c r="A51" s="85"/>
      <c r="B51" s="86"/>
      <c r="C51" s="86" t="s">
        <v>5276</v>
      </c>
      <c r="D51" s="86"/>
      <c r="E51" s="2733">
        <f>+E49-E50</f>
        <v>3584952</v>
      </c>
      <c r="F51" s="87"/>
      <c r="G51" s="110">
        <v>49</v>
      </c>
      <c r="H51" s="1948" t="s">
        <v>5290</v>
      </c>
      <c r="I51" s="508">
        <v>12392.6</v>
      </c>
      <c r="J51" s="1944">
        <v>16.666666666666668</v>
      </c>
      <c r="K51" s="1937">
        <v>0</v>
      </c>
      <c r="L51" s="1946">
        <v>0.06</v>
      </c>
      <c r="M51" s="95"/>
      <c r="N51" s="773"/>
      <c r="O51" s="86"/>
      <c r="P51" s="86"/>
      <c r="Q51" s="86"/>
      <c r="R51" s="86"/>
    </row>
    <row r="52" spans="1:18" ht="15.75" thickTop="1">
      <c r="A52" s="85"/>
      <c r="B52" s="86"/>
      <c r="C52" s="86"/>
      <c r="D52" s="86"/>
      <c r="E52" s="426"/>
      <c r="F52" s="87"/>
      <c r="G52" s="110">
        <v>50</v>
      </c>
      <c r="H52" s="1948" t="s">
        <v>5290</v>
      </c>
      <c r="I52" s="508">
        <v>757891.42</v>
      </c>
      <c r="J52" s="1944">
        <v>13.000520020800831</v>
      </c>
      <c r="K52" s="1937">
        <v>0</v>
      </c>
      <c r="L52" s="1946">
        <v>7.6920000000000002E-2</v>
      </c>
      <c r="M52" s="95"/>
      <c r="N52" s="773"/>
      <c r="O52" s="86"/>
      <c r="P52" s="86"/>
      <c r="Q52" s="86"/>
      <c r="R52" s="86"/>
    </row>
    <row r="53" spans="1:18">
      <c r="A53" s="85"/>
      <c r="B53" s="86"/>
      <c r="C53" s="86"/>
      <c r="D53" s="86"/>
      <c r="E53" s="86"/>
      <c r="F53" s="87"/>
      <c r="G53" s="110">
        <v>51</v>
      </c>
      <c r="H53" s="1948" t="s">
        <v>5291</v>
      </c>
      <c r="I53" s="508">
        <v>153243.81999999998</v>
      </c>
      <c r="J53" s="1944">
        <v>25</v>
      </c>
      <c r="K53" s="1937">
        <v>0</v>
      </c>
      <c r="L53" s="1946">
        <v>0.04</v>
      </c>
      <c r="M53" s="95"/>
      <c r="N53" s="773"/>
      <c r="O53" s="86"/>
      <c r="P53" s="86"/>
      <c r="Q53" s="86"/>
      <c r="R53" s="86"/>
    </row>
    <row r="54" spans="1:18">
      <c r="A54" s="85"/>
      <c r="B54" s="86"/>
      <c r="C54" s="86"/>
      <c r="D54" s="86"/>
      <c r="E54" s="86"/>
      <c r="F54" s="87"/>
      <c r="G54" s="110">
        <v>52</v>
      </c>
      <c r="H54" s="1948" t="s">
        <v>5292</v>
      </c>
      <c r="I54" s="508">
        <v>321459.27</v>
      </c>
      <c r="J54" s="1944">
        <v>25</v>
      </c>
      <c r="K54" s="1937">
        <v>0</v>
      </c>
      <c r="L54" s="1946">
        <v>0.04</v>
      </c>
      <c r="M54" s="95"/>
      <c r="N54" s="773"/>
      <c r="O54" s="86"/>
      <c r="P54" s="86"/>
      <c r="Q54" s="86"/>
      <c r="R54" s="86"/>
    </row>
    <row r="55" spans="1:18">
      <c r="A55" s="85"/>
      <c r="B55" s="86"/>
      <c r="C55" s="86"/>
      <c r="D55" s="86"/>
      <c r="E55" s="86"/>
      <c r="F55" s="87"/>
      <c r="G55" s="110">
        <v>53</v>
      </c>
      <c r="H55" s="1948" t="s">
        <v>5292</v>
      </c>
      <c r="I55" s="508">
        <v>2458831.0699999994</v>
      </c>
      <c r="J55" s="1944">
        <v>25</v>
      </c>
      <c r="K55" s="1937">
        <v>0</v>
      </c>
      <c r="L55" s="1946">
        <v>0.04</v>
      </c>
      <c r="M55" s="95"/>
      <c r="N55" s="773"/>
      <c r="O55" s="86"/>
      <c r="P55" s="86"/>
      <c r="Q55" s="86"/>
      <c r="R55" s="86"/>
    </row>
    <row r="56" spans="1:18">
      <c r="A56" s="85"/>
      <c r="B56" s="86"/>
      <c r="C56" s="86"/>
      <c r="D56" s="86"/>
      <c r="E56" s="86"/>
      <c r="F56" s="87"/>
      <c r="G56" s="110">
        <v>54</v>
      </c>
      <c r="H56" s="1948" t="s">
        <v>5293</v>
      </c>
      <c r="I56" s="508">
        <v>392307.53</v>
      </c>
      <c r="J56" s="1944">
        <v>20</v>
      </c>
      <c r="K56" s="1937">
        <v>0</v>
      </c>
      <c r="L56" s="1946">
        <v>0.05</v>
      </c>
      <c r="M56" s="95"/>
      <c r="N56" s="773"/>
      <c r="O56" s="86"/>
      <c r="P56" s="86"/>
      <c r="Q56" s="86"/>
      <c r="R56" s="86"/>
    </row>
    <row r="57" spans="1:18">
      <c r="A57" s="85"/>
      <c r="B57" s="86"/>
      <c r="C57" s="86"/>
      <c r="D57" s="86"/>
      <c r="E57" s="86"/>
      <c r="F57" s="87"/>
      <c r="G57" s="110">
        <v>55</v>
      </c>
      <c r="H57" s="1948" t="s">
        <v>5294</v>
      </c>
      <c r="I57" s="508">
        <v>89664.93</v>
      </c>
      <c r="J57" s="1944">
        <v>14.992503748125937</v>
      </c>
      <c r="K57" s="1937">
        <v>0</v>
      </c>
      <c r="L57" s="1946">
        <v>6.6699999999999995E-2</v>
      </c>
      <c r="M57" s="577"/>
      <c r="N57" s="773"/>
      <c r="O57" s="86"/>
      <c r="P57" s="86"/>
      <c r="Q57" s="86"/>
      <c r="R57" s="86"/>
    </row>
    <row r="58" spans="1:18">
      <c r="A58" s="85"/>
      <c r="B58" s="86"/>
      <c r="C58" s="86"/>
      <c r="D58" s="86"/>
      <c r="E58" s="86"/>
      <c r="F58" s="87"/>
      <c r="G58" s="110">
        <v>56</v>
      </c>
      <c r="H58" s="1948" t="s">
        <v>5295</v>
      </c>
      <c r="I58" s="508">
        <v>566278.67999999993</v>
      </c>
      <c r="J58" s="1944">
        <v>15.243902439024389</v>
      </c>
      <c r="K58" s="1937">
        <v>0</v>
      </c>
      <c r="L58" s="1946">
        <v>6.5600000000000006E-2</v>
      </c>
      <c r="M58" s="96"/>
      <c r="N58" s="777"/>
      <c r="O58" s="86"/>
      <c r="P58" s="86"/>
      <c r="Q58" s="86"/>
      <c r="R58" s="86"/>
    </row>
    <row r="59" spans="1:18">
      <c r="A59" s="85"/>
      <c r="B59" s="86"/>
      <c r="C59" s="86"/>
      <c r="D59" s="86"/>
      <c r="E59" s="86"/>
      <c r="F59" s="87"/>
      <c r="G59" s="110">
        <v>57</v>
      </c>
      <c r="H59" s="1948" t="s">
        <v>5295</v>
      </c>
      <c r="I59" s="508">
        <v>14421714.59</v>
      </c>
      <c r="J59" s="1944">
        <v>14.999250037498127</v>
      </c>
      <c r="K59" s="1937">
        <v>0</v>
      </c>
      <c r="L59" s="1946">
        <v>6.6669999999999993E-2</v>
      </c>
      <c r="M59" s="109"/>
      <c r="N59" s="428"/>
      <c r="O59" s="86"/>
      <c r="P59" s="86"/>
      <c r="Q59" s="86"/>
      <c r="R59" s="86"/>
    </row>
    <row r="60" spans="1:18">
      <c r="A60" s="85"/>
      <c r="B60" s="86"/>
      <c r="C60" s="86"/>
      <c r="D60" s="86"/>
      <c r="E60" s="86"/>
      <c r="F60" s="87"/>
      <c r="G60" s="110">
        <v>58</v>
      </c>
      <c r="H60" s="1948" t="s">
        <v>5296</v>
      </c>
      <c r="I60" s="508">
        <v>6999.5</v>
      </c>
      <c r="J60" s="1944">
        <v>25</v>
      </c>
      <c r="K60" s="1937">
        <v>0</v>
      </c>
      <c r="L60" s="1946">
        <v>0.04</v>
      </c>
      <c r="M60" s="96"/>
      <c r="N60" s="777"/>
      <c r="O60" s="86"/>
      <c r="P60" s="86"/>
      <c r="Q60" s="86"/>
      <c r="R60" s="86"/>
    </row>
    <row r="61" spans="1:18">
      <c r="A61" s="85"/>
      <c r="B61" s="86"/>
      <c r="C61" s="86"/>
      <c r="D61" s="86"/>
      <c r="E61" s="86"/>
      <c r="F61" s="87"/>
      <c r="G61" s="110">
        <v>59</v>
      </c>
      <c r="H61" s="1948"/>
      <c r="I61" s="508"/>
      <c r="J61" s="1944"/>
      <c r="K61" s="1937"/>
      <c r="L61" s="1946"/>
      <c r="M61" s="96"/>
      <c r="N61" s="777"/>
      <c r="O61" s="86"/>
      <c r="P61" s="86"/>
      <c r="Q61" s="86"/>
      <c r="R61" s="86"/>
    </row>
    <row r="62" spans="1:18">
      <c r="A62" s="85"/>
      <c r="B62" s="86"/>
      <c r="C62" s="86"/>
      <c r="D62" s="86"/>
      <c r="E62" s="86"/>
      <c r="F62" s="87"/>
      <c r="G62" s="110">
        <v>60</v>
      </c>
      <c r="H62" s="1948"/>
      <c r="I62" s="508"/>
      <c r="J62" s="1944"/>
      <c r="K62" s="1937"/>
      <c r="L62" s="1946"/>
      <c r="M62" s="96"/>
      <c r="N62" s="777"/>
      <c r="O62" s="86"/>
      <c r="P62" s="86"/>
      <c r="Q62" s="86"/>
      <c r="R62" s="86"/>
    </row>
    <row r="63" spans="1:18">
      <c r="A63" s="85"/>
      <c r="B63" s="86"/>
      <c r="C63" s="86"/>
      <c r="D63" s="86"/>
      <c r="E63" s="86"/>
      <c r="F63" s="87"/>
      <c r="G63" s="110">
        <v>61</v>
      </c>
      <c r="H63" s="1948"/>
      <c r="I63" s="508"/>
      <c r="J63" s="1944"/>
      <c r="K63" s="1937"/>
      <c r="L63" s="1946"/>
      <c r="M63" s="96"/>
      <c r="N63" s="777"/>
      <c r="O63" s="86"/>
      <c r="P63" s="86"/>
      <c r="Q63" s="86"/>
      <c r="R63" s="86"/>
    </row>
    <row r="64" spans="1:18">
      <c r="A64" s="85"/>
      <c r="B64" s="86"/>
      <c r="C64" s="86"/>
      <c r="D64" s="86"/>
      <c r="E64" s="86"/>
      <c r="F64" s="87"/>
      <c r="G64" s="110">
        <v>62</v>
      </c>
      <c r="H64" s="1948"/>
      <c r="I64" s="508"/>
      <c r="J64" s="1944"/>
      <c r="K64" s="1937"/>
      <c r="L64" s="1946"/>
      <c r="M64" s="96"/>
      <c r="N64" s="87"/>
      <c r="O64" s="86"/>
      <c r="P64" s="86"/>
      <c r="Q64" s="86"/>
      <c r="R64" s="86"/>
    </row>
    <row r="65" spans="1:18">
      <c r="A65" s="85"/>
      <c r="B65" s="86"/>
      <c r="C65" s="86"/>
      <c r="D65" s="86"/>
      <c r="E65" s="86"/>
      <c r="F65" s="87"/>
      <c r="G65" s="110">
        <v>63</v>
      </c>
      <c r="H65" s="1948"/>
      <c r="I65" s="508"/>
      <c r="J65" s="1944"/>
      <c r="K65" s="1937"/>
      <c r="L65" s="1946"/>
      <c r="M65" s="96"/>
      <c r="N65" s="87"/>
      <c r="O65" s="86"/>
      <c r="P65" s="86"/>
      <c r="Q65" s="86"/>
      <c r="R65" s="86"/>
    </row>
    <row r="66" spans="1:18">
      <c r="A66" s="85"/>
      <c r="B66" s="86"/>
      <c r="C66" s="86"/>
      <c r="D66" s="86"/>
      <c r="E66" s="86"/>
      <c r="F66" s="87"/>
      <c r="G66" s="110">
        <v>64</v>
      </c>
      <c r="H66" s="1948"/>
      <c r="I66" s="508"/>
      <c r="J66" s="1944"/>
      <c r="K66" s="1937"/>
      <c r="L66" s="1946"/>
      <c r="M66" s="96"/>
      <c r="N66" s="87"/>
      <c r="O66" s="86"/>
      <c r="P66" s="86"/>
      <c r="Q66" s="86"/>
      <c r="R66" s="86"/>
    </row>
    <row r="67" spans="1:18" ht="15.75" thickBot="1">
      <c r="A67" s="154"/>
      <c r="B67" s="113"/>
      <c r="C67" s="113"/>
      <c r="D67" s="113"/>
      <c r="E67" s="113"/>
      <c r="F67" s="116"/>
      <c r="G67" s="437">
        <v>65</v>
      </c>
      <c r="H67" s="115"/>
      <c r="I67" s="561"/>
      <c r="J67" s="115"/>
      <c r="K67" s="115"/>
      <c r="L67" s="2198"/>
      <c r="M67" s="115"/>
      <c r="N67" s="116"/>
      <c r="O67" s="86"/>
      <c r="P67" s="86"/>
      <c r="Q67" s="86"/>
      <c r="R67" s="86"/>
    </row>
    <row r="68" spans="1:18">
      <c r="A68" s="86" t="s">
        <v>2024</v>
      </c>
      <c r="B68" s="86"/>
      <c r="C68" s="86"/>
      <c r="D68" s="86"/>
      <c r="E68" s="86"/>
      <c r="F68" s="86"/>
      <c r="G68" s="2866"/>
      <c r="H68" s="2866"/>
      <c r="I68" s="86"/>
      <c r="J68" s="86"/>
      <c r="K68" s="86"/>
      <c r="L68" s="86"/>
      <c r="M68" s="2866" t="s">
        <v>1386</v>
      </c>
      <c r="N68" s="2866"/>
      <c r="O68" s="86"/>
      <c r="P68" s="86"/>
      <c r="Q68" s="86"/>
      <c r="R68" s="86"/>
    </row>
    <row r="69" spans="1:18">
      <c r="A69" s="5" t="s">
        <v>2309</v>
      </c>
      <c r="B69" s="5"/>
      <c r="C69" s="5"/>
      <c r="D69" s="5"/>
      <c r="E69" s="5"/>
      <c r="F69" s="5"/>
      <c r="G69" s="5" t="s">
        <v>3608</v>
      </c>
      <c r="H69" s="5"/>
      <c r="I69" s="5"/>
      <c r="J69" s="5"/>
      <c r="K69" s="5"/>
      <c r="L69" s="5"/>
      <c r="M69" s="5"/>
      <c r="N69" s="5"/>
      <c r="O69" s="86"/>
      <c r="P69" s="86"/>
      <c r="Q69" s="86"/>
      <c r="R69" s="86"/>
    </row>
    <row r="70" spans="1:18">
      <c r="A70" s="5"/>
      <c r="B70" s="5"/>
      <c r="C70" s="5"/>
      <c r="D70" s="5"/>
      <c r="E70" s="5"/>
      <c r="F70" s="5"/>
      <c r="G70" s="86"/>
      <c r="H70" s="86"/>
      <c r="I70" s="86"/>
      <c r="J70" s="86"/>
      <c r="K70" s="86"/>
      <c r="L70" s="86"/>
      <c r="M70" s="86"/>
      <c r="N70" s="86"/>
      <c r="O70" s="86"/>
      <c r="P70" s="86"/>
      <c r="Q70" s="86"/>
      <c r="R70" s="86"/>
    </row>
    <row r="71" spans="1:18">
      <c r="A71" s="86"/>
      <c r="B71" s="86"/>
      <c r="C71" s="94" t="str">
        <f>IF(ROUND(C38,2)=ROUND('116119'!G27,2),"ok","error")</f>
        <v>ok</v>
      </c>
      <c r="D71" s="94" t="str">
        <f>IF(ROUND(D38,2)='116119'!G28,"ok","error")</f>
        <v>ok</v>
      </c>
      <c r="E71" s="94"/>
      <c r="F71" s="86"/>
      <c r="G71" s="86"/>
      <c r="H71" s="86"/>
      <c r="I71" s="426"/>
      <c r="J71" s="86"/>
      <c r="K71" s="86"/>
      <c r="L71" s="86"/>
      <c r="M71" s="86"/>
      <c r="N71" s="86"/>
      <c r="O71" s="86"/>
      <c r="P71" s="86"/>
      <c r="Q71" s="86"/>
      <c r="R71" s="86"/>
    </row>
    <row r="72" spans="1:18">
      <c r="A72" s="86"/>
      <c r="B72" s="86"/>
      <c r="C72" s="140"/>
      <c r="D72" s="2735"/>
      <c r="E72" s="140">
        <f>+'116119'!G29</f>
        <v>3584534</v>
      </c>
      <c r="F72" s="86" t="s">
        <v>4839</v>
      </c>
      <c r="G72" s="86"/>
      <c r="H72" s="86"/>
      <c r="I72" s="86"/>
      <c r="J72" s="86"/>
      <c r="K72" s="86"/>
      <c r="L72" s="86"/>
      <c r="M72" s="86"/>
      <c r="N72" s="86"/>
      <c r="O72" s="86"/>
      <c r="P72" s="86"/>
      <c r="Q72" s="86"/>
      <c r="R72" s="86"/>
    </row>
    <row r="73" spans="1:18">
      <c r="A73" s="86"/>
      <c r="B73" s="86"/>
      <c r="C73" s="140"/>
      <c r="D73" s="426"/>
      <c r="E73" s="140">
        <f>+E38-E72</f>
        <v>418</v>
      </c>
      <c r="F73" s="86" t="s">
        <v>5048</v>
      </c>
      <c r="H73" s="86"/>
      <c r="I73" s="86"/>
      <c r="J73" s="86"/>
      <c r="K73" s="86"/>
      <c r="L73" s="86"/>
      <c r="M73" s="86"/>
      <c r="N73" s="86"/>
      <c r="O73" s="86"/>
      <c r="P73" s="86"/>
      <c r="Q73" s="86"/>
      <c r="R73" s="86"/>
    </row>
    <row r="74" spans="1:18">
      <c r="A74" s="86"/>
      <c r="B74" s="86"/>
      <c r="C74" s="2810"/>
      <c r="D74" s="2810"/>
      <c r="E74" s="426">
        <f>SUM(E72:E73)</f>
        <v>3584952</v>
      </c>
      <c r="F74" s="86" t="s">
        <v>5049</v>
      </c>
      <c r="G74" s="86"/>
      <c r="H74" s="86"/>
      <c r="I74" s="86"/>
      <c r="J74" s="86"/>
      <c r="K74" s="86"/>
      <c r="L74" s="86"/>
      <c r="M74" s="86"/>
      <c r="N74" s="86"/>
      <c r="O74" s="86"/>
      <c r="P74" s="86"/>
      <c r="Q74" s="86"/>
      <c r="R74" s="86"/>
    </row>
    <row r="75" spans="1:18">
      <c r="A75" s="86"/>
      <c r="B75" s="86"/>
      <c r="C75" s="86"/>
      <c r="D75" s="86"/>
      <c r="E75" s="86"/>
      <c r="F75" s="86"/>
      <c r="G75" s="86"/>
      <c r="H75" s="86"/>
      <c r="I75" s="86"/>
      <c r="J75" s="86"/>
      <c r="K75" s="86"/>
      <c r="L75" s="86"/>
      <c r="M75" s="86"/>
      <c r="N75" s="86"/>
      <c r="O75" s="86"/>
      <c r="P75" s="86"/>
      <c r="Q75" s="86"/>
      <c r="R75" s="86"/>
    </row>
    <row r="76" spans="1:18">
      <c r="A76" s="86"/>
      <c r="B76" s="86"/>
      <c r="C76" s="86"/>
      <c r="D76" s="86"/>
      <c r="E76" s="86"/>
      <c r="F76" s="86"/>
      <c r="G76" s="86"/>
      <c r="H76" s="86"/>
      <c r="I76" s="86"/>
      <c r="J76" s="86"/>
      <c r="K76" s="86"/>
      <c r="L76" s="86"/>
      <c r="M76" s="86"/>
      <c r="N76" s="86"/>
      <c r="O76" s="86"/>
      <c r="P76" s="86"/>
      <c r="Q76" s="86"/>
      <c r="R76" s="86"/>
    </row>
    <row r="77" spans="1:18">
      <c r="A77" s="108"/>
      <c r="B77" s="239"/>
      <c r="C77" s="86"/>
      <c r="D77" s="86"/>
      <c r="E77" s="86"/>
      <c r="F77" s="86"/>
      <c r="G77" s="86"/>
      <c r="H77" s="86"/>
      <c r="I77" s="86"/>
      <c r="J77" s="86"/>
      <c r="K77" s="86"/>
      <c r="L77" s="86"/>
      <c r="M77" s="86"/>
      <c r="N77" s="86"/>
      <c r="O77" s="86"/>
      <c r="P77" s="86"/>
      <c r="Q77" s="86"/>
      <c r="R77" s="86"/>
    </row>
    <row r="78" spans="1:18">
      <c r="A78" s="86"/>
      <c r="B78" s="86"/>
      <c r="C78" s="86"/>
      <c r="D78" s="86"/>
      <c r="E78" s="86"/>
      <c r="F78" s="86"/>
      <c r="G78" s="86"/>
      <c r="H78" s="86"/>
      <c r="I78" s="86"/>
      <c r="J78" s="86"/>
      <c r="K78" s="86"/>
      <c r="L78" s="86"/>
      <c r="M78" s="86"/>
      <c r="N78" s="86"/>
      <c r="O78" s="86"/>
      <c r="P78" s="86"/>
      <c r="Q78" s="86"/>
      <c r="R78" s="86"/>
    </row>
    <row r="79" spans="1:18">
      <c r="A79" s="86"/>
      <c r="B79" s="86"/>
      <c r="C79" s="86"/>
      <c r="D79" s="86"/>
      <c r="E79" s="86"/>
      <c r="F79" s="86"/>
      <c r="G79" s="86"/>
      <c r="H79" s="86"/>
      <c r="I79" s="86"/>
      <c r="J79" s="86"/>
      <c r="K79" s="86"/>
      <c r="L79" s="86"/>
      <c r="M79" s="86"/>
      <c r="N79" s="86"/>
      <c r="O79" s="86"/>
      <c r="P79" s="86"/>
      <c r="Q79" s="86"/>
      <c r="R79" s="86"/>
    </row>
    <row r="80" spans="1:18">
      <c r="A80" s="86"/>
      <c r="B80" s="86"/>
      <c r="C80" s="86"/>
      <c r="D80" s="86"/>
      <c r="E80" s="86"/>
      <c r="F80" s="86"/>
      <c r="G80" s="86"/>
      <c r="H80" s="86"/>
      <c r="I80" s="86"/>
      <c r="J80" s="86"/>
      <c r="K80" s="86"/>
      <c r="L80" s="86"/>
      <c r="M80" s="86"/>
      <c r="N80" s="86"/>
      <c r="O80" s="86"/>
      <c r="P80" s="86"/>
      <c r="Q80" s="86"/>
      <c r="R80" s="86"/>
    </row>
    <row r="81" spans="1:18">
      <c r="A81" s="86"/>
      <c r="B81" s="86"/>
      <c r="C81" s="86"/>
      <c r="D81" s="86"/>
      <c r="E81" s="86"/>
      <c r="F81" s="86"/>
      <c r="G81" s="86"/>
      <c r="H81" s="86"/>
      <c r="I81" s="86"/>
      <c r="J81" s="86"/>
      <c r="K81" s="86"/>
      <c r="L81" s="86"/>
      <c r="M81" s="86"/>
      <c r="N81" s="86"/>
      <c r="O81" s="86"/>
      <c r="P81" s="86"/>
      <c r="Q81" s="86"/>
      <c r="R81" s="86"/>
    </row>
    <row r="82" spans="1:18">
      <c r="A82" s="86"/>
      <c r="B82" s="86"/>
      <c r="C82" s="86"/>
      <c r="D82" s="86"/>
      <c r="E82" s="86"/>
      <c r="F82" s="86"/>
      <c r="G82" s="86"/>
      <c r="H82" s="86"/>
      <c r="I82" s="86"/>
      <c r="J82" s="86"/>
      <c r="K82" s="86"/>
      <c r="L82" s="86"/>
      <c r="M82" s="86"/>
      <c r="N82" s="86"/>
      <c r="O82" s="86"/>
      <c r="P82" s="86"/>
      <c r="Q82" s="86"/>
      <c r="R82" s="86"/>
    </row>
    <row r="83" spans="1:18">
      <c r="A83" s="86"/>
      <c r="B83" s="86"/>
      <c r="C83" s="86"/>
      <c r="D83" s="86"/>
      <c r="E83" s="86"/>
      <c r="F83" s="86"/>
      <c r="G83" s="86"/>
      <c r="H83" s="86"/>
      <c r="I83" s="86"/>
      <c r="J83" s="86"/>
      <c r="K83" s="86"/>
      <c r="L83" s="86"/>
      <c r="M83" s="86"/>
      <c r="N83" s="86"/>
      <c r="O83" s="86"/>
      <c r="P83" s="86"/>
      <c r="Q83" s="86"/>
      <c r="R83" s="86"/>
    </row>
    <row r="84" spans="1:18">
      <c r="A84" s="86"/>
      <c r="B84" s="86"/>
      <c r="C84" s="86"/>
      <c r="D84" s="86"/>
      <c r="E84" s="86"/>
      <c r="F84" s="86"/>
      <c r="G84" s="86"/>
      <c r="H84" s="86"/>
      <c r="I84" s="86"/>
      <c r="J84" s="86"/>
      <c r="K84" s="86"/>
      <c r="L84" s="86"/>
      <c r="M84" s="86"/>
      <c r="N84" s="86"/>
      <c r="O84" s="86"/>
      <c r="P84" s="86"/>
      <c r="Q84" s="86"/>
      <c r="R84" s="86"/>
    </row>
    <row r="85" spans="1:18">
      <c r="A85" s="86"/>
      <c r="B85" s="86"/>
      <c r="C85" s="86"/>
      <c r="D85" s="86"/>
      <c r="E85" s="86"/>
      <c r="F85" s="86"/>
      <c r="G85" s="86"/>
      <c r="H85" s="86"/>
      <c r="I85" s="86"/>
      <c r="J85" s="86"/>
      <c r="K85" s="86"/>
      <c r="L85" s="86"/>
      <c r="M85" s="86"/>
      <c r="N85" s="86"/>
      <c r="O85" s="86"/>
      <c r="P85" s="86"/>
      <c r="Q85" s="86"/>
      <c r="R85" s="86"/>
    </row>
    <row r="86" spans="1:18">
      <c r="A86" s="86"/>
      <c r="B86" s="86"/>
      <c r="C86" s="86"/>
      <c r="D86" s="86"/>
      <c r="E86" s="86"/>
      <c r="F86" s="86"/>
      <c r="G86" s="86"/>
      <c r="H86" s="86"/>
      <c r="I86" s="86"/>
      <c r="J86" s="86"/>
      <c r="K86" s="86"/>
      <c r="L86" s="86"/>
      <c r="M86" s="86"/>
      <c r="N86" s="86"/>
      <c r="O86" s="86"/>
      <c r="P86" s="86"/>
      <c r="Q86" s="86"/>
      <c r="R86" s="86"/>
    </row>
    <row r="87" spans="1:18">
      <c r="A87" s="86"/>
      <c r="B87" s="86"/>
      <c r="C87" s="86"/>
      <c r="D87" s="86"/>
      <c r="E87" s="86"/>
      <c r="F87" s="86"/>
      <c r="G87" s="86"/>
      <c r="H87" s="86"/>
      <c r="I87" s="86"/>
      <c r="J87" s="86"/>
      <c r="K87" s="86"/>
      <c r="L87" s="86"/>
      <c r="M87" s="86"/>
      <c r="N87" s="86"/>
      <c r="O87" s="86"/>
      <c r="P87" s="86"/>
      <c r="Q87" s="86"/>
      <c r="R87" s="86"/>
    </row>
    <row r="88" spans="1:18">
      <c r="A88" s="86"/>
      <c r="B88" s="86"/>
      <c r="C88" s="86"/>
      <c r="D88" s="86"/>
      <c r="E88" s="86"/>
      <c r="F88" s="86"/>
      <c r="G88" s="86"/>
      <c r="H88" s="86"/>
      <c r="I88" s="86"/>
      <c r="J88" s="86"/>
      <c r="K88" s="86"/>
      <c r="L88" s="86"/>
      <c r="M88" s="86"/>
      <c r="N88" s="86"/>
      <c r="O88" s="86"/>
      <c r="P88" s="86"/>
      <c r="Q88" s="86"/>
      <c r="R88" s="86"/>
    </row>
    <row r="89" spans="1:18">
      <c r="A89" s="86"/>
      <c r="B89" s="86"/>
      <c r="C89" s="86"/>
      <c r="D89" s="86"/>
      <c r="E89" s="86"/>
      <c r="F89" s="86"/>
      <c r="G89" s="86"/>
      <c r="H89" s="86"/>
      <c r="I89" s="86"/>
      <c r="J89" s="86"/>
      <c r="K89" s="86"/>
      <c r="L89" s="86"/>
      <c r="M89" s="86"/>
      <c r="N89" s="86"/>
      <c r="O89" s="86"/>
      <c r="P89" s="86"/>
      <c r="Q89" s="86"/>
      <c r="R89" s="86"/>
    </row>
    <row r="90" spans="1:18">
      <c r="A90" s="86"/>
      <c r="B90" s="86"/>
      <c r="C90" s="86"/>
      <c r="D90" s="86"/>
      <c r="E90" s="86"/>
      <c r="F90" s="86"/>
      <c r="G90" s="86"/>
      <c r="H90" s="86"/>
      <c r="I90" s="86"/>
      <c r="J90" s="86"/>
      <c r="K90" s="86"/>
      <c r="L90" s="86"/>
      <c r="M90" s="86"/>
      <c r="N90" s="86"/>
      <c r="O90" s="86"/>
      <c r="P90" s="86"/>
      <c r="Q90" s="86"/>
      <c r="R90" s="86"/>
    </row>
    <row r="91" spans="1:18">
      <c r="A91" s="86"/>
      <c r="B91" s="86"/>
      <c r="C91" s="86"/>
      <c r="D91" s="86"/>
      <c r="E91" s="86"/>
      <c r="F91" s="86"/>
      <c r="G91" s="86"/>
      <c r="H91" s="86"/>
      <c r="I91" s="86"/>
      <c r="J91" s="86"/>
      <c r="K91" s="86"/>
      <c r="L91" s="86"/>
      <c r="M91" s="86"/>
      <c r="N91" s="86"/>
      <c r="O91" s="86"/>
      <c r="P91" s="86"/>
      <c r="Q91" s="86"/>
      <c r="R91" s="86"/>
    </row>
    <row r="92" spans="1:18">
      <c r="A92" s="86"/>
      <c r="B92" s="86"/>
      <c r="C92" s="86"/>
      <c r="D92" s="86"/>
      <c r="E92" s="86"/>
      <c r="F92" s="86"/>
      <c r="G92" s="86"/>
      <c r="H92" s="86"/>
      <c r="I92" s="86"/>
      <c r="J92" s="86"/>
      <c r="K92" s="86"/>
      <c r="L92" s="86"/>
      <c r="M92" s="86"/>
      <c r="N92" s="86"/>
      <c r="O92" s="86"/>
      <c r="P92" s="86"/>
      <c r="Q92" s="86"/>
      <c r="R92" s="86"/>
    </row>
    <row r="93" spans="1:18">
      <c r="A93" s="86"/>
      <c r="B93" s="86"/>
      <c r="C93" s="86"/>
      <c r="D93" s="86"/>
      <c r="E93" s="86"/>
      <c r="F93" s="86"/>
      <c r="G93" s="86"/>
      <c r="H93" s="86"/>
      <c r="I93" s="86"/>
      <c r="J93" s="86"/>
      <c r="K93" s="86"/>
      <c r="L93" s="86"/>
      <c r="M93" s="86"/>
      <c r="N93" s="86"/>
      <c r="O93" s="86"/>
      <c r="P93" s="86"/>
      <c r="Q93" s="86"/>
      <c r="R93" s="86"/>
    </row>
    <row r="94" spans="1:18">
      <c r="A94" s="86"/>
      <c r="B94" s="86"/>
      <c r="C94" s="86"/>
      <c r="D94" s="86"/>
      <c r="E94" s="86"/>
      <c r="F94" s="86"/>
      <c r="G94" s="86"/>
      <c r="H94" s="86"/>
      <c r="I94" s="86"/>
      <c r="J94" s="86"/>
      <c r="K94" s="86"/>
      <c r="L94" s="86"/>
      <c r="M94" s="86"/>
      <c r="N94" s="86"/>
      <c r="O94" s="86"/>
      <c r="P94" s="86"/>
      <c r="Q94" s="86"/>
      <c r="R94" s="86"/>
    </row>
    <row r="95" spans="1:18">
      <c r="A95" s="86"/>
      <c r="B95" s="86"/>
      <c r="C95" s="86"/>
      <c r="D95" s="86"/>
      <c r="E95" s="86"/>
      <c r="F95" s="86"/>
      <c r="G95" s="86"/>
      <c r="H95" s="86"/>
      <c r="I95" s="86"/>
      <c r="J95" s="86"/>
      <c r="K95" s="86"/>
      <c r="L95" s="86"/>
      <c r="M95" s="86"/>
      <c r="N95" s="86"/>
      <c r="O95" s="86"/>
      <c r="P95" s="86"/>
      <c r="Q95" s="86"/>
      <c r="R95" s="86"/>
    </row>
    <row r="96" spans="1:18">
      <c r="A96" s="86"/>
      <c r="B96" s="86"/>
      <c r="C96" s="86"/>
      <c r="D96" s="86"/>
      <c r="E96" s="86"/>
      <c r="F96" s="86"/>
      <c r="G96" s="86"/>
      <c r="H96" s="86"/>
      <c r="I96" s="86"/>
      <c r="J96" s="86"/>
      <c r="K96" s="86"/>
      <c r="L96" s="86"/>
      <c r="M96" s="86"/>
      <c r="N96" s="86"/>
      <c r="O96" s="86"/>
      <c r="P96" s="86"/>
      <c r="Q96" s="86"/>
      <c r="R96" s="86"/>
    </row>
    <row r="97" spans="1:18">
      <c r="A97" s="86"/>
      <c r="B97" s="86"/>
      <c r="C97" s="86"/>
      <c r="D97" s="86"/>
      <c r="E97" s="86"/>
      <c r="F97" s="86"/>
      <c r="G97" s="86"/>
      <c r="H97" s="86"/>
      <c r="I97" s="86"/>
      <c r="J97" s="86"/>
      <c r="K97" s="86"/>
      <c r="L97" s="86"/>
      <c r="M97" s="86"/>
      <c r="N97" s="86"/>
      <c r="O97" s="86"/>
      <c r="P97" s="86"/>
      <c r="Q97" s="86"/>
      <c r="R97" s="86"/>
    </row>
    <row r="98" spans="1:18">
      <c r="A98" s="86"/>
      <c r="B98" s="86"/>
      <c r="C98" s="86"/>
      <c r="D98" s="86"/>
      <c r="E98" s="86"/>
      <c r="F98" s="86"/>
      <c r="G98" s="86"/>
      <c r="H98" s="86"/>
      <c r="I98" s="86"/>
      <c r="J98" s="86"/>
      <c r="K98" s="86"/>
      <c r="L98" s="86"/>
      <c r="M98" s="86"/>
      <c r="N98" s="86"/>
      <c r="O98" s="86"/>
      <c r="P98" s="86"/>
      <c r="Q98" s="86"/>
      <c r="R98" s="86"/>
    </row>
    <row r="99" spans="1:18">
      <c r="A99" s="86"/>
      <c r="B99" s="86"/>
      <c r="C99" s="86"/>
      <c r="D99" s="86"/>
      <c r="E99" s="86"/>
      <c r="F99" s="86"/>
      <c r="G99" s="86"/>
      <c r="H99" s="86"/>
      <c r="I99" s="86"/>
      <c r="J99" s="86"/>
      <c r="K99" s="86"/>
      <c r="L99" s="86"/>
      <c r="M99" s="86"/>
      <c r="N99" s="86"/>
      <c r="O99" s="86"/>
      <c r="P99" s="86"/>
      <c r="Q99" s="86"/>
      <c r="R99" s="86"/>
    </row>
    <row r="100" spans="1:18">
      <c r="A100" s="86"/>
      <c r="B100" s="86"/>
      <c r="C100" s="86"/>
      <c r="D100" s="86"/>
      <c r="E100" s="86"/>
      <c r="F100" s="86"/>
      <c r="G100" s="86"/>
      <c r="H100" s="86"/>
      <c r="I100" s="86"/>
      <c r="J100" s="86"/>
      <c r="K100" s="86"/>
      <c r="L100" s="86"/>
      <c r="M100" s="86"/>
      <c r="N100" s="86"/>
      <c r="O100" s="86"/>
      <c r="P100" s="86"/>
      <c r="Q100" s="86"/>
      <c r="R100" s="86"/>
    </row>
    <row r="101" spans="1:18">
      <c r="A101" s="86"/>
      <c r="B101" s="86"/>
      <c r="C101" s="86"/>
      <c r="D101" s="86"/>
      <c r="E101" s="86"/>
      <c r="F101" s="86"/>
      <c r="G101" s="86"/>
      <c r="H101" s="86"/>
      <c r="I101" s="86"/>
      <c r="J101" s="86"/>
      <c r="K101" s="86"/>
      <c r="L101" s="86"/>
      <c r="M101" s="86"/>
      <c r="N101" s="86"/>
      <c r="O101" s="86"/>
      <c r="P101" s="86"/>
      <c r="Q101" s="86"/>
      <c r="R101" s="86"/>
    </row>
    <row r="102" spans="1:18">
      <c r="A102" s="86"/>
      <c r="B102" s="86"/>
      <c r="C102" s="86"/>
      <c r="D102" s="86"/>
      <c r="E102" s="86"/>
      <c r="F102" s="86"/>
      <c r="G102" s="86"/>
      <c r="H102" s="86"/>
      <c r="I102" s="86"/>
      <c r="J102" s="86"/>
      <c r="K102" s="86"/>
      <c r="L102" s="86"/>
      <c r="M102" s="86"/>
      <c r="N102" s="86"/>
      <c r="O102" s="86"/>
      <c r="P102" s="86"/>
      <c r="Q102" s="86"/>
      <c r="R102" s="86"/>
    </row>
    <row r="103" spans="1:18">
      <c r="A103" s="86"/>
      <c r="B103" s="86"/>
      <c r="C103" s="86"/>
      <c r="D103" s="86"/>
      <c r="E103" s="86"/>
      <c r="F103" s="86"/>
      <c r="G103" s="86"/>
      <c r="H103" s="86"/>
      <c r="I103" s="86"/>
      <c r="J103" s="86"/>
      <c r="K103" s="86"/>
      <c r="L103" s="86"/>
      <c r="M103" s="86"/>
      <c r="N103" s="86"/>
      <c r="O103" s="86"/>
      <c r="P103" s="86"/>
      <c r="Q103" s="86"/>
      <c r="R103" s="86"/>
    </row>
    <row r="104" spans="1:18">
      <c r="A104" s="86"/>
      <c r="B104" s="86"/>
      <c r="C104" s="86"/>
      <c r="D104" s="86"/>
      <c r="E104" s="86"/>
      <c r="F104" s="86"/>
      <c r="G104" s="86"/>
      <c r="H104" s="86"/>
      <c r="I104" s="86"/>
      <c r="J104" s="86"/>
      <c r="K104" s="86"/>
      <c r="L104" s="86"/>
      <c r="M104" s="86"/>
      <c r="N104" s="86"/>
      <c r="O104" s="86"/>
      <c r="P104" s="86"/>
      <c r="Q104" s="86"/>
      <c r="R104" s="86"/>
    </row>
    <row r="105" spans="1:18">
      <c r="A105" s="86"/>
      <c r="B105" s="86"/>
      <c r="C105" s="86"/>
      <c r="D105" s="86"/>
      <c r="E105" s="86"/>
      <c r="F105" s="86"/>
      <c r="G105" s="86"/>
      <c r="H105" s="86"/>
      <c r="I105" s="86"/>
      <c r="J105" s="86"/>
      <c r="K105" s="86"/>
      <c r="L105" s="86"/>
      <c r="M105" s="86"/>
      <c r="N105" s="86"/>
      <c r="O105" s="86"/>
      <c r="P105" s="86"/>
      <c r="Q105" s="86"/>
      <c r="R105" s="86"/>
    </row>
    <row r="106" spans="1:18">
      <c r="A106" s="86"/>
      <c r="B106" s="86"/>
      <c r="C106" s="86"/>
      <c r="D106" s="86"/>
      <c r="E106" s="86"/>
      <c r="F106" s="86"/>
      <c r="G106" s="86"/>
      <c r="H106" s="86"/>
      <c r="I106" s="86"/>
      <c r="J106" s="86"/>
      <c r="K106" s="86"/>
      <c r="L106" s="86"/>
      <c r="M106" s="86"/>
      <c r="N106" s="86"/>
      <c r="O106" s="86"/>
      <c r="P106" s="86"/>
      <c r="Q106" s="86"/>
      <c r="R106" s="86"/>
    </row>
    <row r="107" spans="1:18">
      <c r="A107" s="86"/>
      <c r="B107" s="86"/>
      <c r="C107" s="86"/>
      <c r="D107" s="86"/>
      <c r="E107" s="86"/>
      <c r="F107" s="86"/>
      <c r="G107" s="86"/>
      <c r="H107" s="86"/>
      <c r="I107" s="86"/>
      <c r="J107" s="86"/>
      <c r="K107" s="86"/>
      <c r="L107" s="86"/>
      <c r="M107" s="86"/>
      <c r="N107" s="86"/>
      <c r="O107" s="86"/>
      <c r="P107" s="86"/>
      <c r="Q107" s="86"/>
      <c r="R107" s="86"/>
    </row>
    <row r="108" spans="1:18">
      <c r="A108" s="86"/>
      <c r="B108" s="86"/>
      <c r="C108" s="86"/>
      <c r="D108" s="86"/>
      <c r="E108" s="86"/>
      <c r="F108" s="86"/>
      <c r="G108" s="86"/>
      <c r="H108" s="86"/>
      <c r="I108" s="86"/>
      <c r="J108" s="86"/>
      <c r="K108" s="86"/>
      <c r="L108" s="86"/>
      <c r="M108" s="86"/>
      <c r="N108" s="86"/>
      <c r="O108" s="86"/>
      <c r="P108" s="86"/>
      <c r="Q108" s="86"/>
      <c r="R108" s="86"/>
    </row>
    <row r="109" spans="1:18">
      <c r="A109" s="86"/>
      <c r="B109" s="86"/>
      <c r="C109" s="86"/>
      <c r="D109" s="86"/>
      <c r="E109" s="86"/>
      <c r="F109" s="86"/>
      <c r="G109" s="86"/>
      <c r="H109" s="86"/>
      <c r="I109" s="86"/>
      <c r="J109" s="86"/>
      <c r="K109" s="86"/>
      <c r="L109" s="86"/>
      <c r="M109" s="86"/>
      <c r="N109" s="86"/>
      <c r="O109" s="86"/>
      <c r="P109" s="86"/>
      <c r="Q109" s="86"/>
      <c r="R109" s="86"/>
    </row>
    <row r="110" spans="1:18">
      <c r="A110" s="86"/>
      <c r="B110" s="86"/>
      <c r="C110" s="86"/>
      <c r="D110" s="86"/>
      <c r="E110" s="86"/>
      <c r="F110" s="86"/>
      <c r="G110" s="86"/>
      <c r="H110" s="86"/>
      <c r="I110" s="86"/>
      <c r="J110" s="86"/>
      <c r="K110" s="86"/>
      <c r="L110" s="86"/>
      <c r="M110" s="86"/>
      <c r="N110" s="86"/>
      <c r="O110" s="86"/>
      <c r="P110" s="86"/>
      <c r="Q110" s="86"/>
      <c r="R110" s="86"/>
    </row>
    <row r="111" spans="1:18">
      <c r="A111" s="86"/>
      <c r="B111" s="86"/>
      <c r="C111" s="86"/>
      <c r="D111" s="86"/>
      <c r="E111" s="86"/>
      <c r="F111" s="86"/>
      <c r="G111" s="86"/>
      <c r="H111" s="86"/>
      <c r="I111" s="86"/>
      <c r="J111" s="86"/>
      <c r="K111" s="86"/>
      <c r="L111" s="86"/>
      <c r="M111" s="86"/>
      <c r="N111" s="86"/>
      <c r="O111" s="86"/>
      <c r="P111" s="86"/>
      <c r="Q111" s="86"/>
      <c r="R111" s="86"/>
    </row>
    <row r="112" spans="1:18">
      <c r="A112" s="86"/>
      <c r="B112" s="86"/>
      <c r="C112" s="86"/>
      <c r="D112" s="86"/>
      <c r="E112" s="86"/>
      <c r="F112" s="86"/>
      <c r="G112" s="86"/>
      <c r="H112" s="86"/>
      <c r="I112" s="86"/>
      <c r="J112" s="86"/>
      <c r="K112" s="86"/>
      <c r="L112" s="86"/>
      <c r="M112" s="86"/>
      <c r="N112" s="86"/>
      <c r="O112" s="86"/>
      <c r="P112" s="86"/>
      <c r="Q112" s="86"/>
      <c r="R112" s="86"/>
    </row>
    <row r="113" spans="1:18">
      <c r="A113" s="86"/>
      <c r="B113" s="86"/>
      <c r="C113" s="86"/>
      <c r="D113" s="86"/>
      <c r="E113" s="86"/>
      <c r="F113" s="86"/>
      <c r="G113" s="86"/>
      <c r="H113" s="86"/>
      <c r="I113" s="86"/>
      <c r="J113" s="86"/>
      <c r="K113" s="86"/>
      <c r="L113" s="86"/>
      <c r="M113" s="86"/>
      <c r="N113" s="86"/>
      <c r="O113" s="86"/>
      <c r="P113" s="86"/>
      <c r="Q113" s="86"/>
      <c r="R113" s="86"/>
    </row>
    <row r="114" spans="1:18">
      <c r="A114" s="86"/>
      <c r="B114" s="86"/>
      <c r="C114" s="86"/>
      <c r="D114" s="86"/>
      <c r="E114" s="86"/>
      <c r="F114" s="86"/>
      <c r="G114" s="86"/>
      <c r="H114" s="86"/>
      <c r="I114" s="86"/>
      <c r="J114" s="86"/>
      <c r="K114" s="86"/>
      <c r="L114" s="86"/>
      <c r="M114" s="86"/>
      <c r="N114" s="86"/>
      <c r="O114" s="86"/>
      <c r="P114" s="86"/>
      <c r="Q114" s="86"/>
      <c r="R114" s="86"/>
    </row>
    <row r="115" spans="1:18">
      <c r="A115" s="86"/>
      <c r="B115" s="86"/>
      <c r="C115" s="86"/>
      <c r="D115" s="86"/>
      <c r="E115" s="86"/>
      <c r="F115" s="86"/>
      <c r="G115" s="86"/>
      <c r="H115" s="86"/>
      <c r="I115" s="86"/>
      <c r="J115" s="86"/>
      <c r="K115" s="86"/>
      <c r="L115" s="86"/>
      <c r="M115" s="86"/>
      <c r="N115" s="86"/>
      <c r="O115" s="86"/>
      <c r="P115" s="86"/>
      <c r="Q115" s="86"/>
      <c r="R115" s="86"/>
    </row>
    <row r="116" spans="1:18">
      <c r="A116" s="86"/>
      <c r="B116" s="86"/>
      <c r="C116" s="86"/>
      <c r="D116" s="86"/>
      <c r="E116" s="86"/>
      <c r="F116" s="86"/>
      <c r="G116" s="86"/>
      <c r="H116" s="86"/>
      <c r="I116" s="86"/>
      <c r="J116" s="86"/>
      <c r="K116" s="86"/>
      <c r="L116" s="86"/>
      <c r="M116" s="86"/>
      <c r="N116" s="86"/>
      <c r="O116" s="86"/>
      <c r="P116" s="86"/>
      <c r="Q116" s="86"/>
      <c r="R116" s="86"/>
    </row>
    <row r="117" spans="1:18">
      <c r="A117" s="86"/>
      <c r="B117" s="86"/>
      <c r="C117" s="86"/>
      <c r="D117" s="86"/>
      <c r="E117" s="86"/>
      <c r="F117" s="86"/>
      <c r="G117" s="86"/>
      <c r="H117" s="86"/>
      <c r="I117" s="86"/>
      <c r="J117" s="86"/>
      <c r="K117" s="86"/>
      <c r="L117" s="86"/>
      <c r="M117" s="86"/>
      <c r="N117" s="86"/>
      <c r="O117" s="86"/>
      <c r="P117" s="86"/>
      <c r="Q117" s="86"/>
      <c r="R117" s="86"/>
    </row>
    <row r="118" spans="1:18">
      <c r="A118" s="86"/>
      <c r="B118" s="86"/>
      <c r="C118" s="86"/>
      <c r="D118" s="86"/>
      <c r="E118" s="86"/>
      <c r="F118" s="86"/>
      <c r="G118" s="86"/>
      <c r="H118" s="86"/>
      <c r="I118" s="86"/>
      <c r="J118" s="86"/>
      <c r="K118" s="86"/>
      <c r="L118" s="86"/>
      <c r="M118" s="86"/>
      <c r="N118" s="86"/>
      <c r="O118" s="86"/>
      <c r="P118" s="86"/>
      <c r="Q118" s="86"/>
      <c r="R118" s="86"/>
    </row>
    <row r="119" spans="1:18">
      <c r="A119" s="86"/>
      <c r="B119" s="86"/>
      <c r="C119" s="86"/>
      <c r="D119" s="86"/>
      <c r="E119" s="86"/>
      <c r="F119" s="86"/>
      <c r="G119" s="86"/>
      <c r="H119" s="86"/>
      <c r="I119" s="86"/>
      <c r="J119" s="86"/>
      <c r="K119" s="86"/>
      <c r="L119" s="86"/>
      <c r="M119" s="86"/>
      <c r="N119" s="86"/>
      <c r="O119" s="86"/>
      <c r="P119" s="86"/>
      <c r="Q119" s="86"/>
      <c r="R119" s="86"/>
    </row>
    <row r="120" spans="1:18">
      <c r="A120" s="86"/>
      <c r="B120" s="86"/>
      <c r="C120" s="86"/>
      <c r="D120" s="86"/>
      <c r="E120" s="86"/>
      <c r="F120" s="86"/>
      <c r="G120" s="86"/>
      <c r="H120" s="86"/>
      <c r="I120" s="86"/>
      <c r="J120" s="86"/>
      <c r="K120" s="86"/>
      <c r="L120" s="86"/>
      <c r="M120" s="86"/>
      <c r="N120" s="86"/>
      <c r="O120" s="86"/>
      <c r="P120" s="86"/>
      <c r="Q120" s="86"/>
      <c r="R120" s="86"/>
    </row>
    <row r="121" spans="1:18">
      <c r="A121" s="86"/>
      <c r="B121" s="86"/>
      <c r="C121" s="86"/>
      <c r="D121" s="86"/>
      <c r="E121" s="86"/>
      <c r="F121" s="86"/>
      <c r="G121" s="86"/>
      <c r="H121" s="86"/>
      <c r="I121" s="86"/>
      <c r="J121" s="86"/>
      <c r="K121" s="86"/>
      <c r="L121" s="86"/>
      <c r="M121" s="86"/>
      <c r="N121" s="86"/>
      <c r="O121" s="86"/>
      <c r="P121" s="86"/>
      <c r="Q121" s="86"/>
      <c r="R121" s="86"/>
    </row>
    <row r="122" spans="1:18">
      <c r="A122" s="86"/>
      <c r="B122" s="86"/>
      <c r="C122" s="86"/>
      <c r="D122" s="86"/>
      <c r="E122" s="86"/>
      <c r="F122" s="86"/>
      <c r="G122" s="86"/>
      <c r="H122" s="86"/>
      <c r="I122" s="86"/>
      <c r="J122" s="86"/>
      <c r="K122" s="86"/>
      <c r="L122" s="86"/>
      <c r="M122" s="86"/>
      <c r="N122" s="86"/>
      <c r="O122" s="86"/>
      <c r="P122" s="86"/>
      <c r="Q122" s="86"/>
      <c r="R122" s="86"/>
    </row>
    <row r="123" spans="1:18">
      <c r="A123" s="86"/>
      <c r="B123" s="86"/>
      <c r="C123" s="86"/>
      <c r="D123" s="86"/>
      <c r="E123" s="86"/>
      <c r="F123" s="86"/>
      <c r="G123" s="86"/>
      <c r="H123" s="86"/>
      <c r="I123" s="86"/>
      <c r="J123" s="86"/>
      <c r="K123" s="86"/>
      <c r="L123" s="86"/>
      <c r="M123" s="86"/>
      <c r="N123" s="86"/>
      <c r="O123" s="86"/>
      <c r="P123" s="86"/>
      <c r="Q123" s="86"/>
      <c r="R123" s="86"/>
    </row>
    <row r="124" spans="1:18">
      <c r="A124" s="86"/>
      <c r="B124" s="86"/>
      <c r="C124" s="86"/>
      <c r="D124" s="86"/>
      <c r="E124" s="86"/>
      <c r="F124" s="86"/>
      <c r="G124" s="86"/>
      <c r="H124" s="86"/>
      <c r="I124" s="86"/>
      <c r="J124" s="86"/>
      <c r="K124" s="86"/>
      <c r="L124" s="86"/>
      <c r="M124" s="86"/>
      <c r="N124" s="86"/>
      <c r="O124" s="86"/>
      <c r="P124" s="86"/>
      <c r="Q124" s="86"/>
      <c r="R124" s="86"/>
    </row>
    <row r="125" spans="1:18">
      <c r="A125" s="86"/>
      <c r="B125" s="86"/>
      <c r="C125" s="86"/>
      <c r="D125" s="86"/>
      <c r="E125" s="86"/>
      <c r="F125" s="86"/>
      <c r="G125" s="86"/>
      <c r="H125" s="86"/>
      <c r="I125" s="86"/>
      <c r="J125" s="86"/>
      <c r="K125" s="86"/>
      <c r="L125" s="86"/>
      <c r="M125" s="86"/>
      <c r="N125" s="86"/>
      <c r="O125" s="86"/>
      <c r="P125" s="86"/>
      <c r="Q125" s="86"/>
      <c r="R125" s="86"/>
    </row>
    <row r="126" spans="1:18">
      <c r="A126" s="86"/>
      <c r="B126" s="86"/>
      <c r="C126" s="86"/>
      <c r="D126" s="86"/>
      <c r="E126" s="86"/>
      <c r="F126" s="86"/>
      <c r="G126" s="86"/>
      <c r="H126" s="86"/>
      <c r="I126" s="86"/>
      <c r="J126" s="86"/>
      <c r="K126" s="86"/>
      <c r="L126" s="86"/>
      <c r="M126" s="86"/>
      <c r="N126" s="86"/>
      <c r="O126" s="86"/>
      <c r="P126" s="86"/>
      <c r="Q126" s="86"/>
      <c r="R126" s="86"/>
    </row>
    <row r="127" spans="1:18">
      <c r="A127" s="86"/>
      <c r="B127" s="86"/>
      <c r="C127" s="86"/>
      <c r="D127" s="86"/>
      <c r="E127" s="86"/>
      <c r="F127" s="86"/>
      <c r="G127" s="86"/>
      <c r="H127" s="86"/>
      <c r="I127" s="86"/>
      <c r="J127" s="86"/>
      <c r="K127" s="86"/>
      <c r="L127" s="86"/>
      <c r="M127" s="86"/>
      <c r="N127" s="86"/>
      <c r="O127" s="86"/>
      <c r="P127" s="86"/>
      <c r="Q127" s="86"/>
      <c r="R127" s="86"/>
    </row>
    <row r="128" spans="1:18">
      <c r="A128" s="86"/>
      <c r="B128" s="86"/>
      <c r="C128" s="86"/>
      <c r="D128" s="86"/>
      <c r="E128" s="86"/>
      <c r="F128" s="86"/>
      <c r="G128" s="86"/>
      <c r="H128" s="86"/>
      <c r="I128" s="86"/>
      <c r="J128" s="86"/>
      <c r="K128" s="86"/>
      <c r="L128" s="86"/>
      <c r="M128" s="86"/>
      <c r="N128" s="86"/>
      <c r="O128" s="86"/>
      <c r="P128" s="86"/>
      <c r="Q128" s="86"/>
      <c r="R128" s="86"/>
    </row>
    <row r="129" spans="1:18">
      <c r="A129" s="86"/>
      <c r="B129" s="86"/>
      <c r="C129" s="86"/>
      <c r="D129" s="86"/>
      <c r="E129" s="86"/>
      <c r="F129" s="86"/>
      <c r="G129" s="86"/>
      <c r="H129" s="86"/>
      <c r="I129" s="86"/>
      <c r="J129" s="86"/>
      <c r="K129" s="86"/>
      <c r="L129" s="86"/>
      <c r="M129" s="86"/>
      <c r="N129" s="86"/>
      <c r="O129" s="86"/>
      <c r="P129" s="86"/>
      <c r="Q129" s="86"/>
      <c r="R129" s="86"/>
    </row>
    <row r="130" spans="1:18">
      <c r="A130" s="86"/>
      <c r="B130" s="86"/>
      <c r="C130" s="86"/>
      <c r="D130" s="86"/>
      <c r="E130" s="86"/>
      <c r="F130" s="86"/>
      <c r="G130" s="86"/>
      <c r="H130" s="86"/>
      <c r="I130" s="86"/>
      <c r="J130" s="86"/>
      <c r="K130" s="86"/>
      <c r="L130" s="86"/>
      <c r="M130" s="86"/>
      <c r="N130" s="86"/>
      <c r="O130" s="86"/>
      <c r="P130" s="86"/>
      <c r="Q130" s="86"/>
      <c r="R130" s="86"/>
    </row>
    <row r="131" spans="1:18">
      <c r="A131" s="86"/>
      <c r="B131" s="86"/>
      <c r="C131" s="86"/>
      <c r="D131" s="86"/>
      <c r="E131" s="86"/>
      <c r="F131" s="86"/>
      <c r="G131" s="86"/>
      <c r="H131" s="86"/>
      <c r="I131" s="86"/>
      <c r="J131" s="86"/>
      <c r="K131" s="86"/>
      <c r="L131" s="86"/>
      <c r="M131" s="86"/>
      <c r="N131" s="86"/>
      <c r="O131" s="86"/>
      <c r="P131" s="86"/>
      <c r="Q131" s="86"/>
      <c r="R131" s="86"/>
    </row>
    <row r="132" spans="1:18">
      <c r="A132" s="86"/>
      <c r="B132" s="86"/>
      <c r="C132" s="86"/>
      <c r="D132" s="86"/>
      <c r="E132" s="86"/>
      <c r="F132" s="86"/>
      <c r="G132" s="86"/>
      <c r="H132" s="86"/>
      <c r="I132" s="86"/>
      <c r="J132" s="86"/>
      <c r="K132" s="86"/>
      <c r="L132" s="86"/>
      <c r="M132" s="86"/>
      <c r="N132" s="86"/>
      <c r="O132" s="86"/>
      <c r="P132" s="86"/>
      <c r="Q132" s="86"/>
      <c r="R132" s="86"/>
    </row>
    <row r="133" spans="1:18">
      <c r="A133" s="86"/>
      <c r="B133" s="86"/>
      <c r="C133" s="86"/>
      <c r="D133" s="86"/>
      <c r="E133" s="86"/>
      <c r="F133" s="86"/>
      <c r="G133" s="86"/>
      <c r="H133" s="86"/>
      <c r="I133" s="86"/>
      <c r="J133" s="86"/>
      <c r="K133" s="86"/>
      <c r="L133" s="86"/>
      <c r="M133" s="86"/>
      <c r="N133" s="86"/>
      <c r="O133" s="86"/>
      <c r="P133" s="86"/>
      <c r="Q133" s="86"/>
      <c r="R133" s="86"/>
    </row>
    <row r="134" spans="1:18">
      <c r="A134" s="86"/>
      <c r="B134" s="86"/>
      <c r="C134" s="86"/>
      <c r="D134" s="86"/>
      <c r="E134" s="86"/>
      <c r="F134" s="86"/>
      <c r="G134" s="86"/>
      <c r="H134" s="86"/>
      <c r="I134" s="86"/>
      <c r="J134" s="86"/>
      <c r="K134" s="86"/>
      <c r="L134" s="86"/>
      <c r="M134" s="86"/>
      <c r="N134" s="86"/>
      <c r="O134" s="86"/>
      <c r="P134" s="86"/>
      <c r="Q134" s="86"/>
      <c r="R134" s="86"/>
    </row>
    <row r="135" spans="1:18">
      <c r="A135" s="86"/>
      <c r="B135" s="86"/>
      <c r="C135" s="86"/>
      <c r="D135" s="86"/>
      <c r="E135" s="86"/>
      <c r="F135" s="86"/>
      <c r="G135" s="86"/>
      <c r="H135" s="86"/>
      <c r="I135" s="86"/>
      <c r="J135" s="86"/>
      <c r="K135" s="86"/>
      <c r="L135" s="86"/>
      <c r="M135" s="86"/>
      <c r="N135" s="86"/>
      <c r="O135" s="86"/>
      <c r="P135" s="86"/>
      <c r="Q135" s="86"/>
      <c r="R135" s="86"/>
    </row>
    <row r="136" spans="1:18">
      <c r="A136" s="86"/>
      <c r="B136" s="86"/>
      <c r="C136" s="86"/>
      <c r="D136" s="86"/>
      <c r="E136" s="86"/>
      <c r="F136" s="86"/>
      <c r="G136" s="86"/>
      <c r="H136" s="86"/>
      <c r="I136" s="86"/>
      <c r="J136" s="86"/>
      <c r="K136" s="86"/>
      <c r="L136" s="86"/>
      <c r="M136" s="86"/>
      <c r="N136" s="86"/>
      <c r="O136" s="86"/>
      <c r="P136" s="86"/>
      <c r="Q136" s="86"/>
      <c r="R136" s="86"/>
    </row>
    <row r="137" spans="1:18">
      <c r="A137" s="86"/>
      <c r="B137" s="86"/>
      <c r="C137" s="86"/>
      <c r="D137" s="86"/>
      <c r="E137" s="86"/>
      <c r="F137" s="86"/>
      <c r="G137" s="86"/>
      <c r="H137" s="86"/>
      <c r="I137" s="86"/>
      <c r="J137" s="86"/>
      <c r="K137" s="86"/>
      <c r="L137" s="86"/>
      <c r="M137" s="86"/>
      <c r="N137" s="86"/>
      <c r="O137" s="86"/>
      <c r="P137" s="86"/>
      <c r="Q137" s="86"/>
      <c r="R137" s="86"/>
    </row>
    <row r="138" spans="1:18">
      <c r="A138" s="86"/>
      <c r="B138" s="86"/>
      <c r="C138" s="86"/>
      <c r="D138" s="86"/>
      <c r="E138" s="86"/>
      <c r="F138" s="86"/>
      <c r="G138" s="86"/>
      <c r="H138" s="86"/>
      <c r="I138" s="86"/>
      <c r="J138" s="86"/>
      <c r="K138" s="86"/>
      <c r="L138" s="86"/>
      <c r="M138" s="86"/>
      <c r="N138" s="86"/>
      <c r="O138" s="86"/>
      <c r="P138" s="86"/>
      <c r="Q138" s="86"/>
      <c r="R138" s="86"/>
    </row>
    <row r="139" spans="1:18">
      <c r="A139" s="86"/>
      <c r="B139" s="86"/>
      <c r="C139" s="86"/>
      <c r="D139" s="86"/>
      <c r="E139" s="86"/>
      <c r="F139" s="86"/>
      <c r="G139" s="86"/>
      <c r="H139" s="86"/>
      <c r="I139" s="86"/>
      <c r="J139" s="86"/>
      <c r="K139" s="86"/>
      <c r="L139" s="86"/>
      <c r="M139" s="86"/>
      <c r="N139" s="86"/>
      <c r="O139" s="86"/>
      <c r="P139" s="86"/>
      <c r="Q139" s="86"/>
      <c r="R139" s="86"/>
    </row>
    <row r="140" spans="1:18">
      <c r="A140" s="86"/>
      <c r="B140" s="86"/>
      <c r="C140" s="86"/>
      <c r="D140" s="86"/>
      <c r="E140" s="86"/>
      <c r="F140" s="86"/>
      <c r="G140" s="86"/>
      <c r="H140" s="86"/>
      <c r="I140" s="86"/>
      <c r="J140" s="86"/>
      <c r="K140" s="86"/>
      <c r="L140" s="86"/>
      <c r="M140" s="86"/>
      <c r="N140" s="86"/>
      <c r="O140" s="86"/>
      <c r="P140" s="86"/>
      <c r="Q140" s="86"/>
      <c r="R140" s="86"/>
    </row>
    <row r="141" spans="1:18">
      <c r="A141" s="86"/>
      <c r="B141" s="86"/>
      <c r="C141" s="86"/>
      <c r="D141" s="86"/>
      <c r="E141" s="86"/>
      <c r="F141" s="86"/>
      <c r="G141" s="86"/>
      <c r="H141" s="86"/>
      <c r="I141" s="86"/>
      <c r="J141" s="86"/>
      <c r="K141" s="86"/>
      <c r="L141" s="86"/>
      <c r="M141" s="86"/>
      <c r="N141" s="86"/>
      <c r="O141" s="86"/>
      <c r="P141" s="86"/>
      <c r="Q141" s="86"/>
      <c r="R141" s="86"/>
    </row>
    <row r="142" spans="1:18">
      <c r="A142" s="86"/>
      <c r="B142" s="86"/>
      <c r="C142" s="86"/>
      <c r="D142" s="86"/>
      <c r="E142" s="86"/>
      <c r="F142" s="86"/>
      <c r="G142" s="86"/>
      <c r="H142" s="86"/>
      <c r="I142" s="86"/>
      <c r="J142" s="86"/>
      <c r="K142" s="86"/>
      <c r="L142" s="86"/>
      <c r="M142" s="86"/>
      <c r="N142" s="86"/>
      <c r="O142" s="86"/>
      <c r="P142" s="86"/>
      <c r="Q142" s="86"/>
      <c r="R142" s="86"/>
    </row>
    <row r="143" spans="1:18">
      <c r="A143" s="86"/>
      <c r="B143" s="86"/>
      <c r="C143" s="86"/>
      <c r="D143" s="86"/>
      <c r="E143" s="86"/>
      <c r="F143" s="86"/>
      <c r="G143" s="86"/>
      <c r="H143" s="86"/>
      <c r="I143" s="86"/>
      <c r="J143" s="86"/>
      <c r="K143" s="86"/>
      <c r="L143" s="86"/>
      <c r="M143" s="86"/>
      <c r="N143" s="86"/>
      <c r="O143" s="86"/>
      <c r="P143" s="86"/>
      <c r="Q143" s="86"/>
      <c r="R143" s="86"/>
    </row>
    <row r="144" spans="1:18">
      <c r="A144" s="86"/>
      <c r="B144" s="86"/>
      <c r="C144" s="86"/>
      <c r="D144" s="86"/>
      <c r="E144" s="86"/>
      <c r="F144" s="86"/>
      <c r="G144" s="86"/>
      <c r="H144" s="86"/>
      <c r="I144" s="86"/>
      <c r="J144" s="86"/>
      <c r="K144" s="86"/>
      <c r="L144" s="86"/>
      <c r="M144" s="86"/>
      <c r="N144" s="86"/>
      <c r="O144" s="86"/>
      <c r="P144" s="86"/>
      <c r="Q144" s="86"/>
      <c r="R144" s="86"/>
    </row>
    <row r="145" spans="1:18">
      <c r="A145" s="86"/>
      <c r="B145" s="86"/>
      <c r="C145" s="86"/>
      <c r="D145" s="86"/>
      <c r="E145" s="86"/>
      <c r="F145" s="86"/>
      <c r="G145" s="86"/>
      <c r="H145" s="86"/>
      <c r="I145" s="86"/>
      <c r="J145" s="86"/>
      <c r="K145" s="86"/>
      <c r="L145" s="86"/>
      <c r="M145" s="86"/>
      <c r="N145" s="86"/>
      <c r="O145" s="86"/>
      <c r="P145" s="86"/>
      <c r="Q145" s="86"/>
      <c r="R145" s="86"/>
    </row>
    <row r="146" spans="1:18">
      <c r="A146" s="86"/>
      <c r="B146" s="86"/>
      <c r="C146" s="86"/>
      <c r="D146" s="86"/>
      <c r="E146" s="86"/>
      <c r="F146" s="86"/>
      <c r="G146" s="86"/>
      <c r="H146" s="86"/>
      <c r="I146" s="86"/>
      <c r="J146" s="86"/>
      <c r="K146" s="86"/>
      <c r="L146" s="86"/>
      <c r="M146" s="86"/>
      <c r="N146" s="86"/>
      <c r="O146" s="86"/>
      <c r="P146" s="86"/>
      <c r="Q146" s="86"/>
      <c r="R146" s="86"/>
    </row>
    <row r="147" spans="1:18">
      <c r="A147" s="86"/>
      <c r="B147" s="86"/>
      <c r="C147" s="86"/>
      <c r="D147" s="86"/>
      <c r="E147" s="86"/>
      <c r="F147" s="86"/>
      <c r="G147" s="86"/>
      <c r="H147" s="86"/>
      <c r="I147" s="86"/>
      <c r="J147" s="86"/>
      <c r="K147" s="86"/>
      <c r="L147" s="86"/>
      <c r="M147" s="86"/>
      <c r="N147" s="86"/>
      <c r="O147" s="86"/>
      <c r="P147" s="86"/>
      <c r="Q147" s="86"/>
      <c r="R147" s="86"/>
    </row>
    <row r="148" spans="1:18">
      <c r="A148" s="86"/>
      <c r="B148" s="86"/>
      <c r="C148" s="86"/>
      <c r="D148" s="86"/>
      <c r="E148" s="86"/>
      <c r="F148" s="86"/>
      <c r="G148" s="86"/>
      <c r="H148" s="86"/>
      <c r="I148" s="86"/>
      <c r="J148" s="86"/>
      <c r="K148" s="86"/>
      <c r="L148" s="86"/>
      <c r="M148" s="86"/>
      <c r="N148" s="86"/>
      <c r="O148" s="86"/>
      <c r="P148" s="86"/>
      <c r="Q148" s="86"/>
      <c r="R148" s="86"/>
    </row>
    <row r="149" spans="1:18">
      <c r="A149" s="86"/>
      <c r="B149" s="86"/>
      <c r="C149" s="86"/>
      <c r="D149" s="86"/>
      <c r="E149" s="86"/>
      <c r="F149" s="86"/>
      <c r="G149" s="86"/>
      <c r="H149" s="86"/>
      <c r="I149" s="86"/>
      <c r="J149" s="86"/>
      <c r="K149" s="86"/>
      <c r="L149" s="86"/>
      <c r="M149" s="86"/>
      <c r="N149" s="86"/>
      <c r="O149" s="86"/>
      <c r="P149" s="86"/>
      <c r="Q149" s="86"/>
      <c r="R149" s="86"/>
    </row>
    <row r="150" spans="1:18">
      <c r="A150" s="86"/>
      <c r="B150" s="86"/>
      <c r="C150" s="86"/>
      <c r="D150" s="86"/>
      <c r="E150" s="86"/>
      <c r="F150" s="86"/>
      <c r="G150" s="86"/>
      <c r="H150" s="86"/>
      <c r="I150" s="86"/>
      <c r="J150" s="86"/>
      <c r="K150" s="86"/>
      <c r="L150" s="86"/>
      <c r="M150" s="86"/>
      <c r="N150" s="86"/>
      <c r="O150" s="86"/>
      <c r="P150" s="86"/>
      <c r="Q150" s="86"/>
      <c r="R150" s="86"/>
    </row>
    <row r="151" spans="1:18">
      <c r="A151" s="86"/>
      <c r="B151" s="86"/>
      <c r="C151" s="86"/>
      <c r="D151" s="86"/>
      <c r="E151" s="86"/>
      <c r="F151" s="86"/>
      <c r="G151" s="86"/>
      <c r="H151" s="86"/>
      <c r="I151" s="86"/>
      <c r="J151" s="86"/>
      <c r="K151" s="86"/>
      <c r="L151" s="86"/>
      <c r="M151" s="86"/>
      <c r="N151" s="86"/>
      <c r="O151" s="86"/>
      <c r="P151" s="86"/>
      <c r="Q151" s="86"/>
      <c r="R151" s="86"/>
    </row>
    <row r="152" spans="1:18">
      <c r="A152" s="86"/>
      <c r="B152" s="86"/>
      <c r="C152" s="86"/>
      <c r="D152" s="86"/>
      <c r="E152" s="86"/>
      <c r="F152" s="86"/>
      <c r="G152" s="86"/>
      <c r="H152" s="86"/>
      <c r="I152" s="86"/>
      <c r="J152" s="86"/>
      <c r="K152" s="86"/>
      <c r="L152" s="86"/>
      <c r="M152" s="86"/>
      <c r="N152" s="86"/>
      <c r="O152" s="86"/>
      <c r="P152" s="86"/>
      <c r="Q152" s="86"/>
      <c r="R152" s="86"/>
    </row>
    <row r="153" spans="1:18">
      <c r="A153" s="86"/>
      <c r="B153" s="86"/>
      <c r="C153" s="86"/>
      <c r="D153" s="86"/>
      <c r="E153" s="86"/>
      <c r="F153" s="86"/>
      <c r="G153" s="86"/>
      <c r="H153" s="86"/>
      <c r="I153" s="86"/>
      <c r="J153" s="86"/>
      <c r="K153" s="86"/>
      <c r="L153" s="86"/>
      <c r="M153" s="86"/>
      <c r="N153" s="86"/>
      <c r="O153" s="86"/>
      <c r="P153" s="86"/>
      <c r="Q153" s="86"/>
      <c r="R153" s="86"/>
    </row>
    <row r="154" spans="1:18">
      <c r="A154" s="86"/>
      <c r="B154" s="86"/>
      <c r="C154" s="86"/>
      <c r="D154" s="86"/>
      <c r="E154" s="86"/>
      <c r="F154" s="86"/>
      <c r="G154" s="86"/>
      <c r="H154" s="86"/>
      <c r="I154" s="86"/>
      <c r="J154" s="86"/>
      <c r="K154" s="86"/>
      <c r="L154" s="86"/>
      <c r="M154" s="86"/>
      <c r="N154" s="86"/>
      <c r="O154" s="86"/>
      <c r="P154" s="86"/>
      <c r="Q154" s="86"/>
      <c r="R154" s="86"/>
    </row>
    <row r="155" spans="1:18">
      <c r="A155" s="86"/>
      <c r="B155" s="86"/>
      <c r="C155" s="86"/>
      <c r="D155" s="86"/>
      <c r="E155" s="86"/>
      <c r="F155" s="86"/>
      <c r="G155" s="86"/>
      <c r="H155" s="86"/>
      <c r="I155" s="86"/>
      <c r="J155" s="86"/>
      <c r="K155" s="86"/>
      <c r="L155" s="86"/>
      <c r="M155" s="86"/>
      <c r="N155" s="86"/>
      <c r="O155" s="86"/>
      <c r="P155" s="86"/>
      <c r="Q155" s="86"/>
      <c r="R155" s="86"/>
    </row>
    <row r="156" spans="1:18">
      <c r="A156" s="86"/>
      <c r="B156" s="86"/>
      <c r="C156" s="86"/>
      <c r="D156" s="86"/>
      <c r="E156" s="86"/>
      <c r="F156" s="86"/>
      <c r="G156" s="86"/>
      <c r="H156" s="86"/>
      <c r="I156" s="86"/>
      <c r="J156" s="86"/>
      <c r="K156" s="86"/>
      <c r="L156" s="86"/>
      <c r="M156" s="86"/>
      <c r="N156" s="86"/>
      <c r="O156" s="86"/>
      <c r="P156" s="86"/>
      <c r="Q156" s="86"/>
      <c r="R156" s="86"/>
    </row>
    <row r="157" spans="1:18">
      <c r="A157" s="86"/>
      <c r="B157" s="86"/>
      <c r="C157" s="86"/>
      <c r="D157" s="86"/>
      <c r="E157" s="86"/>
      <c r="F157" s="86"/>
      <c r="G157" s="86"/>
      <c r="H157" s="86"/>
      <c r="I157" s="86"/>
      <c r="J157" s="86"/>
      <c r="K157" s="86"/>
      <c r="L157" s="86"/>
      <c r="M157" s="86"/>
      <c r="N157" s="86"/>
      <c r="O157" s="86"/>
      <c r="P157" s="86"/>
      <c r="Q157" s="86"/>
      <c r="R157" s="86"/>
    </row>
    <row r="158" spans="1:18">
      <c r="A158" s="86"/>
      <c r="B158" s="86"/>
      <c r="C158" s="86"/>
      <c r="D158" s="86"/>
      <c r="E158" s="86"/>
      <c r="F158" s="86"/>
      <c r="G158" s="86"/>
      <c r="H158" s="86"/>
      <c r="I158" s="86"/>
      <c r="J158" s="86"/>
      <c r="K158" s="86"/>
      <c r="L158" s="86"/>
      <c r="M158" s="86"/>
      <c r="N158" s="86"/>
      <c r="O158" s="86"/>
      <c r="P158" s="86"/>
      <c r="Q158" s="86"/>
      <c r="R158" s="86"/>
    </row>
    <row r="159" spans="1:18">
      <c r="A159" s="86"/>
      <c r="B159" s="86"/>
      <c r="C159" s="86"/>
      <c r="D159" s="86"/>
      <c r="E159" s="86"/>
      <c r="F159" s="86"/>
      <c r="G159" s="86"/>
      <c r="H159" s="86"/>
      <c r="I159" s="86"/>
      <c r="J159" s="86"/>
      <c r="K159" s="86"/>
      <c r="L159" s="86"/>
      <c r="M159" s="86"/>
      <c r="N159" s="86"/>
      <c r="O159" s="86"/>
      <c r="P159" s="86"/>
      <c r="Q159" s="86"/>
      <c r="R159" s="86"/>
    </row>
    <row r="160" spans="1:18">
      <c r="A160" s="86"/>
      <c r="B160" s="86"/>
      <c r="C160" s="86"/>
      <c r="D160" s="86"/>
      <c r="E160" s="86"/>
      <c r="F160" s="86"/>
      <c r="G160" s="86"/>
      <c r="H160" s="86"/>
      <c r="I160" s="86"/>
      <c r="J160" s="86"/>
      <c r="K160" s="86"/>
      <c r="L160" s="86"/>
      <c r="M160" s="86"/>
      <c r="N160" s="86"/>
      <c r="O160" s="86"/>
      <c r="P160" s="86"/>
      <c r="Q160" s="86"/>
      <c r="R160" s="86"/>
    </row>
    <row r="161" spans="1:18">
      <c r="A161" s="86"/>
      <c r="B161" s="86"/>
      <c r="C161" s="86"/>
      <c r="D161" s="86"/>
      <c r="E161" s="86"/>
      <c r="F161" s="86"/>
      <c r="G161" s="86"/>
      <c r="H161" s="86"/>
      <c r="I161" s="86"/>
      <c r="J161" s="86"/>
      <c r="K161" s="86"/>
      <c r="L161" s="86"/>
      <c r="M161" s="86"/>
      <c r="N161" s="86"/>
      <c r="O161" s="86"/>
      <c r="P161" s="86"/>
      <c r="Q161" s="86"/>
      <c r="R161" s="86"/>
    </row>
    <row r="162" spans="1:18">
      <c r="A162" s="86"/>
      <c r="B162" s="86"/>
      <c r="C162" s="86"/>
      <c r="D162" s="86"/>
      <c r="E162" s="86"/>
      <c r="F162" s="86"/>
      <c r="G162" s="86"/>
      <c r="H162" s="86"/>
      <c r="I162" s="86"/>
      <c r="J162" s="86"/>
      <c r="K162" s="86"/>
      <c r="L162" s="86"/>
      <c r="M162" s="86"/>
      <c r="N162" s="86"/>
      <c r="O162" s="86"/>
      <c r="P162" s="86"/>
      <c r="Q162" s="86"/>
      <c r="R162" s="86"/>
    </row>
    <row r="163" spans="1:18">
      <c r="A163" s="86"/>
      <c r="B163" s="86"/>
      <c r="C163" s="86"/>
      <c r="D163" s="86"/>
      <c r="E163" s="86"/>
      <c r="F163" s="86"/>
      <c r="G163" s="86"/>
      <c r="H163" s="86"/>
      <c r="I163" s="86"/>
      <c r="J163" s="86"/>
      <c r="K163" s="86"/>
      <c r="L163" s="86"/>
      <c r="M163" s="86"/>
      <c r="N163" s="86"/>
      <c r="O163" s="86"/>
      <c r="P163" s="86"/>
      <c r="Q163" s="86"/>
      <c r="R163" s="86"/>
    </row>
    <row r="164" spans="1:18">
      <c r="A164" s="86"/>
      <c r="B164" s="86"/>
      <c r="C164" s="86"/>
      <c r="D164" s="86"/>
      <c r="E164" s="86"/>
      <c r="F164" s="86"/>
      <c r="G164" s="86"/>
      <c r="H164" s="86"/>
      <c r="I164" s="86"/>
      <c r="J164" s="86"/>
      <c r="K164" s="86"/>
      <c r="L164" s="86"/>
      <c r="M164" s="86"/>
      <c r="N164" s="86"/>
      <c r="O164" s="86"/>
      <c r="P164" s="86"/>
      <c r="Q164" s="86"/>
      <c r="R164" s="86"/>
    </row>
    <row r="165" spans="1:18">
      <c r="A165" s="86"/>
      <c r="B165" s="86"/>
      <c r="C165" s="86"/>
      <c r="D165" s="86"/>
      <c r="E165" s="86"/>
      <c r="F165" s="86"/>
      <c r="G165" s="86"/>
      <c r="H165" s="86"/>
      <c r="I165" s="86"/>
      <c r="J165" s="86"/>
      <c r="K165" s="86"/>
      <c r="L165" s="86"/>
      <c r="M165" s="86"/>
      <c r="N165" s="86"/>
      <c r="O165" s="86"/>
      <c r="P165" s="86"/>
      <c r="Q165" s="86"/>
      <c r="R165" s="86"/>
    </row>
    <row r="166" spans="1:18">
      <c r="A166" s="86"/>
      <c r="B166" s="86"/>
      <c r="C166" s="86"/>
      <c r="D166" s="86"/>
      <c r="E166" s="86"/>
      <c r="F166" s="86"/>
      <c r="G166" s="86"/>
      <c r="H166" s="86"/>
      <c r="I166" s="86"/>
      <c r="J166" s="86"/>
      <c r="K166" s="86"/>
      <c r="L166" s="86"/>
      <c r="M166" s="86"/>
      <c r="N166" s="86"/>
      <c r="O166" s="86"/>
      <c r="P166" s="86"/>
      <c r="Q166" s="86"/>
      <c r="R166" s="86"/>
    </row>
    <row r="167" spans="1:18">
      <c r="A167" s="86"/>
      <c r="B167" s="86"/>
      <c r="C167" s="86"/>
      <c r="D167" s="86"/>
      <c r="E167" s="86"/>
      <c r="F167" s="86"/>
      <c r="G167" s="86"/>
      <c r="H167" s="86"/>
      <c r="I167" s="86"/>
      <c r="J167" s="86"/>
      <c r="K167" s="86"/>
      <c r="L167" s="86"/>
      <c r="M167" s="86"/>
      <c r="N167" s="86"/>
      <c r="O167" s="86"/>
      <c r="P167" s="86"/>
      <c r="Q167" s="86"/>
      <c r="R167" s="86"/>
    </row>
    <row r="168" spans="1:18">
      <c r="A168" s="86"/>
      <c r="B168" s="86"/>
      <c r="C168" s="86"/>
      <c r="D168" s="86"/>
      <c r="E168" s="86"/>
      <c r="F168" s="86"/>
      <c r="G168" s="86"/>
      <c r="H168" s="86"/>
      <c r="I168" s="86"/>
      <c r="J168" s="86"/>
      <c r="K168" s="86"/>
      <c r="L168" s="86"/>
      <c r="M168" s="86"/>
      <c r="N168" s="86"/>
      <c r="O168" s="86"/>
      <c r="P168" s="86"/>
      <c r="Q168" s="86"/>
      <c r="R168" s="86"/>
    </row>
    <row r="169" spans="1:18">
      <c r="A169" s="86"/>
      <c r="B169" s="86"/>
      <c r="C169" s="86"/>
      <c r="D169" s="86"/>
      <c r="E169" s="86"/>
      <c r="F169" s="86"/>
      <c r="G169" s="86"/>
      <c r="H169" s="86"/>
      <c r="I169" s="86"/>
      <c r="J169" s="86"/>
      <c r="K169" s="86"/>
      <c r="L169" s="86"/>
      <c r="M169" s="86"/>
      <c r="N169" s="86"/>
      <c r="O169" s="86"/>
      <c r="P169" s="86"/>
      <c r="Q169" s="86"/>
      <c r="R169" s="86"/>
    </row>
    <row r="170" spans="1:18">
      <c r="A170" s="86"/>
      <c r="B170" s="86"/>
      <c r="C170" s="86"/>
      <c r="D170" s="86"/>
      <c r="E170" s="86"/>
      <c r="F170" s="86"/>
      <c r="G170" s="86"/>
      <c r="H170" s="86"/>
      <c r="I170" s="86"/>
      <c r="J170" s="86"/>
      <c r="K170" s="86"/>
      <c r="L170" s="86"/>
      <c r="M170" s="86"/>
      <c r="N170" s="86"/>
      <c r="O170" s="86"/>
      <c r="P170" s="86"/>
      <c r="Q170" s="86"/>
      <c r="R170" s="86"/>
    </row>
    <row r="171" spans="1:18">
      <c r="A171" s="86"/>
      <c r="B171" s="86"/>
      <c r="C171" s="86"/>
      <c r="D171" s="86"/>
      <c r="E171" s="86"/>
      <c r="F171" s="86"/>
      <c r="G171" s="86"/>
      <c r="H171" s="86"/>
      <c r="I171" s="86"/>
      <c r="J171" s="86"/>
      <c r="K171" s="86"/>
      <c r="L171" s="86"/>
      <c r="M171" s="86"/>
      <c r="N171" s="86"/>
      <c r="O171" s="86"/>
      <c r="P171" s="86"/>
      <c r="Q171" s="86"/>
      <c r="R171" s="86"/>
    </row>
    <row r="172" spans="1:18">
      <c r="A172" s="86"/>
      <c r="B172" s="86"/>
      <c r="C172" s="86"/>
      <c r="D172" s="86"/>
      <c r="E172" s="86"/>
      <c r="F172" s="86"/>
      <c r="G172" s="86"/>
      <c r="H172" s="86"/>
      <c r="I172" s="86"/>
      <c r="J172" s="86"/>
      <c r="K172" s="86"/>
      <c r="L172" s="86"/>
      <c r="M172" s="86"/>
      <c r="N172" s="86"/>
      <c r="O172" s="86"/>
      <c r="P172" s="86"/>
      <c r="Q172" s="86"/>
      <c r="R172" s="86"/>
    </row>
    <row r="173" spans="1:18">
      <c r="A173" s="86"/>
      <c r="B173" s="86"/>
      <c r="C173" s="86"/>
      <c r="D173" s="86"/>
      <c r="E173" s="86"/>
      <c r="F173" s="86"/>
      <c r="G173" s="86"/>
      <c r="H173" s="86"/>
      <c r="I173" s="86"/>
      <c r="J173" s="86"/>
      <c r="K173" s="86"/>
      <c r="L173" s="86"/>
      <c r="M173" s="86"/>
      <c r="N173" s="86"/>
      <c r="O173" s="86"/>
      <c r="P173" s="86"/>
      <c r="Q173" s="86"/>
      <c r="R173" s="86"/>
    </row>
    <row r="174" spans="1:18">
      <c r="A174" s="86"/>
      <c r="B174" s="86"/>
      <c r="C174" s="86"/>
      <c r="D174" s="86"/>
      <c r="E174" s="86"/>
      <c r="F174" s="86"/>
      <c r="G174" s="86"/>
      <c r="H174" s="86"/>
      <c r="I174" s="86"/>
      <c r="J174" s="86"/>
      <c r="K174" s="86"/>
      <c r="L174" s="86"/>
      <c r="M174" s="86"/>
      <c r="N174" s="86"/>
      <c r="O174" s="86"/>
      <c r="P174" s="86"/>
      <c r="Q174" s="86"/>
      <c r="R174" s="86"/>
    </row>
    <row r="175" spans="1:18">
      <c r="A175" s="86"/>
      <c r="B175" s="86"/>
      <c r="C175" s="86"/>
      <c r="D175" s="86"/>
      <c r="E175" s="86"/>
      <c r="F175" s="86"/>
      <c r="G175" s="86"/>
      <c r="H175" s="86"/>
      <c r="I175" s="86"/>
      <c r="J175" s="86"/>
      <c r="K175" s="86"/>
      <c r="L175" s="86"/>
      <c r="M175" s="86"/>
      <c r="N175" s="86"/>
      <c r="O175" s="86"/>
      <c r="P175" s="86"/>
      <c r="Q175" s="86"/>
      <c r="R175" s="86"/>
    </row>
    <row r="176" spans="1:18">
      <c r="A176" s="86"/>
      <c r="B176" s="86"/>
      <c r="C176" s="86"/>
      <c r="D176" s="86"/>
      <c r="E176" s="86"/>
      <c r="F176" s="86"/>
      <c r="G176" s="86"/>
      <c r="H176" s="86"/>
      <c r="I176" s="86"/>
      <c r="J176" s="86"/>
      <c r="K176" s="86"/>
      <c r="L176" s="86"/>
      <c r="M176" s="86"/>
      <c r="N176" s="86"/>
      <c r="O176" s="86"/>
      <c r="P176" s="86"/>
      <c r="Q176" s="86"/>
      <c r="R176" s="86"/>
    </row>
    <row r="177" spans="1:18">
      <c r="A177" s="86"/>
      <c r="B177" s="86"/>
      <c r="C177" s="86"/>
      <c r="D177" s="86"/>
      <c r="E177" s="86"/>
      <c r="F177" s="86"/>
      <c r="G177" s="86"/>
      <c r="H177" s="86"/>
      <c r="I177" s="86"/>
      <c r="J177" s="86"/>
      <c r="K177" s="86"/>
      <c r="L177" s="86"/>
      <c r="M177" s="86"/>
      <c r="N177" s="86"/>
      <c r="O177" s="86"/>
      <c r="P177" s="86"/>
      <c r="Q177" s="86"/>
      <c r="R177" s="86"/>
    </row>
    <row r="178" spans="1:18">
      <c r="A178" s="86"/>
      <c r="B178" s="86"/>
      <c r="C178" s="86"/>
      <c r="D178" s="86"/>
      <c r="E178" s="86"/>
      <c r="F178" s="86"/>
      <c r="G178" s="86"/>
      <c r="H178" s="86"/>
      <c r="I178" s="86"/>
      <c r="J178" s="86"/>
      <c r="K178" s="86"/>
      <c r="L178" s="86"/>
      <c r="M178" s="86"/>
      <c r="N178" s="86"/>
      <c r="O178" s="86"/>
      <c r="P178" s="86"/>
      <c r="Q178" s="86"/>
      <c r="R178" s="86"/>
    </row>
    <row r="179" spans="1:18">
      <c r="A179" s="86"/>
      <c r="B179" s="86"/>
      <c r="C179" s="86"/>
      <c r="D179" s="86"/>
      <c r="E179" s="86"/>
      <c r="F179" s="86"/>
      <c r="G179" s="86"/>
      <c r="H179" s="86"/>
      <c r="I179" s="86"/>
      <c r="J179" s="86"/>
      <c r="K179" s="86"/>
      <c r="L179" s="86"/>
      <c r="M179" s="86"/>
      <c r="N179" s="86"/>
      <c r="O179" s="86"/>
      <c r="P179" s="86"/>
      <c r="Q179" s="86"/>
      <c r="R179" s="86"/>
    </row>
    <row r="180" spans="1:18">
      <c r="A180" s="86"/>
      <c r="B180" s="86"/>
      <c r="C180" s="86"/>
      <c r="D180" s="86"/>
      <c r="E180" s="86"/>
      <c r="F180" s="86"/>
      <c r="G180" s="86"/>
      <c r="H180" s="86"/>
      <c r="I180" s="86"/>
      <c r="J180" s="86"/>
      <c r="K180" s="86"/>
      <c r="L180" s="86"/>
      <c r="M180" s="86"/>
      <c r="N180" s="86"/>
      <c r="O180" s="86"/>
      <c r="P180" s="86"/>
      <c r="Q180" s="86"/>
      <c r="R180" s="86"/>
    </row>
    <row r="181" spans="1:18">
      <c r="A181" s="86"/>
      <c r="B181" s="86"/>
      <c r="C181" s="86"/>
      <c r="D181" s="86"/>
      <c r="E181" s="86"/>
      <c r="F181" s="86"/>
      <c r="G181" s="86"/>
      <c r="H181" s="86"/>
      <c r="I181" s="86"/>
      <c r="J181" s="86"/>
      <c r="K181" s="86"/>
      <c r="L181" s="86"/>
      <c r="M181" s="86"/>
      <c r="N181" s="86"/>
      <c r="O181" s="86"/>
      <c r="P181" s="86"/>
      <c r="Q181" s="86"/>
      <c r="R181" s="86"/>
    </row>
    <row r="182" spans="1:18">
      <c r="A182" s="86"/>
      <c r="B182" s="86"/>
      <c r="C182" s="86"/>
      <c r="D182" s="86"/>
      <c r="E182" s="86"/>
      <c r="F182" s="86"/>
      <c r="G182" s="86"/>
      <c r="H182" s="86"/>
      <c r="I182" s="86"/>
      <c r="J182" s="86"/>
      <c r="K182" s="86"/>
      <c r="L182" s="86"/>
      <c r="M182" s="86"/>
      <c r="N182" s="86"/>
      <c r="O182" s="86"/>
      <c r="P182" s="86"/>
      <c r="Q182" s="86"/>
      <c r="R182" s="86"/>
    </row>
    <row r="183" spans="1:18">
      <c r="A183" s="86"/>
      <c r="B183" s="86"/>
      <c r="C183" s="86"/>
      <c r="D183" s="86"/>
      <c r="E183" s="86"/>
      <c r="F183" s="86"/>
      <c r="G183" s="86"/>
      <c r="H183" s="86"/>
      <c r="I183" s="86"/>
      <c r="J183" s="86"/>
      <c r="K183" s="86"/>
      <c r="L183" s="86"/>
      <c r="M183" s="86"/>
      <c r="N183" s="86"/>
      <c r="O183" s="86"/>
      <c r="P183" s="86"/>
      <c r="Q183" s="86"/>
      <c r="R183" s="86"/>
    </row>
    <row r="184" spans="1:18">
      <c r="A184" s="86"/>
      <c r="B184" s="86"/>
      <c r="C184" s="86"/>
      <c r="D184" s="86"/>
      <c r="E184" s="86"/>
      <c r="F184" s="86"/>
      <c r="G184" s="86"/>
      <c r="H184" s="86"/>
      <c r="I184" s="86"/>
      <c r="J184" s="86"/>
      <c r="K184" s="86"/>
      <c r="L184" s="86"/>
      <c r="M184" s="86"/>
      <c r="N184" s="86"/>
      <c r="O184" s="86"/>
      <c r="P184" s="86"/>
      <c r="Q184" s="86"/>
      <c r="R184" s="86"/>
    </row>
    <row r="185" spans="1:18">
      <c r="A185" s="86"/>
      <c r="B185" s="86"/>
      <c r="C185" s="86"/>
      <c r="D185" s="86"/>
      <c r="E185" s="86"/>
      <c r="F185" s="86"/>
      <c r="G185" s="86"/>
      <c r="H185" s="86"/>
      <c r="I185" s="86"/>
      <c r="J185" s="86"/>
      <c r="K185" s="86"/>
      <c r="L185" s="86"/>
      <c r="M185" s="86"/>
      <c r="N185" s="86"/>
      <c r="O185" s="86"/>
      <c r="P185" s="86"/>
      <c r="Q185" s="86"/>
      <c r="R185" s="86"/>
    </row>
    <row r="186" spans="1:18">
      <c r="A186" s="86"/>
      <c r="B186" s="86"/>
      <c r="C186" s="86"/>
      <c r="D186" s="86"/>
      <c r="E186" s="86"/>
      <c r="F186" s="86"/>
      <c r="G186" s="86"/>
      <c r="H186" s="86"/>
      <c r="I186" s="86"/>
      <c r="J186" s="86"/>
      <c r="K186" s="86"/>
      <c r="L186" s="86"/>
      <c r="M186" s="86"/>
      <c r="N186" s="86"/>
      <c r="O186" s="86"/>
      <c r="P186" s="86"/>
      <c r="Q186" s="86"/>
      <c r="R186" s="86"/>
    </row>
    <row r="187" spans="1:18">
      <c r="A187" s="86"/>
      <c r="B187" s="86"/>
      <c r="C187" s="86"/>
      <c r="D187" s="86"/>
      <c r="E187" s="86"/>
      <c r="F187" s="86"/>
      <c r="G187" s="86"/>
      <c r="H187" s="86"/>
      <c r="I187" s="86"/>
      <c r="J187" s="86"/>
      <c r="K187" s="86"/>
      <c r="L187" s="86"/>
      <c r="M187" s="86"/>
      <c r="N187" s="86"/>
      <c r="O187" s="86"/>
      <c r="P187" s="86"/>
      <c r="Q187" s="86"/>
      <c r="R187" s="86"/>
    </row>
    <row r="188" spans="1:18">
      <c r="A188" s="86"/>
      <c r="B188" s="86"/>
      <c r="C188" s="86"/>
      <c r="D188" s="86"/>
      <c r="E188" s="86"/>
      <c r="F188" s="86"/>
      <c r="G188" s="86"/>
      <c r="H188" s="86"/>
      <c r="I188" s="86"/>
      <c r="J188" s="86"/>
      <c r="K188" s="86"/>
      <c r="L188" s="86"/>
      <c r="M188" s="86"/>
      <c r="N188" s="86"/>
      <c r="O188" s="86"/>
      <c r="P188" s="86"/>
      <c r="Q188" s="86"/>
      <c r="R188" s="86"/>
    </row>
    <row r="189" spans="1:18">
      <c r="A189" s="86"/>
      <c r="B189" s="86"/>
      <c r="C189" s="86"/>
      <c r="D189" s="86"/>
      <c r="E189" s="86"/>
      <c r="F189" s="86"/>
      <c r="G189" s="86"/>
      <c r="H189" s="86"/>
      <c r="I189" s="86"/>
      <c r="J189" s="86"/>
      <c r="K189" s="86"/>
      <c r="L189" s="86"/>
      <c r="M189" s="86"/>
      <c r="N189" s="86"/>
      <c r="O189" s="86"/>
      <c r="P189" s="86"/>
      <c r="Q189" s="86"/>
      <c r="R189" s="86"/>
    </row>
    <row r="190" spans="1:18">
      <c r="A190" s="86"/>
      <c r="B190" s="86"/>
      <c r="C190" s="86"/>
      <c r="D190" s="86"/>
      <c r="E190" s="86"/>
      <c r="F190" s="86"/>
      <c r="G190" s="86"/>
      <c r="H190" s="86"/>
      <c r="I190" s="86"/>
      <c r="J190" s="86"/>
      <c r="K190" s="86"/>
      <c r="L190" s="86"/>
      <c r="M190" s="86"/>
      <c r="N190" s="86"/>
      <c r="O190" s="86"/>
      <c r="P190" s="86"/>
      <c r="Q190" s="86"/>
      <c r="R190" s="86"/>
    </row>
    <row r="191" spans="1:18">
      <c r="A191" s="86"/>
      <c r="B191" s="86"/>
      <c r="C191" s="86"/>
      <c r="D191" s="86"/>
      <c r="E191" s="86"/>
      <c r="F191" s="86"/>
      <c r="G191" s="86"/>
      <c r="H191" s="86"/>
      <c r="I191" s="86"/>
      <c r="J191" s="86"/>
      <c r="K191" s="86"/>
      <c r="L191" s="86"/>
      <c r="M191" s="86"/>
      <c r="N191" s="86"/>
      <c r="O191" s="86"/>
      <c r="P191" s="86"/>
      <c r="Q191" s="86"/>
      <c r="R191" s="86"/>
    </row>
    <row r="192" spans="1:18">
      <c r="A192" s="86"/>
      <c r="B192" s="86"/>
      <c r="C192" s="86"/>
      <c r="D192" s="86"/>
      <c r="E192" s="86"/>
      <c r="F192" s="86"/>
      <c r="G192" s="86"/>
      <c r="H192" s="86"/>
      <c r="I192" s="86"/>
      <c r="J192" s="86"/>
      <c r="K192" s="86"/>
      <c r="L192" s="86"/>
      <c r="M192" s="86"/>
      <c r="N192" s="86"/>
      <c r="O192" s="86"/>
      <c r="P192" s="86"/>
      <c r="Q192" s="86"/>
      <c r="R192" s="86"/>
    </row>
    <row r="193" spans="1:18">
      <c r="A193" s="86"/>
      <c r="B193" s="86"/>
      <c r="C193" s="86"/>
      <c r="D193" s="86"/>
      <c r="E193" s="86"/>
      <c r="F193" s="86"/>
      <c r="G193" s="86"/>
      <c r="H193" s="86"/>
      <c r="I193" s="86"/>
      <c r="J193" s="86"/>
      <c r="K193" s="86"/>
      <c r="L193" s="86"/>
      <c r="M193" s="86"/>
      <c r="N193" s="86"/>
      <c r="O193" s="86"/>
      <c r="P193" s="86"/>
      <c r="Q193" s="86"/>
      <c r="R193" s="86"/>
    </row>
    <row r="194" spans="1:18">
      <c r="A194" s="86"/>
      <c r="B194" s="86"/>
      <c r="C194" s="86"/>
      <c r="D194" s="86"/>
      <c r="E194" s="86"/>
      <c r="F194" s="86"/>
      <c r="G194" s="86"/>
      <c r="H194" s="86"/>
      <c r="I194" s="86"/>
      <c r="J194" s="86"/>
      <c r="K194" s="86"/>
      <c r="L194" s="86"/>
      <c r="M194" s="86"/>
      <c r="N194" s="86"/>
      <c r="O194" s="86"/>
      <c r="P194" s="86"/>
      <c r="Q194" s="86"/>
      <c r="R194" s="86"/>
    </row>
    <row r="195" spans="1:18">
      <c r="A195" s="86"/>
      <c r="B195" s="86"/>
      <c r="C195" s="86"/>
      <c r="D195" s="86"/>
      <c r="E195" s="86"/>
      <c r="F195" s="86"/>
      <c r="G195" s="86"/>
      <c r="H195" s="86"/>
      <c r="I195" s="86"/>
      <c r="J195" s="86"/>
      <c r="K195" s="86"/>
      <c r="L195" s="86"/>
      <c r="M195" s="86"/>
      <c r="N195" s="86"/>
      <c r="O195" s="86"/>
      <c r="P195" s="86"/>
      <c r="Q195" s="86"/>
      <c r="R195" s="86"/>
    </row>
    <row r="196" spans="1:18">
      <c r="A196" s="86"/>
      <c r="B196" s="86"/>
      <c r="C196" s="86"/>
      <c r="D196" s="86"/>
      <c r="E196" s="86"/>
      <c r="F196" s="86"/>
      <c r="G196" s="86"/>
      <c r="H196" s="86"/>
      <c r="I196" s="86"/>
      <c r="J196" s="86"/>
      <c r="K196" s="86"/>
      <c r="L196" s="86"/>
      <c r="M196" s="86"/>
      <c r="N196" s="86"/>
      <c r="O196" s="86"/>
      <c r="P196" s="86"/>
      <c r="Q196" s="86"/>
      <c r="R196" s="86"/>
    </row>
    <row r="197" spans="1:18">
      <c r="A197" s="86"/>
      <c r="B197" s="86"/>
      <c r="C197" s="86"/>
      <c r="D197" s="86"/>
      <c r="E197" s="86"/>
      <c r="F197" s="86"/>
      <c r="G197" s="86"/>
      <c r="H197" s="86"/>
      <c r="I197" s="86"/>
      <c r="J197" s="86"/>
      <c r="K197" s="86"/>
      <c r="L197" s="86"/>
      <c r="M197" s="86"/>
      <c r="N197" s="86"/>
      <c r="O197" s="86"/>
      <c r="P197" s="86"/>
      <c r="Q197" s="86"/>
      <c r="R197" s="86"/>
    </row>
    <row r="198" spans="1:18">
      <c r="A198" s="86"/>
      <c r="B198" s="86"/>
      <c r="C198" s="86"/>
      <c r="D198" s="86"/>
      <c r="E198" s="86"/>
      <c r="F198" s="86"/>
      <c r="G198" s="86"/>
      <c r="H198" s="86"/>
      <c r="I198" s="86"/>
      <c r="J198" s="86"/>
      <c r="K198" s="86"/>
      <c r="L198" s="86"/>
      <c r="M198" s="86"/>
      <c r="N198" s="86"/>
      <c r="O198" s="86"/>
      <c r="P198" s="86"/>
      <c r="Q198" s="86"/>
      <c r="R198" s="86"/>
    </row>
    <row r="199" spans="1:18">
      <c r="A199" s="86"/>
      <c r="B199" s="86"/>
      <c r="C199" s="86"/>
      <c r="D199" s="86"/>
      <c r="E199" s="86"/>
      <c r="F199" s="86"/>
      <c r="G199" s="86"/>
      <c r="H199" s="86"/>
      <c r="I199" s="86"/>
      <c r="J199" s="86"/>
      <c r="K199" s="86"/>
      <c r="L199" s="86"/>
      <c r="M199" s="86"/>
      <c r="N199" s="86"/>
      <c r="O199" s="86"/>
      <c r="P199" s="86"/>
      <c r="Q199" s="86"/>
      <c r="R199" s="86"/>
    </row>
    <row r="200" spans="1:18">
      <c r="A200" s="86"/>
      <c r="B200" s="86"/>
      <c r="C200" s="86"/>
      <c r="D200" s="86"/>
      <c r="E200" s="86"/>
      <c r="F200" s="86"/>
      <c r="G200" s="86"/>
      <c r="H200" s="86"/>
      <c r="I200" s="86"/>
      <c r="J200" s="86"/>
      <c r="K200" s="86"/>
      <c r="L200" s="86"/>
      <c r="M200" s="86"/>
      <c r="N200" s="86"/>
      <c r="O200" s="86"/>
      <c r="P200" s="86"/>
      <c r="Q200" s="86"/>
      <c r="R200" s="86"/>
    </row>
    <row r="201" spans="1:18">
      <c r="A201" s="86"/>
      <c r="B201" s="86"/>
      <c r="C201" s="86"/>
      <c r="D201" s="86"/>
      <c r="E201" s="86"/>
      <c r="F201" s="86"/>
      <c r="G201" s="86"/>
      <c r="H201" s="86"/>
      <c r="I201" s="86"/>
      <c r="J201" s="86"/>
      <c r="K201" s="86"/>
      <c r="L201" s="86"/>
      <c r="M201" s="86"/>
      <c r="N201" s="86"/>
      <c r="O201" s="86"/>
      <c r="P201" s="86"/>
      <c r="Q201" s="86"/>
      <c r="R201" s="86"/>
    </row>
    <row r="202" spans="1:18">
      <c r="A202" s="86"/>
      <c r="B202" s="86"/>
      <c r="C202" s="86"/>
      <c r="D202" s="86"/>
      <c r="E202" s="86"/>
      <c r="F202" s="86"/>
      <c r="G202" s="86"/>
      <c r="H202" s="86"/>
      <c r="I202" s="86"/>
      <c r="J202" s="86"/>
      <c r="K202" s="86"/>
      <c r="L202" s="86"/>
      <c r="M202" s="86"/>
      <c r="N202" s="86"/>
      <c r="O202" s="86"/>
      <c r="P202" s="86"/>
      <c r="Q202" s="86"/>
      <c r="R202" s="86"/>
    </row>
    <row r="203" spans="1:18">
      <c r="A203" s="86"/>
      <c r="B203" s="86"/>
      <c r="C203" s="86"/>
      <c r="D203" s="86"/>
      <c r="E203" s="86"/>
      <c r="F203" s="86"/>
      <c r="G203" s="86"/>
      <c r="H203" s="86"/>
      <c r="I203" s="86"/>
      <c r="J203" s="86"/>
      <c r="K203" s="86"/>
      <c r="L203" s="86"/>
      <c r="M203" s="86"/>
      <c r="N203" s="86"/>
      <c r="O203" s="86"/>
      <c r="P203" s="86"/>
      <c r="Q203" s="86"/>
      <c r="R203" s="86"/>
    </row>
    <row r="204" spans="1:18">
      <c r="A204" s="86"/>
      <c r="B204" s="86"/>
      <c r="C204" s="86"/>
      <c r="D204" s="86"/>
      <c r="E204" s="86"/>
      <c r="F204" s="86"/>
      <c r="G204" s="86"/>
      <c r="H204" s="86"/>
      <c r="I204" s="86"/>
      <c r="J204" s="86"/>
      <c r="K204" s="86"/>
      <c r="L204" s="86"/>
      <c r="M204" s="86"/>
      <c r="N204" s="86"/>
      <c r="O204" s="86"/>
      <c r="P204" s="86"/>
      <c r="Q204" s="86"/>
      <c r="R204" s="86"/>
    </row>
    <row r="205" spans="1:18">
      <c r="A205" s="86"/>
      <c r="B205" s="86"/>
      <c r="C205" s="86"/>
      <c r="D205" s="86"/>
      <c r="E205" s="86"/>
      <c r="F205" s="86"/>
      <c r="G205" s="86"/>
      <c r="H205" s="86"/>
      <c r="I205" s="86"/>
      <c r="J205" s="86"/>
      <c r="K205" s="86"/>
      <c r="L205" s="86"/>
      <c r="M205" s="86"/>
      <c r="N205" s="86"/>
      <c r="O205" s="86"/>
      <c r="P205" s="86"/>
      <c r="Q205" s="86"/>
      <c r="R205" s="86"/>
    </row>
    <row r="206" spans="1:18">
      <c r="A206" s="86"/>
      <c r="B206" s="86"/>
      <c r="C206" s="86"/>
      <c r="D206" s="86"/>
      <c r="E206" s="86"/>
      <c r="F206" s="86"/>
      <c r="G206" s="86"/>
      <c r="H206" s="86"/>
      <c r="I206" s="86"/>
      <c r="J206" s="86"/>
      <c r="K206" s="86"/>
      <c r="L206" s="86"/>
      <c r="M206" s="86"/>
      <c r="N206" s="86"/>
      <c r="O206" s="86"/>
      <c r="P206" s="86"/>
      <c r="Q206" s="86"/>
      <c r="R206" s="86"/>
    </row>
    <row r="207" spans="1:18">
      <c r="A207" s="86"/>
      <c r="B207" s="86"/>
      <c r="C207" s="86"/>
      <c r="D207" s="86"/>
      <c r="E207" s="86"/>
      <c r="F207" s="86"/>
      <c r="G207" s="86"/>
      <c r="H207" s="86"/>
      <c r="I207" s="86"/>
      <c r="J207" s="86"/>
      <c r="K207" s="86"/>
      <c r="L207" s="86"/>
      <c r="M207" s="86"/>
      <c r="N207" s="86"/>
      <c r="O207" s="86"/>
      <c r="P207" s="86"/>
      <c r="Q207" s="86"/>
      <c r="R207" s="86"/>
    </row>
    <row r="208" spans="1:18">
      <c r="A208" s="86"/>
      <c r="B208" s="86"/>
      <c r="C208" s="86"/>
      <c r="D208" s="86"/>
      <c r="E208" s="86"/>
      <c r="F208" s="86"/>
      <c r="G208" s="86"/>
      <c r="H208" s="86"/>
      <c r="I208" s="86"/>
      <c r="J208" s="86"/>
      <c r="K208" s="86"/>
      <c r="L208" s="86"/>
      <c r="M208" s="86"/>
      <c r="N208" s="86"/>
      <c r="O208" s="86"/>
      <c r="P208" s="86"/>
      <c r="Q208" s="86"/>
      <c r="R208" s="86"/>
    </row>
    <row r="209" spans="1:18">
      <c r="A209" s="86"/>
      <c r="B209" s="86"/>
      <c r="C209" s="86"/>
      <c r="D209" s="86"/>
      <c r="E209" s="86"/>
      <c r="F209" s="86"/>
      <c r="G209" s="86"/>
      <c r="H209" s="86"/>
      <c r="I209" s="86"/>
      <c r="J209" s="86"/>
      <c r="K209" s="86"/>
      <c r="L209" s="86"/>
      <c r="M209" s="86"/>
      <c r="N209" s="86"/>
      <c r="O209" s="86"/>
      <c r="P209" s="86"/>
      <c r="Q209" s="86"/>
      <c r="R209" s="86"/>
    </row>
    <row r="210" spans="1:18">
      <c r="A210" s="86"/>
      <c r="B210" s="86"/>
      <c r="C210" s="86"/>
      <c r="D210" s="86"/>
      <c r="E210" s="86"/>
      <c r="F210" s="86"/>
      <c r="G210" s="86"/>
      <c r="H210" s="86"/>
      <c r="I210" s="86"/>
      <c r="J210" s="86"/>
      <c r="K210" s="86"/>
      <c r="L210" s="86"/>
      <c r="M210" s="86"/>
      <c r="N210" s="86"/>
      <c r="O210" s="86"/>
      <c r="P210" s="86"/>
      <c r="Q210" s="86"/>
      <c r="R210" s="86"/>
    </row>
    <row r="211" spans="1:18">
      <c r="A211" s="86"/>
      <c r="B211" s="86"/>
      <c r="C211" s="86"/>
      <c r="D211" s="86"/>
      <c r="E211" s="86"/>
      <c r="F211" s="86"/>
      <c r="G211" s="86"/>
      <c r="H211" s="86"/>
      <c r="I211" s="86"/>
      <c r="J211" s="86"/>
      <c r="K211" s="86"/>
      <c r="L211" s="86"/>
      <c r="M211" s="86"/>
      <c r="N211" s="86"/>
      <c r="O211" s="86"/>
      <c r="P211" s="86"/>
      <c r="Q211" s="86"/>
      <c r="R211" s="86"/>
    </row>
    <row r="212" spans="1:18">
      <c r="A212" s="86"/>
      <c r="B212" s="86"/>
      <c r="C212" s="86"/>
      <c r="D212" s="86"/>
      <c r="E212" s="86"/>
      <c r="F212" s="86"/>
      <c r="G212" s="86"/>
      <c r="H212" s="86"/>
      <c r="I212" s="86"/>
      <c r="J212" s="86"/>
      <c r="K212" s="86"/>
      <c r="L212" s="86"/>
      <c r="M212" s="86"/>
      <c r="N212" s="86"/>
      <c r="O212" s="86"/>
      <c r="P212" s="86"/>
      <c r="Q212" s="86"/>
      <c r="R212" s="86"/>
    </row>
    <row r="213" spans="1:18">
      <c r="A213" s="86"/>
      <c r="B213" s="86"/>
      <c r="C213" s="86"/>
      <c r="D213" s="86"/>
      <c r="E213" s="86"/>
      <c r="F213" s="86"/>
      <c r="G213" s="86"/>
      <c r="H213" s="86"/>
      <c r="I213" s="86"/>
      <c r="J213" s="86"/>
      <c r="K213" s="86"/>
      <c r="L213" s="86"/>
      <c r="M213" s="86"/>
      <c r="N213" s="86"/>
      <c r="O213" s="86"/>
      <c r="P213" s="86"/>
      <c r="Q213" s="86"/>
      <c r="R213" s="86"/>
    </row>
    <row r="214" spans="1:18">
      <c r="A214" s="86"/>
      <c r="B214" s="86"/>
      <c r="C214" s="86"/>
      <c r="D214" s="86"/>
      <c r="E214" s="86"/>
      <c r="F214" s="86"/>
      <c r="G214" s="86"/>
      <c r="H214" s="86"/>
      <c r="I214" s="86"/>
      <c r="J214" s="86"/>
      <c r="K214" s="86"/>
      <c r="L214" s="86"/>
      <c r="M214" s="86"/>
      <c r="N214" s="86"/>
      <c r="O214" s="86"/>
      <c r="P214" s="86"/>
      <c r="Q214" s="86"/>
      <c r="R214" s="86"/>
    </row>
    <row r="215" spans="1:18">
      <c r="A215" s="86"/>
      <c r="B215" s="86"/>
      <c r="C215" s="86"/>
      <c r="D215" s="86"/>
      <c r="E215" s="86"/>
      <c r="F215" s="86"/>
      <c r="G215" s="86"/>
      <c r="H215" s="86"/>
      <c r="I215" s="86"/>
      <c r="J215" s="86"/>
      <c r="K215" s="86"/>
      <c r="L215" s="86"/>
      <c r="M215" s="86"/>
      <c r="N215" s="86"/>
      <c r="O215" s="86"/>
      <c r="P215" s="86"/>
      <c r="Q215" s="86"/>
      <c r="R215" s="86"/>
    </row>
    <row r="216" spans="1:18">
      <c r="A216" s="86"/>
      <c r="B216" s="86"/>
      <c r="C216" s="86"/>
      <c r="D216" s="86"/>
      <c r="E216" s="86"/>
      <c r="F216" s="86"/>
      <c r="G216" s="86"/>
      <c r="H216" s="86"/>
      <c r="I216" s="86"/>
      <c r="J216" s="86"/>
      <c r="K216" s="86"/>
      <c r="L216" s="86"/>
      <c r="M216" s="86"/>
      <c r="N216" s="86"/>
      <c r="O216" s="86"/>
      <c r="P216" s="86"/>
      <c r="Q216" s="86"/>
      <c r="R216" s="86"/>
    </row>
    <row r="217" spans="1:18">
      <c r="A217" s="86"/>
      <c r="B217" s="86"/>
      <c r="C217" s="86"/>
      <c r="D217" s="86"/>
      <c r="E217" s="86"/>
      <c r="F217" s="86"/>
      <c r="G217" s="86"/>
      <c r="H217" s="86"/>
      <c r="I217" s="86"/>
      <c r="J217" s="86"/>
      <c r="K217" s="86"/>
      <c r="L217" s="86"/>
      <c r="M217" s="86"/>
      <c r="N217" s="86"/>
      <c r="O217" s="86"/>
      <c r="P217" s="86"/>
      <c r="Q217" s="86"/>
      <c r="R217" s="86"/>
    </row>
    <row r="218" spans="1:18">
      <c r="A218" s="86"/>
      <c r="B218" s="86"/>
      <c r="C218" s="86"/>
      <c r="D218" s="86"/>
      <c r="E218" s="86"/>
      <c r="F218" s="86"/>
      <c r="G218" s="86"/>
      <c r="H218" s="86"/>
      <c r="I218" s="86"/>
      <c r="J218" s="86"/>
      <c r="K218" s="86"/>
      <c r="L218" s="86"/>
      <c r="M218" s="86"/>
      <c r="N218" s="86"/>
      <c r="O218" s="86"/>
      <c r="P218" s="86"/>
      <c r="Q218" s="86"/>
      <c r="R218" s="86"/>
    </row>
    <row r="219" spans="1:18">
      <c r="A219" s="86"/>
      <c r="B219" s="86"/>
      <c r="C219" s="86"/>
      <c r="D219" s="86"/>
      <c r="E219" s="86"/>
      <c r="F219" s="86"/>
      <c r="G219" s="86"/>
      <c r="H219" s="86"/>
      <c r="I219" s="86"/>
      <c r="J219" s="86"/>
      <c r="K219" s="86"/>
      <c r="L219" s="86"/>
      <c r="M219" s="86"/>
      <c r="N219" s="86"/>
      <c r="O219" s="86"/>
      <c r="P219" s="86"/>
      <c r="Q219" s="86"/>
      <c r="R219" s="86"/>
    </row>
    <row r="220" spans="1:18">
      <c r="A220" s="86"/>
      <c r="B220" s="86"/>
      <c r="C220" s="86"/>
      <c r="D220" s="86"/>
      <c r="E220" s="86"/>
      <c r="F220" s="86"/>
      <c r="G220" s="86"/>
      <c r="H220" s="86"/>
      <c r="I220" s="86"/>
      <c r="J220" s="86"/>
      <c r="K220" s="86"/>
      <c r="L220" s="86"/>
      <c r="M220" s="86"/>
      <c r="N220" s="86"/>
      <c r="O220" s="86"/>
      <c r="P220" s="86"/>
      <c r="Q220" s="86"/>
      <c r="R220" s="86"/>
    </row>
    <row r="221" spans="1:18">
      <c r="A221" s="86"/>
      <c r="B221" s="86"/>
      <c r="C221" s="86"/>
      <c r="D221" s="86"/>
      <c r="E221" s="86"/>
      <c r="F221" s="86"/>
      <c r="G221" s="86"/>
      <c r="H221" s="86"/>
      <c r="I221" s="86"/>
      <c r="J221" s="86"/>
      <c r="K221" s="86"/>
      <c r="L221" s="86"/>
      <c r="M221" s="86"/>
      <c r="N221" s="86"/>
      <c r="O221" s="86"/>
      <c r="P221" s="86"/>
      <c r="Q221" s="86"/>
      <c r="R221" s="86"/>
    </row>
    <row r="222" spans="1:18">
      <c r="A222" s="86"/>
      <c r="B222" s="86"/>
      <c r="C222" s="86"/>
      <c r="D222" s="86"/>
      <c r="E222" s="86"/>
      <c r="F222" s="86"/>
      <c r="G222" s="86"/>
      <c r="H222" s="86"/>
      <c r="I222" s="86"/>
      <c r="J222" s="86"/>
      <c r="K222" s="86"/>
      <c r="L222" s="86"/>
      <c r="M222" s="86"/>
      <c r="N222" s="86"/>
      <c r="O222" s="86"/>
      <c r="P222" s="86"/>
      <c r="Q222" s="86"/>
      <c r="R222" s="86"/>
    </row>
    <row r="223" spans="1:18">
      <c r="A223" s="86"/>
      <c r="B223" s="86"/>
      <c r="C223" s="86"/>
      <c r="D223" s="86"/>
      <c r="E223" s="86"/>
      <c r="F223" s="86"/>
      <c r="G223" s="86"/>
      <c r="H223" s="86"/>
      <c r="I223" s="86"/>
      <c r="J223" s="86"/>
      <c r="K223" s="86"/>
      <c r="L223" s="86"/>
      <c r="M223" s="86"/>
      <c r="N223" s="86"/>
      <c r="O223" s="86"/>
      <c r="P223" s="86"/>
      <c r="Q223" s="86"/>
      <c r="R223" s="86"/>
    </row>
    <row r="224" spans="1:18">
      <c r="A224" s="86"/>
      <c r="B224" s="86"/>
      <c r="C224" s="86"/>
      <c r="D224" s="86"/>
      <c r="E224" s="86"/>
      <c r="F224" s="86"/>
      <c r="G224" s="86"/>
      <c r="H224" s="86"/>
      <c r="I224" s="86"/>
      <c r="J224" s="86"/>
      <c r="K224" s="86"/>
      <c r="L224" s="86"/>
      <c r="M224" s="86"/>
      <c r="N224" s="86"/>
      <c r="O224" s="86"/>
      <c r="P224" s="86"/>
      <c r="Q224" s="86"/>
      <c r="R224" s="86"/>
    </row>
    <row r="225" spans="1:18">
      <c r="A225" s="86"/>
      <c r="B225" s="86"/>
      <c r="C225" s="86"/>
      <c r="D225" s="86"/>
      <c r="E225" s="86"/>
      <c r="F225" s="86"/>
      <c r="G225" s="86"/>
      <c r="H225" s="86"/>
      <c r="I225" s="86"/>
      <c r="J225" s="86"/>
      <c r="K225" s="86"/>
      <c r="L225" s="86"/>
      <c r="M225" s="86"/>
      <c r="N225" s="86"/>
      <c r="O225" s="86"/>
      <c r="P225" s="86"/>
      <c r="Q225" s="86"/>
      <c r="R225" s="86"/>
    </row>
    <row r="226" spans="1:18">
      <c r="A226" s="86"/>
      <c r="B226" s="86"/>
      <c r="C226" s="86"/>
      <c r="D226" s="86"/>
      <c r="E226" s="86"/>
      <c r="F226" s="86"/>
      <c r="G226" s="86"/>
      <c r="H226" s="86"/>
      <c r="I226" s="86"/>
      <c r="J226" s="86"/>
      <c r="K226" s="86"/>
      <c r="L226" s="86"/>
      <c r="M226" s="86"/>
      <c r="N226" s="86"/>
      <c r="O226" s="86"/>
      <c r="P226" s="86"/>
      <c r="Q226" s="86"/>
      <c r="R226" s="86"/>
    </row>
    <row r="227" spans="1:18">
      <c r="A227" s="86"/>
      <c r="B227" s="86"/>
      <c r="C227" s="86"/>
      <c r="D227" s="86"/>
      <c r="E227" s="86"/>
      <c r="F227" s="86"/>
      <c r="G227" s="86"/>
      <c r="H227" s="86"/>
      <c r="I227" s="86"/>
      <c r="J227" s="86"/>
      <c r="K227" s="86"/>
      <c r="L227" s="86"/>
      <c r="M227" s="86"/>
      <c r="N227" s="86"/>
      <c r="O227" s="86"/>
      <c r="P227" s="86"/>
      <c r="Q227" s="86"/>
      <c r="R227" s="86"/>
    </row>
    <row r="228" spans="1:18">
      <c r="A228" s="86"/>
      <c r="B228" s="86"/>
      <c r="C228" s="86"/>
      <c r="D228" s="86"/>
      <c r="E228" s="86"/>
      <c r="F228" s="86"/>
      <c r="G228" s="86"/>
      <c r="H228" s="86"/>
      <c r="I228" s="86"/>
      <c r="J228" s="86"/>
      <c r="K228" s="86"/>
      <c r="L228" s="86"/>
      <c r="M228" s="86"/>
      <c r="N228" s="86"/>
      <c r="O228" s="86"/>
      <c r="P228" s="86"/>
      <c r="Q228" s="86"/>
      <c r="R228" s="86"/>
    </row>
    <row r="229" spans="1:18">
      <c r="A229" s="86"/>
      <c r="B229" s="86"/>
      <c r="C229" s="86"/>
      <c r="D229" s="86"/>
      <c r="E229" s="86"/>
      <c r="F229" s="86"/>
      <c r="G229" s="86"/>
      <c r="H229" s="86"/>
      <c r="I229" s="86"/>
      <c r="J229" s="86"/>
      <c r="K229" s="86"/>
      <c r="L229" s="86"/>
      <c r="M229" s="86"/>
      <c r="N229" s="86"/>
      <c r="O229" s="86"/>
      <c r="P229" s="86"/>
      <c r="Q229" s="86"/>
      <c r="R229" s="86"/>
    </row>
    <row r="230" spans="1:18">
      <c r="A230" s="86"/>
      <c r="B230" s="86"/>
      <c r="C230" s="86"/>
      <c r="D230" s="86"/>
      <c r="E230" s="86"/>
      <c r="F230" s="86"/>
      <c r="G230" s="86"/>
      <c r="H230" s="86"/>
      <c r="I230" s="86"/>
      <c r="J230" s="86"/>
      <c r="K230" s="86"/>
      <c r="L230" s="86"/>
      <c r="M230" s="86"/>
      <c r="N230" s="86"/>
      <c r="O230" s="86"/>
      <c r="P230" s="86"/>
      <c r="Q230" s="86"/>
      <c r="R230" s="86"/>
    </row>
    <row r="231" spans="1:18">
      <c r="A231" s="86"/>
      <c r="B231" s="86"/>
      <c r="C231" s="86"/>
      <c r="D231" s="86"/>
      <c r="E231" s="86"/>
      <c r="F231" s="86"/>
      <c r="G231" s="86"/>
      <c r="H231" s="86"/>
      <c r="I231" s="86"/>
      <c r="J231" s="86"/>
      <c r="K231" s="86"/>
      <c r="L231" s="86"/>
      <c r="M231" s="86"/>
      <c r="N231" s="86"/>
      <c r="O231" s="86"/>
      <c r="P231" s="86"/>
      <c r="Q231" s="86"/>
      <c r="R231" s="86"/>
    </row>
    <row r="232" spans="1:18">
      <c r="A232" s="86"/>
      <c r="B232" s="86"/>
      <c r="C232" s="86"/>
      <c r="D232" s="86"/>
      <c r="E232" s="86"/>
      <c r="F232" s="86"/>
      <c r="G232" s="86"/>
      <c r="H232" s="86"/>
      <c r="I232" s="86"/>
      <c r="J232" s="86"/>
      <c r="K232" s="86"/>
      <c r="L232" s="86"/>
      <c r="M232" s="86"/>
      <c r="N232" s="86"/>
      <c r="O232" s="86"/>
      <c r="P232" s="86"/>
      <c r="Q232" s="86"/>
      <c r="R232" s="86"/>
    </row>
    <row r="233" spans="1:18">
      <c r="A233" s="86"/>
      <c r="B233" s="86"/>
      <c r="C233" s="86"/>
      <c r="D233" s="86"/>
      <c r="E233" s="86"/>
      <c r="F233" s="86"/>
      <c r="G233" s="86"/>
      <c r="H233" s="86"/>
      <c r="I233" s="86"/>
      <c r="J233" s="86"/>
      <c r="K233" s="86"/>
      <c r="L233" s="86"/>
      <c r="M233" s="86"/>
      <c r="N233" s="86"/>
      <c r="O233" s="86"/>
      <c r="P233" s="86"/>
      <c r="Q233" s="86"/>
      <c r="R233" s="86"/>
    </row>
    <row r="234" spans="1:18">
      <c r="A234" s="86"/>
      <c r="B234" s="86"/>
      <c r="C234" s="86"/>
      <c r="D234" s="86"/>
      <c r="E234" s="86"/>
      <c r="F234" s="86"/>
      <c r="G234" s="86"/>
      <c r="H234" s="86"/>
      <c r="I234" s="86"/>
      <c r="J234" s="86"/>
      <c r="K234" s="86"/>
      <c r="L234" s="86"/>
      <c r="M234" s="86"/>
      <c r="N234" s="86"/>
      <c r="O234" s="86"/>
      <c r="P234" s="86"/>
      <c r="Q234" s="86"/>
      <c r="R234" s="86"/>
    </row>
    <row r="235" spans="1:18">
      <c r="A235" s="86"/>
      <c r="B235" s="86"/>
      <c r="C235" s="86"/>
      <c r="D235" s="86"/>
      <c r="E235" s="86"/>
      <c r="F235" s="86"/>
      <c r="G235" s="86"/>
      <c r="H235" s="86"/>
      <c r="I235" s="86"/>
      <c r="J235" s="86"/>
      <c r="K235" s="86"/>
      <c r="L235" s="86"/>
      <c r="M235" s="86"/>
      <c r="N235" s="86"/>
      <c r="O235" s="86"/>
      <c r="P235" s="86"/>
      <c r="Q235" s="86"/>
      <c r="R235" s="86"/>
    </row>
    <row r="236" spans="1:18">
      <c r="A236" s="86"/>
      <c r="B236" s="86"/>
      <c r="C236" s="86"/>
      <c r="D236" s="86"/>
      <c r="E236" s="86"/>
      <c r="F236" s="86"/>
      <c r="G236" s="86"/>
      <c r="H236" s="86"/>
      <c r="I236" s="86"/>
      <c r="J236" s="86"/>
      <c r="K236" s="86"/>
      <c r="L236" s="86"/>
      <c r="M236" s="86"/>
      <c r="N236" s="86"/>
      <c r="O236" s="86"/>
      <c r="P236" s="86"/>
      <c r="Q236" s="86"/>
      <c r="R236" s="86"/>
    </row>
    <row r="237" spans="1:18">
      <c r="A237" s="86"/>
      <c r="B237" s="86"/>
      <c r="C237" s="86"/>
      <c r="D237" s="86"/>
      <c r="E237" s="86"/>
      <c r="F237" s="86"/>
      <c r="G237" s="86"/>
      <c r="H237" s="86"/>
      <c r="I237" s="86"/>
      <c r="J237" s="86"/>
      <c r="K237" s="86"/>
      <c r="L237" s="86"/>
      <c r="M237" s="86"/>
      <c r="N237" s="86"/>
      <c r="O237" s="86"/>
      <c r="P237" s="86"/>
      <c r="Q237" s="86"/>
      <c r="R237" s="86"/>
    </row>
    <row r="238" spans="1:18">
      <c r="A238" s="86"/>
      <c r="B238" s="86"/>
      <c r="C238" s="86"/>
      <c r="D238" s="86"/>
      <c r="E238" s="86"/>
      <c r="F238" s="86"/>
      <c r="G238" s="86"/>
      <c r="H238" s="86"/>
      <c r="I238" s="86"/>
      <c r="J238" s="86"/>
      <c r="K238" s="86"/>
      <c r="L238" s="86"/>
      <c r="M238" s="86"/>
      <c r="N238" s="86"/>
      <c r="O238" s="86"/>
      <c r="P238" s="86"/>
      <c r="Q238" s="86"/>
      <c r="R238" s="86"/>
    </row>
    <row r="239" spans="1:18">
      <c r="A239" s="86"/>
      <c r="B239" s="86"/>
      <c r="C239" s="86"/>
      <c r="D239" s="86"/>
      <c r="E239" s="86"/>
      <c r="F239" s="86"/>
      <c r="G239" s="86"/>
      <c r="H239" s="86"/>
      <c r="I239" s="86"/>
      <c r="J239" s="86"/>
      <c r="K239" s="86"/>
      <c r="L239" s="86"/>
      <c r="M239" s="86"/>
      <c r="N239" s="86"/>
      <c r="O239" s="86"/>
      <c r="P239" s="86"/>
      <c r="Q239" s="86"/>
      <c r="R239" s="86"/>
    </row>
    <row r="240" spans="1:18">
      <c r="A240" s="86"/>
      <c r="B240" s="86"/>
      <c r="C240" s="86"/>
      <c r="D240" s="86"/>
      <c r="E240" s="86"/>
      <c r="F240" s="86"/>
      <c r="G240" s="86"/>
      <c r="H240" s="86"/>
      <c r="I240" s="86"/>
      <c r="J240" s="86"/>
      <c r="K240" s="86"/>
      <c r="L240" s="86"/>
      <c r="M240" s="86"/>
      <c r="N240" s="86"/>
      <c r="O240" s="86"/>
      <c r="P240" s="86"/>
      <c r="Q240" s="86"/>
      <c r="R240" s="86"/>
    </row>
    <row r="241" spans="1:18">
      <c r="A241" s="86"/>
      <c r="B241" s="86"/>
      <c r="C241" s="86"/>
      <c r="D241" s="86"/>
      <c r="E241" s="86"/>
      <c r="F241" s="86"/>
      <c r="G241" s="86"/>
      <c r="H241" s="86"/>
      <c r="I241" s="86"/>
      <c r="J241" s="86"/>
      <c r="K241" s="86"/>
      <c r="L241" s="86"/>
      <c r="M241" s="86"/>
      <c r="N241" s="86"/>
      <c r="O241" s="86"/>
      <c r="P241" s="86"/>
      <c r="Q241" s="86"/>
      <c r="R241" s="86"/>
    </row>
    <row r="242" spans="1:18">
      <c r="A242" s="86"/>
      <c r="B242" s="86"/>
      <c r="C242" s="86"/>
      <c r="D242" s="86"/>
      <c r="E242" s="86"/>
      <c r="F242" s="86"/>
      <c r="G242" s="86"/>
      <c r="H242" s="86"/>
      <c r="I242" s="86"/>
      <c r="J242" s="86"/>
      <c r="K242" s="86"/>
      <c r="L242" s="86"/>
      <c r="M242" s="86"/>
      <c r="N242" s="86"/>
      <c r="O242" s="86"/>
      <c r="P242" s="86"/>
      <c r="Q242" s="86"/>
      <c r="R242" s="86"/>
    </row>
    <row r="243" spans="1:18">
      <c r="A243" s="86"/>
      <c r="B243" s="86"/>
      <c r="C243" s="86"/>
      <c r="D243" s="86"/>
      <c r="E243" s="86"/>
      <c r="F243" s="86"/>
      <c r="G243" s="86"/>
      <c r="H243" s="86"/>
      <c r="I243" s="86"/>
      <c r="J243" s="86"/>
      <c r="K243" s="86"/>
      <c r="L243" s="86"/>
      <c r="M243" s="86"/>
      <c r="N243" s="86"/>
      <c r="O243" s="86"/>
      <c r="P243" s="86"/>
      <c r="Q243" s="86"/>
      <c r="R243" s="86"/>
    </row>
    <row r="244" spans="1:18">
      <c r="A244" s="86"/>
      <c r="B244" s="86"/>
      <c r="C244" s="86"/>
      <c r="D244" s="86"/>
      <c r="E244" s="86"/>
      <c r="F244" s="86"/>
      <c r="G244" s="86"/>
      <c r="H244" s="86"/>
      <c r="I244" s="86"/>
      <c r="J244" s="86"/>
      <c r="K244" s="86"/>
      <c r="L244" s="86"/>
      <c r="M244" s="86"/>
      <c r="N244" s="86"/>
      <c r="O244" s="86"/>
      <c r="P244" s="86"/>
      <c r="Q244" s="86"/>
      <c r="R244" s="86"/>
    </row>
    <row r="245" spans="1:18">
      <c r="A245" s="86"/>
      <c r="B245" s="86"/>
      <c r="C245" s="86"/>
      <c r="D245" s="86"/>
      <c r="E245" s="86"/>
      <c r="F245" s="86"/>
      <c r="G245" s="86"/>
      <c r="H245" s="86"/>
      <c r="I245" s="86"/>
      <c r="J245" s="86"/>
      <c r="K245" s="86"/>
      <c r="L245" s="86"/>
      <c r="M245" s="86"/>
      <c r="N245" s="86"/>
      <c r="O245" s="86"/>
      <c r="P245" s="86"/>
      <c r="Q245" s="86"/>
      <c r="R245" s="86"/>
    </row>
    <row r="246" spans="1:18">
      <c r="A246" s="86"/>
      <c r="B246" s="86"/>
      <c r="C246" s="86"/>
      <c r="D246" s="86"/>
      <c r="E246" s="86"/>
      <c r="F246" s="86"/>
      <c r="G246" s="86"/>
      <c r="H246" s="86"/>
      <c r="I246" s="86"/>
      <c r="J246" s="86"/>
      <c r="K246" s="86"/>
      <c r="L246" s="86"/>
      <c r="M246" s="86"/>
      <c r="N246" s="86"/>
      <c r="O246" s="86"/>
      <c r="P246" s="86"/>
      <c r="Q246" s="86"/>
      <c r="R246" s="86"/>
    </row>
    <row r="247" spans="1:18">
      <c r="A247" s="86"/>
      <c r="B247" s="86"/>
      <c r="C247" s="86"/>
      <c r="D247" s="86"/>
      <c r="E247" s="86"/>
      <c r="F247" s="86"/>
      <c r="G247" s="86"/>
      <c r="H247" s="86"/>
      <c r="I247" s="86"/>
      <c r="J247" s="86"/>
      <c r="K247" s="86"/>
      <c r="L247" s="86"/>
      <c r="M247" s="86"/>
      <c r="N247" s="86"/>
      <c r="O247" s="86"/>
      <c r="P247" s="86"/>
      <c r="Q247" s="86"/>
      <c r="R247" s="86"/>
    </row>
    <row r="248" spans="1:18">
      <c r="A248" s="86"/>
      <c r="B248" s="86"/>
      <c r="C248" s="86"/>
      <c r="D248" s="86"/>
      <c r="E248" s="86"/>
      <c r="F248" s="86"/>
      <c r="G248" s="86"/>
      <c r="H248" s="86"/>
      <c r="I248" s="86"/>
      <c r="J248" s="86"/>
      <c r="K248" s="86"/>
      <c r="L248" s="86"/>
      <c r="M248" s="86"/>
      <c r="N248" s="86"/>
      <c r="O248" s="86"/>
      <c r="P248" s="86"/>
      <c r="Q248" s="86"/>
      <c r="R248" s="86"/>
    </row>
    <row r="249" spans="1:18">
      <c r="A249" s="86"/>
      <c r="B249" s="86"/>
      <c r="C249" s="86"/>
      <c r="D249" s="86"/>
      <c r="E249" s="86"/>
      <c r="F249" s="86"/>
      <c r="G249" s="86"/>
      <c r="H249" s="86"/>
      <c r="I249" s="86"/>
      <c r="J249" s="86"/>
      <c r="K249" s="86"/>
      <c r="L249" s="86"/>
      <c r="M249" s="86"/>
      <c r="N249" s="86"/>
      <c r="O249" s="86"/>
      <c r="P249" s="86"/>
      <c r="Q249" s="86"/>
      <c r="R249" s="86"/>
    </row>
    <row r="250" spans="1:18">
      <c r="A250" s="86"/>
      <c r="B250" s="86"/>
      <c r="C250" s="86"/>
      <c r="D250" s="86"/>
      <c r="E250" s="86"/>
      <c r="F250" s="86"/>
      <c r="G250" s="86"/>
      <c r="H250" s="86"/>
      <c r="I250" s="86"/>
      <c r="J250" s="86"/>
      <c r="K250" s="86"/>
      <c r="L250" s="86"/>
      <c r="M250" s="86"/>
      <c r="N250" s="86"/>
      <c r="O250" s="86"/>
      <c r="P250" s="86"/>
      <c r="Q250" s="86"/>
      <c r="R250" s="86"/>
    </row>
    <row r="251" spans="1:18">
      <c r="A251" s="86"/>
      <c r="B251" s="86"/>
      <c r="C251" s="86"/>
      <c r="D251" s="86"/>
      <c r="E251" s="86"/>
      <c r="F251" s="86"/>
      <c r="G251" s="86"/>
      <c r="H251" s="86"/>
      <c r="I251" s="86"/>
      <c r="J251" s="86"/>
      <c r="K251" s="86"/>
      <c r="L251" s="86"/>
      <c r="M251" s="86"/>
      <c r="N251" s="86"/>
      <c r="O251" s="86"/>
      <c r="P251" s="86"/>
      <c r="Q251" s="86"/>
      <c r="R251" s="86"/>
    </row>
    <row r="252" spans="1:18">
      <c r="A252" s="86"/>
      <c r="B252" s="86"/>
      <c r="C252" s="86"/>
      <c r="D252" s="86"/>
      <c r="E252" s="86"/>
      <c r="F252" s="86"/>
      <c r="G252" s="86"/>
      <c r="H252" s="86"/>
      <c r="I252" s="86"/>
      <c r="J252" s="86"/>
      <c r="K252" s="86"/>
      <c r="L252" s="86"/>
      <c r="M252" s="86"/>
      <c r="N252" s="86"/>
      <c r="O252" s="86"/>
      <c r="P252" s="86"/>
      <c r="Q252" s="86"/>
      <c r="R252" s="86"/>
    </row>
    <row r="253" spans="1:18">
      <c r="A253" s="86"/>
      <c r="B253" s="86"/>
      <c r="C253" s="86"/>
      <c r="D253" s="86"/>
      <c r="E253" s="86"/>
      <c r="F253" s="86"/>
      <c r="G253" s="86"/>
      <c r="H253" s="86"/>
      <c r="I253" s="86"/>
      <c r="J253" s="86"/>
      <c r="K253" s="86"/>
      <c r="L253" s="86"/>
      <c r="M253" s="86"/>
      <c r="N253" s="86"/>
      <c r="O253" s="86"/>
      <c r="P253" s="86"/>
      <c r="Q253" s="86"/>
      <c r="R253" s="86"/>
    </row>
    <row r="254" spans="1:18">
      <c r="A254" s="86"/>
      <c r="B254" s="86"/>
      <c r="C254" s="86"/>
      <c r="D254" s="86"/>
      <c r="E254" s="86"/>
      <c r="F254" s="86"/>
      <c r="G254" s="86"/>
      <c r="H254" s="86"/>
      <c r="I254" s="86"/>
      <c r="J254" s="86"/>
      <c r="K254" s="86"/>
      <c r="L254" s="86"/>
      <c r="M254" s="86"/>
      <c r="N254" s="86"/>
      <c r="O254" s="86"/>
      <c r="P254" s="86"/>
      <c r="Q254" s="86"/>
      <c r="R254" s="86"/>
    </row>
    <row r="255" spans="1:18">
      <c r="A255" s="86"/>
      <c r="B255" s="86"/>
      <c r="C255" s="86"/>
      <c r="D255" s="86"/>
      <c r="E255" s="86"/>
      <c r="F255" s="86"/>
      <c r="G255" s="86"/>
      <c r="H255" s="86"/>
      <c r="I255" s="86"/>
      <c r="J255" s="86"/>
      <c r="K255" s="86"/>
      <c r="L255" s="86"/>
      <c r="M255" s="86"/>
      <c r="N255" s="86"/>
      <c r="O255" s="86"/>
      <c r="P255" s="86"/>
      <c r="Q255" s="86"/>
      <c r="R255" s="86"/>
    </row>
    <row r="256" spans="1:18">
      <c r="A256" s="86"/>
      <c r="B256" s="86"/>
      <c r="C256" s="86"/>
      <c r="D256" s="86"/>
      <c r="E256" s="86"/>
      <c r="F256" s="86"/>
      <c r="G256" s="86"/>
      <c r="H256" s="86"/>
      <c r="I256" s="86"/>
      <c r="J256" s="86"/>
      <c r="K256" s="86"/>
      <c r="L256" s="86"/>
      <c r="M256" s="86"/>
      <c r="N256" s="86"/>
      <c r="O256" s="86"/>
      <c r="P256" s="86"/>
      <c r="Q256" s="86"/>
      <c r="R256" s="86"/>
    </row>
    <row r="257" spans="1:18">
      <c r="A257" s="86"/>
      <c r="B257" s="86"/>
      <c r="C257" s="86"/>
      <c r="D257" s="86"/>
      <c r="E257" s="86"/>
      <c r="F257" s="86"/>
      <c r="G257" s="86"/>
      <c r="H257" s="86"/>
      <c r="I257" s="86"/>
      <c r="J257" s="86"/>
      <c r="K257" s="86"/>
      <c r="L257" s="86"/>
      <c r="M257" s="86"/>
      <c r="N257" s="86"/>
      <c r="O257" s="86"/>
      <c r="P257" s="86"/>
      <c r="Q257" s="86"/>
      <c r="R257" s="86"/>
    </row>
    <row r="258" spans="1:18">
      <c r="A258" s="86"/>
      <c r="B258" s="86"/>
      <c r="C258" s="86"/>
      <c r="D258" s="86"/>
      <c r="E258" s="86"/>
      <c r="F258" s="86"/>
      <c r="G258" s="86"/>
      <c r="H258" s="86"/>
      <c r="I258" s="86"/>
      <c r="J258" s="86"/>
      <c r="K258" s="86"/>
      <c r="L258" s="86"/>
      <c r="M258" s="86"/>
      <c r="N258" s="86"/>
      <c r="O258" s="86"/>
      <c r="P258" s="86"/>
      <c r="Q258" s="86"/>
      <c r="R258" s="86"/>
    </row>
    <row r="259" spans="1:18">
      <c r="A259" s="86"/>
      <c r="B259" s="86"/>
      <c r="C259" s="86"/>
      <c r="D259" s="86"/>
      <c r="E259" s="86"/>
      <c r="F259" s="86"/>
      <c r="G259" s="86"/>
      <c r="H259" s="86"/>
      <c r="I259" s="86"/>
      <c r="J259" s="86"/>
      <c r="K259" s="86"/>
      <c r="L259" s="86"/>
      <c r="M259" s="86"/>
      <c r="N259" s="86"/>
      <c r="O259" s="86"/>
      <c r="P259" s="86"/>
      <c r="Q259" s="86"/>
      <c r="R259" s="86"/>
    </row>
    <row r="260" spans="1:18">
      <c r="A260" s="86"/>
      <c r="B260" s="86"/>
      <c r="C260" s="86"/>
      <c r="D260" s="86"/>
      <c r="E260" s="86"/>
      <c r="F260" s="86"/>
      <c r="G260" s="86"/>
      <c r="H260" s="86"/>
      <c r="I260" s="86"/>
      <c r="J260" s="86"/>
      <c r="K260" s="86"/>
      <c r="L260" s="86"/>
      <c r="M260" s="86"/>
      <c r="N260" s="86"/>
      <c r="O260" s="86"/>
      <c r="P260" s="86"/>
      <c r="Q260" s="86"/>
      <c r="R260" s="86"/>
    </row>
    <row r="261" spans="1:18">
      <c r="A261" s="86"/>
      <c r="B261" s="86"/>
      <c r="C261" s="86"/>
      <c r="D261" s="86"/>
      <c r="E261" s="86"/>
      <c r="F261" s="86"/>
      <c r="G261" s="86"/>
      <c r="H261" s="86"/>
      <c r="I261" s="86"/>
      <c r="J261" s="86"/>
      <c r="K261" s="86"/>
      <c r="L261" s="86"/>
      <c r="M261" s="86"/>
      <c r="N261" s="86"/>
      <c r="O261" s="86"/>
      <c r="P261" s="86"/>
      <c r="Q261" s="86"/>
      <c r="R261" s="86"/>
    </row>
    <row r="262" spans="1:18">
      <c r="A262" s="86"/>
      <c r="B262" s="86"/>
      <c r="C262" s="86"/>
      <c r="D262" s="86"/>
      <c r="E262" s="86"/>
      <c r="F262" s="86"/>
      <c r="G262" s="86"/>
      <c r="H262" s="86"/>
      <c r="I262" s="86"/>
      <c r="J262" s="86"/>
      <c r="K262" s="86"/>
      <c r="L262" s="86"/>
      <c r="M262" s="86"/>
      <c r="N262" s="86"/>
      <c r="O262" s="86"/>
      <c r="P262" s="86"/>
      <c r="Q262" s="86"/>
      <c r="R262" s="86"/>
    </row>
    <row r="263" spans="1:18">
      <c r="A263" s="86"/>
      <c r="B263" s="86"/>
      <c r="C263" s="86"/>
      <c r="D263" s="86"/>
      <c r="E263" s="86"/>
      <c r="F263" s="86"/>
      <c r="G263" s="86"/>
      <c r="H263" s="86"/>
      <c r="I263" s="86"/>
      <c r="J263" s="86"/>
      <c r="K263" s="86"/>
      <c r="L263" s="86"/>
      <c r="M263" s="86"/>
      <c r="N263" s="86"/>
      <c r="O263" s="86"/>
      <c r="P263" s="86"/>
      <c r="Q263" s="86"/>
      <c r="R263" s="86"/>
    </row>
    <row r="264" spans="1:18">
      <c r="A264" s="86"/>
      <c r="B264" s="86"/>
      <c r="C264" s="86"/>
      <c r="D264" s="86"/>
      <c r="E264" s="86"/>
      <c r="F264" s="86"/>
      <c r="G264" s="86"/>
      <c r="H264" s="86"/>
      <c r="I264" s="86"/>
      <c r="J264" s="86"/>
      <c r="K264" s="86"/>
      <c r="L264" s="86"/>
      <c r="M264" s="86"/>
      <c r="N264" s="86"/>
      <c r="O264" s="86"/>
      <c r="P264" s="86"/>
      <c r="Q264" s="86"/>
      <c r="R264" s="86"/>
    </row>
    <row r="265" spans="1:18">
      <c r="A265" s="86"/>
      <c r="B265" s="86"/>
      <c r="C265" s="86"/>
      <c r="D265" s="86"/>
      <c r="E265" s="86"/>
      <c r="F265" s="86"/>
      <c r="G265" s="86"/>
      <c r="H265" s="86"/>
      <c r="I265" s="86"/>
      <c r="J265" s="86"/>
      <c r="K265" s="86"/>
      <c r="L265" s="86"/>
      <c r="M265" s="86"/>
      <c r="N265" s="86"/>
      <c r="O265" s="86"/>
      <c r="P265" s="86"/>
      <c r="Q265" s="86"/>
      <c r="R265" s="86"/>
    </row>
    <row r="266" spans="1:18">
      <c r="A266" s="86"/>
      <c r="B266" s="86"/>
      <c r="C266" s="86"/>
      <c r="D266" s="86"/>
      <c r="E266" s="86"/>
      <c r="F266" s="86"/>
      <c r="G266" s="86"/>
      <c r="H266" s="86"/>
      <c r="I266" s="86"/>
      <c r="J266" s="86"/>
      <c r="K266" s="86"/>
      <c r="L266" s="86"/>
      <c r="M266" s="86"/>
      <c r="N266" s="86"/>
      <c r="O266" s="86"/>
      <c r="P266" s="86"/>
      <c r="Q266" s="86"/>
      <c r="R266" s="86"/>
    </row>
    <row r="267" spans="1:18">
      <c r="A267" s="86"/>
      <c r="B267" s="86"/>
      <c r="C267" s="86"/>
      <c r="D267" s="86"/>
      <c r="E267" s="86"/>
      <c r="F267" s="86"/>
      <c r="G267" s="86"/>
      <c r="H267" s="86"/>
      <c r="I267" s="86"/>
      <c r="J267" s="86"/>
      <c r="K267" s="86"/>
      <c r="L267" s="86"/>
      <c r="M267" s="86"/>
      <c r="N267" s="86"/>
      <c r="O267" s="86"/>
      <c r="P267" s="86"/>
      <c r="Q267" s="86"/>
      <c r="R267" s="86"/>
    </row>
    <row r="268" spans="1:18">
      <c r="A268" s="86"/>
      <c r="B268" s="86"/>
      <c r="C268" s="86"/>
      <c r="D268" s="86"/>
      <c r="E268" s="86"/>
      <c r="F268" s="86"/>
      <c r="G268" s="86"/>
      <c r="H268" s="86"/>
      <c r="I268" s="86"/>
      <c r="J268" s="86"/>
      <c r="K268" s="86"/>
      <c r="L268" s="86"/>
      <c r="M268" s="86"/>
      <c r="N268" s="86"/>
      <c r="O268" s="86"/>
      <c r="P268" s="86"/>
      <c r="Q268" s="86"/>
      <c r="R268" s="86"/>
    </row>
    <row r="269" spans="1:18">
      <c r="A269" s="86"/>
      <c r="B269" s="86"/>
      <c r="C269" s="86"/>
      <c r="D269" s="86"/>
      <c r="E269" s="86"/>
      <c r="F269" s="86"/>
      <c r="G269" s="86"/>
      <c r="H269" s="86"/>
      <c r="I269" s="86"/>
      <c r="J269" s="86"/>
      <c r="K269" s="86"/>
      <c r="L269" s="86"/>
      <c r="M269" s="86"/>
      <c r="N269" s="86"/>
      <c r="O269" s="86"/>
      <c r="P269" s="86"/>
      <c r="Q269" s="86"/>
      <c r="R269" s="86"/>
    </row>
    <row r="270" spans="1:18">
      <c r="A270" s="86"/>
      <c r="B270" s="86"/>
      <c r="C270" s="86"/>
      <c r="D270" s="86"/>
      <c r="E270" s="86"/>
      <c r="F270" s="86"/>
      <c r="G270" s="86"/>
      <c r="H270" s="86"/>
      <c r="I270" s="86"/>
      <c r="J270" s="86"/>
      <c r="K270" s="86"/>
      <c r="L270" s="86"/>
      <c r="M270" s="86"/>
      <c r="N270" s="86"/>
      <c r="O270" s="86"/>
      <c r="P270" s="86"/>
      <c r="Q270" s="86"/>
      <c r="R270" s="86"/>
    </row>
    <row r="271" spans="1:18">
      <c r="A271" s="86"/>
      <c r="B271" s="86"/>
      <c r="C271" s="86"/>
      <c r="D271" s="86"/>
      <c r="E271" s="86"/>
      <c r="F271" s="86"/>
      <c r="G271" s="86"/>
      <c r="H271" s="86"/>
      <c r="I271" s="86"/>
      <c r="J271" s="86"/>
      <c r="K271" s="86"/>
      <c r="L271" s="86"/>
      <c r="M271" s="86"/>
      <c r="N271" s="86"/>
      <c r="O271" s="86"/>
      <c r="P271" s="86"/>
      <c r="Q271" s="86"/>
      <c r="R271" s="86"/>
    </row>
    <row r="272" spans="1:18">
      <c r="A272" s="86"/>
      <c r="B272" s="86"/>
      <c r="C272" s="86"/>
      <c r="D272" s="86"/>
      <c r="E272" s="86"/>
      <c r="F272" s="86"/>
      <c r="G272" s="86"/>
      <c r="H272" s="86"/>
      <c r="I272" s="86"/>
      <c r="J272" s="86"/>
      <c r="K272" s="86"/>
      <c r="L272" s="86"/>
      <c r="M272" s="86"/>
      <c r="N272" s="86"/>
      <c r="O272" s="86"/>
      <c r="P272" s="86"/>
      <c r="Q272" s="86"/>
      <c r="R272" s="86"/>
    </row>
    <row r="273" spans="1:18">
      <c r="A273" s="86"/>
      <c r="B273" s="86"/>
      <c r="C273" s="86"/>
      <c r="D273" s="86"/>
      <c r="E273" s="86"/>
      <c r="F273" s="86"/>
      <c r="G273" s="86"/>
      <c r="H273" s="86"/>
      <c r="I273" s="86"/>
      <c r="J273" s="86"/>
      <c r="K273" s="86"/>
      <c r="L273" s="86"/>
      <c r="M273" s="86"/>
      <c r="N273" s="86"/>
      <c r="O273" s="86"/>
      <c r="P273" s="86"/>
      <c r="Q273" s="86"/>
      <c r="R273" s="86"/>
    </row>
    <row r="274" spans="1:18">
      <c r="A274" s="86"/>
      <c r="B274" s="86"/>
      <c r="C274" s="86"/>
      <c r="D274" s="86"/>
      <c r="E274" s="86"/>
      <c r="F274" s="86"/>
      <c r="G274" s="86"/>
      <c r="H274" s="86"/>
      <c r="I274" s="86"/>
      <c r="J274" s="86"/>
      <c r="K274" s="86"/>
      <c r="L274" s="86"/>
      <c r="M274" s="86"/>
      <c r="N274" s="86"/>
      <c r="O274" s="86"/>
      <c r="P274" s="86"/>
      <c r="Q274" s="86"/>
      <c r="R274" s="86"/>
    </row>
    <row r="275" spans="1:18">
      <c r="A275" s="86"/>
      <c r="B275" s="86"/>
      <c r="C275" s="86"/>
      <c r="D275" s="86"/>
      <c r="E275" s="86"/>
      <c r="F275" s="86"/>
      <c r="G275" s="86"/>
      <c r="H275" s="86"/>
      <c r="I275" s="86"/>
      <c r="J275" s="86"/>
      <c r="K275" s="86"/>
      <c r="L275" s="86"/>
      <c r="M275" s="86"/>
      <c r="N275" s="86"/>
      <c r="O275" s="86"/>
      <c r="P275" s="86"/>
      <c r="Q275" s="86"/>
      <c r="R275" s="86"/>
    </row>
    <row r="276" spans="1:18">
      <c r="A276" s="86"/>
      <c r="B276" s="86"/>
      <c r="C276" s="86"/>
      <c r="D276" s="86"/>
      <c r="E276" s="86"/>
      <c r="F276" s="86"/>
      <c r="G276" s="86"/>
      <c r="H276" s="86"/>
      <c r="I276" s="86"/>
      <c r="J276" s="86"/>
      <c r="K276" s="86"/>
      <c r="L276" s="86"/>
      <c r="M276" s="86"/>
      <c r="N276" s="86"/>
      <c r="O276" s="86"/>
      <c r="P276" s="86"/>
      <c r="Q276" s="86"/>
      <c r="R276" s="86"/>
    </row>
    <row r="277" spans="1:18">
      <c r="A277" s="86"/>
      <c r="B277" s="86"/>
      <c r="C277" s="86"/>
      <c r="D277" s="86"/>
      <c r="E277" s="86"/>
      <c r="F277" s="86"/>
      <c r="G277" s="86"/>
      <c r="H277" s="86"/>
      <c r="I277" s="86"/>
      <c r="J277" s="86"/>
      <c r="K277" s="86"/>
      <c r="L277" s="86"/>
      <c r="M277" s="86"/>
      <c r="N277" s="86"/>
      <c r="O277" s="86"/>
      <c r="P277" s="86"/>
      <c r="Q277" s="86"/>
      <c r="R277" s="86"/>
    </row>
    <row r="278" spans="1:18">
      <c r="A278" s="86"/>
      <c r="B278" s="86"/>
      <c r="C278" s="86"/>
      <c r="D278" s="86"/>
      <c r="E278" s="86"/>
      <c r="F278" s="86"/>
      <c r="G278" s="86"/>
      <c r="H278" s="86"/>
      <c r="I278" s="86"/>
      <c r="J278" s="86"/>
      <c r="K278" s="86"/>
      <c r="L278" s="86"/>
      <c r="M278" s="86"/>
      <c r="N278" s="86"/>
      <c r="O278" s="86"/>
      <c r="P278" s="86"/>
      <c r="Q278" s="86"/>
      <c r="R278" s="86"/>
    </row>
    <row r="279" spans="1:18">
      <c r="A279" s="86"/>
      <c r="B279" s="86"/>
      <c r="C279" s="86"/>
      <c r="D279" s="86"/>
      <c r="E279" s="86"/>
      <c r="F279" s="86"/>
      <c r="G279" s="86"/>
      <c r="H279" s="86"/>
      <c r="I279" s="86"/>
      <c r="J279" s="86"/>
      <c r="K279" s="86"/>
      <c r="L279" s="86"/>
      <c r="M279" s="86"/>
      <c r="N279" s="86"/>
      <c r="O279" s="86"/>
      <c r="P279" s="86"/>
      <c r="Q279" s="86"/>
      <c r="R279" s="86"/>
    </row>
    <row r="280" spans="1:18">
      <c r="A280" s="86"/>
      <c r="B280" s="86"/>
      <c r="C280" s="86"/>
      <c r="D280" s="86"/>
      <c r="E280" s="86"/>
      <c r="F280" s="86"/>
      <c r="G280" s="86"/>
      <c r="H280" s="86"/>
      <c r="I280" s="86"/>
      <c r="J280" s="86"/>
      <c r="K280" s="86"/>
      <c r="L280" s="86"/>
      <c r="M280" s="86"/>
      <c r="N280" s="86"/>
      <c r="O280" s="86"/>
      <c r="P280" s="86"/>
      <c r="Q280" s="86"/>
      <c r="R280" s="86"/>
    </row>
    <row r="281" spans="1:18">
      <c r="A281" s="86"/>
      <c r="B281" s="86"/>
      <c r="C281" s="86"/>
      <c r="D281" s="86"/>
      <c r="E281" s="86"/>
      <c r="F281" s="86"/>
      <c r="G281" s="86"/>
      <c r="H281" s="86"/>
      <c r="I281" s="86"/>
      <c r="J281" s="86"/>
      <c r="K281" s="86"/>
      <c r="L281" s="86"/>
      <c r="M281" s="86"/>
      <c r="N281" s="86"/>
      <c r="O281" s="86"/>
      <c r="P281" s="86"/>
      <c r="Q281" s="86"/>
      <c r="R281" s="86"/>
    </row>
    <row r="282" spans="1:18">
      <c r="A282" s="86"/>
      <c r="B282" s="86"/>
      <c r="C282" s="86"/>
      <c r="D282" s="86"/>
      <c r="E282" s="86"/>
      <c r="F282" s="86"/>
      <c r="G282" s="86"/>
      <c r="H282" s="86"/>
      <c r="I282" s="86"/>
      <c r="J282" s="86"/>
      <c r="K282" s="86"/>
      <c r="L282" s="86"/>
      <c r="M282" s="86"/>
      <c r="N282" s="86"/>
      <c r="O282" s="86"/>
      <c r="P282" s="86"/>
      <c r="Q282" s="86"/>
      <c r="R282" s="86"/>
    </row>
    <row r="283" spans="1:18">
      <c r="A283" s="86"/>
      <c r="B283" s="86"/>
      <c r="C283" s="86"/>
      <c r="D283" s="86"/>
      <c r="E283" s="86"/>
      <c r="F283" s="86"/>
      <c r="G283" s="86"/>
      <c r="H283" s="86"/>
      <c r="I283" s="86"/>
      <c r="J283" s="86"/>
      <c r="K283" s="86"/>
      <c r="L283" s="86"/>
      <c r="M283" s="86"/>
      <c r="N283" s="86"/>
      <c r="O283" s="86"/>
      <c r="P283" s="86"/>
      <c r="Q283" s="86"/>
      <c r="R283" s="86"/>
    </row>
    <row r="284" spans="1:18">
      <c r="A284" s="86"/>
      <c r="B284" s="86"/>
      <c r="C284" s="86"/>
      <c r="D284" s="86"/>
      <c r="E284" s="86"/>
      <c r="F284" s="86"/>
      <c r="G284" s="86"/>
      <c r="H284" s="86"/>
      <c r="I284" s="86"/>
      <c r="J284" s="86"/>
      <c r="K284" s="86"/>
      <c r="L284" s="86"/>
      <c r="M284" s="86"/>
      <c r="N284" s="86"/>
      <c r="O284" s="86"/>
      <c r="P284" s="86"/>
      <c r="Q284" s="86"/>
      <c r="R284" s="86"/>
    </row>
    <row r="285" spans="1:18">
      <c r="A285" s="86"/>
      <c r="B285" s="86"/>
      <c r="C285" s="86"/>
      <c r="D285" s="86"/>
      <c r="E285" s="86"/>
      <c r="F285" s="86"/>
      <c r="G285" s="86"/>
      <c r="H285" s="86"/>
      <c r="I285" s="86"/>
      <c r="J285" s="86"/>
      <c r="K285" s="86"/>
      <c r="L285" s="86"/>
      <c r="M285" s="86"/>
      <c r="N285" s="86"/>
      <c r="O285" s="86"/>
      <c r="P285" s="86"/>
      <c r="Q285" s="86"/>
      <c r="R285" s="86"/>
    </row>
    <row r="286" spans="1:18">
      <c r="A286" s="86"/>
      <c r="B286" s="86"/>
      <c r="C286" s="86"/>
      <c r="D286" s="86"/>
      <c r="E286" s="86"/>
      <c r="F286" s="86"/>
      <c r="G286" s="86"/>
      <c r="H286" s="86"/>
      <c r="I286" s="86"/>
      <c r="J286" s="86"/>
      <c r="K286" s="86"/>
      <c r="L286" s="86"/>
      <c r="M286" s="86"/>
      <c r="N286" s="86"/>
      <c r="O286" s="86"/>
      <c r="P286" s="86"/>
      <c r="Q286" s="86"/>
      <c r="R286" s="86"/>
    </row>
    <row r="287" spans="1:18">
      <c r="A287" s="86"/>
      <c r="B287" s="86"/>
      <c r="C287" s="86"/>
      <c r="D287" s="86"/>
      <c r="E287" s="86"/>
      <c r="F287" s="86"/>
      <c r="G287" s="86"/>
      <c r="H287" s="86"/>
      <c r="I287" s="86"/>
      <c r="J287" s="86"/>
      <c r="K287" s="86"/>
      <c r="L287" s="86"/>
      <c r="M287" s="86"/>
      <c r="N287" s="86"/>
      <c r="O287" s="86"/>
      <c r="P287" s="86"/>
      <c r="Q287" s="86"/>
      <c r="R287" s="86"/>
    </row>
    <row r="288" spans="1:18">
      <c r="A288" s="86"/>
      <c r="B288" s="86"/>
      <c r="C288" s="86"/>
      <c r="D288" s="86"/>
      <c r="E288" s="86"/>
      <c r="F288" s="86"/>
      <c r="G288" s="86"/>
      <c r="H288" s="86"/>
      <c r="I288" s="86"/>
      <c r="J288" s="86"/>
      <c r="K288" s="86"/>
      <c r="L288" s="86"/>
      <c r="M288" s="86"/>
      <c r="N288" s="86"/>
      <c r="O288" s="86"/>
      <c r="P288" s="86"/>
      <c r="Q288" s="86"/>
      <c r="R288" s="86"/>
    </row>
    <row r="289" spans="1:18">
      <c r="A289" s="86"/>
      <c r="B289" s="86"/>
      <c r="C289" s="86"/>
      <c r="D289" s="86"/>
      <c r="E289" s="86"/>
      <c r="F289" s="86"/>
      <c r="G289" s="86"/>
      <c r="H289" s="86"/>
      <c r="I289" s="86"/>
      <c r="J289" s="86"/>
      <c r="K289" s="86"/>
      <c r="L289" s="86"/>
      <c r="M289" s="86"/>
      <c r="N289" s="86"/>
      <c r="O289" s="86"/>
      <c r="P289" s="86"/>
      <c r="Q289" s="86"/>
      <c r="R289" s="86"/>
    </row>
    <row r="290" spans="1:18">
      <c r="A290" s="86"/>
      <c r="B290" s="86"/>
      <c r="C290" s="86"/>
      <c r="D290" s="86"/>
      <c r="E290" s="86"/>
      <c r="F290" s="86"/>
      <c r="G290" s="86"/>
      <c r="H290" s="86"/>
      <c r="I290" s="86"/>
      <c r="J290" s="86"/>
      <c r="K290" s="86"/>
      <c r="L290" s="86"/>
      <c r="M290" s="86"/>
      <c r="N290" s="86"/>
      <c r="O290" s="86"/>
      <c r="P290" s="86"/>
      <c r="Q290" s="86"/>
      <c r="R290" s="86"/>
    </row>
    <row r="291" spans="1:18">
      <c r="A291" s="86"/>
      <c r="B291" s="86"/>
      <c r="C291" s="86"/>
      <c r="D291" s="86"/>
      <c r="E291" s="86"/>
      <c r="F291" s="86"/>
      <c r="G291" s="86"/>
      <c r="H291" s="86"/>
      <c r="I291" s="86"/>
      <c r="J291" s="86"/>
      <c r="K291" s="86"/>
      <c r="L291" s="86"/>
      <c r="M291" s="86"/>
      <c r="N291" s="86"/>
      <c r="O291" s="86"/>
      <c r="P291" s="86"/>
      <c r="Q291" s="86"/>
      <c r="R291" s="86"/>
    </row>
    <row r="292" spans="1:18">
      <c r="A292" s="86"/>
      <c r="B292" s="86"/>
      <c r="C292" s="86"/>
      <c r="D292" s="86"/>
      <c r="E292" s="86"/>
      <c r="F292" s="86"/>
      <c r="G292" s="86"/>
      <c r="H292" s="86"/>
      <c r="I292" s="86"/>
      <c r="J292" s="86"/>
      <c r="K292" s="86"/>
      <c r="L292" s="86"/>
      <c r="M292" s="86"/>
      <c r="N292" s="86"/>
      <c r="O292" s="86"/>
      <c r="P292" s="86"/>
      <c r="Q292" s="86"/>
      <c r="R292" s="86"/>
    </row>
    <row r="293" spans="1:18">
      <c r="A293" s="86"/>
      <c r="B293" s="86"/>
      <c r="C293" s="86"/>
      <c r="D293" s="86"/>
      <c r="E293" s="86"/>
      <c r="F293" s="86"/>
      <c r="G293" s="86"/>
      <c r="H293" s="86"/>
      <c r="I293" s="86"/>
      <c r="J293" s="86"/>
      <c r="K293" s="86"/>
      <c r="L293" s="86"/>
      <c r="M293" s="86"/>
      <c r="N293" s="86"/>
      <c r="O293" s="86"/>
      <c r="P293" s="86"/>
      <c r="Q293" s="86"/>
      <c r="R293" s="86"/>
    </row>
    <row r="294" spans="1:18">
      <c r="A294" s="86"/>
      <c r="B294" s="86"/>
      <c r="C294" s="86"/>
      <c r="D294" s="86"/>
      <c r="E294" s="86"/>
      <c r="F294" s="86"/>
      <c r="G294" s="86"/>
      <c r="H294" s="86"/>
      <c r="I294" s="86"/>
      <c r="J294" s="86"/>
      <c r="K294" s="86"/>
      <c r="L294" s="86"/>
      <c r="M294" s="86"/>
      <c r="N294" s="86"/>
      <c r="O294" s="86"/>
      <c r="P294" s="86"/>
      <c r="Q294" s="86"/>
      <c r="R294" s="86"/>
    </row>
    <row r="295" spans="1:18">
      <c r="A295" s="86"/>
      <c r="B295" s="86"/>
      <c r="C295" s="86"/>
      <c r="D295" s="86"/>
      <c r="E295" s="86"/>
      <c r="F295" s="86"/>
      <c r="G295" s="86"/>
      <c r="H295" s="86"/>
      <c r="I295" s="86"/>
      <c r="J295" s="86"/>
      <c r="K295" s="86"/>
      <c r="L295" s="86"/>
      <c r="M295" s="86"/>
      <c r="N295" s="86"/>
      <c r="O295" s="86"/>
      <c r="P295" s="86"/>
      <c r="Q295" s="86"/>
      <c r="R295" s="86"/>
    </row>
    <row r="296" spans="1:18">
      <c r="A296" s="86"/>
      <c r="B296" s="86"/>
      <c r="C296" s="86"/>
      <c r="D296" s="86"/>
      <c r="E296" s="86"/>
      <c r="F296" s="86"/>
      <c r="G296" s="86"/>
      <c r="H296" s="86"/>
      <c r="I296" s="86"/>
      <c r="J296" s="86"/>
      <c r="K296" s="86"/>
      <c r="L296" s="86"/>
      <c r="M296" s="86"/>
      <c r="N296" s="86"/>
      <c r="O296" s="86"/>
      <c r="P296" s="86"/>
      <c r="Q296" s="86"/>
      <c r="R296" s="86"/>
    </row>
    <row r="297" spans="1:18">
      <c r="A297" s="86"/>
      <c r="B297" s="86"/>
      <c r="C297" s="86"/>
      <c r="D297" s="86"/>
      <c r="E297" s="86"/>
      <c r="F297" s="86"/>
      <c r="G297" s="86"/>
      <c r="H297" s="86"/>
      <c r="I297" s="86"/>
      <c r="J297" s="86"/>
      <c r="K297" s="86"/>
      <c r="L297" s="86"/>
      <c r="M297" s="86"/>
      <c r="N297" s="86"/>
      <c r="O297" s="86"/>
      <c r="P297" s="86"/>
      <c r="Q297" s="86"/>
      <c r="R297" s="86"/>
    </row>
    <row r="298" spans="1:18">
      <c r="A298" s="86"/>
      <c r="B298" s="86"/>
      <c r="C298" s="86"/>
      <c r="D298" s="86"/>
      <c r="E298" s="86"/>
      <c r="F298" s="86"/>
      <c r="G298" s="86"/>
      <c r="H298" s="86"/>
      <c r="I298" s="86"/>
      <c r="J298" s="86"/>
      <c r="K298" s="86"/>
      <c r="L298" s="86"/>
      <c r="M298" s="86"/>
      <c r="N298" s="86"/>
      <c r="O298" s="86"/>
      <c r="P298" s="86"/>
      <c r="Q298" s="86"/>
      <c r="R298" s="86"/>
    </row>
    <row r="299" spans="1:18">
      <c r="A299" s="86"/>
      <c r="B299" s="86"/>
      <c r="C299" s="86"/>
      <c r="D299" s="86"/>
      <c r="E299" s="86"/>
      <c r="F299" s="86"/>
      <c r="G299" s="86"/>
      <c r="H299" s="86"/>
      <c r="I299" s="86"/>
      <c r="J299" s="86"/>
      <c r="K299" s="86"/>
      <c r="L299" s="86"/>
      <c r="M299" s="86"/>
      <c r="N299" s="86"/>
      <c r="O299" s="86"/>
      <c r="P299" s="86"/>
      <c r="Q299" s="86"/>
      <c r="R299" s="86"/>
    </row>
    <row r="300" spans="1:18">
      <c r="A300" s="86"/>
      <c r="B300" s="86"/>
      <c r="C300" s="86"/>
      <c r="D300" s="86"/>
      <c r="E300" s="86"/>
      <c r="F300" s="86"/>
      <c r="G300" s="86"/>
      <c r="H300" s="86"/>
      <c r="I300" s="86"/>
      <c r="J300" s="86"/>
      <c r="K300" s="86"/>
      <c r="L300" s="86"/>
      <c r="M300" s="86"/>
      <c r="N300" s="86"/>
      <c r="O300" s="86"/>
      <c r="P300" s="86"/>
      <c r="Q300" s="86"/>
      <c r="R300" s="86"/>
    </row>
    <row r="301" spans="1:18">
      <c r="A301" s="86"/>
      <c r="B301" s="86"/>
      <c r="C301" s="86"/>
      <c r="D301" s="86"/>
      <c r="E301" s="86"/>
      <c r="F301" s="86"/>
      <c r="G301" s="86"/>
      <c r="H301" s="86"/>
      <c r="I301" s="86"/>
      <c r="J301" s="86"/>
      <c r="K301" s="86"/>
      <c r="L301" s="86"/>
      <c r="M301" s="86"/>
      <c r="N301" s="86"/>
      <c r="O301" s="86"/>
      <c r="P301" s="86"/>
      <c r="Q301" s="86"/>
      <c r="R301" s="86"/>
    </row>
    <row r="302" spans="1:18">
      <c r="A302" s="86"/>
      <c r="B302" s="86"/>
      <c r="C302" s="86"/>
      <c r="D302" s="86"/>
      <c r="E302" s="86"/>
      <c r="F302" s="86"/>
      <c r="G302" s="86"/>
      <c r="H302" s="86"/>
      <c r="I302" s="86"/>
      <c r="J302" s="86"/>
      <c r="K302" s="86"/>
      <c r="L302" s="86"/>
      <c r="M302" s="86"/>
      <c r="N302" s="86"/>
      <c r="O302" s="86"/>
      <c r="P302" s="86"/>
      <c r="Q302" s="86"/>
      <c r="R302" s="86"/>
    </row>
    <row r="303" spans="1:18">
      <c r="A303" s="86"/>
      <c r="B303" s="86"/>
      <c r="C303" s="86"/>
      <c r="D303" s="86"/>
      <c r="E303" s="86"/>
      <c r="F303" s="86"/>
      <c r="G303" s="86"/>
      <c r="H303" s="86"/>
      <c r="I303" s="86"/>
      <c r="J303" s="86"/>
      <c r="K303" s="86"/>
      <c r="L303" s="86"/>
      <c r="M303" s="86"/>
      <c r="N303" s="86"/>
      <c r="O303" s="86"/>
      <c r="P303" s="86"/>
      <c r="Q303" s="86"/>
      <c r="R303" s="86"/>
    </row>
    <row r="304" spans="1:18">
      <c r="A304" s="86"/>
      <c r="B304" s="86"/>
      <c r="C304" s="86"/>
      <c r="D304" s="86"/>
      <c r="E304" s="86"/>
      <c r="F304" s="86"/>
      <c r="G304" s="86"/>
      <c r="H304" s="86"/>
      <c r="I304" s="86"/>
      <c r="J304" s="86"/>
      <c r="K304" s="86"/>
      <c r="L304" s="86"/>
      <c r="M304" s="86"/>
      <c r="N304" s="86"/>
      <c r="O304" s="86"/>
      <c r="P304" s="86"/>
      <c r="Q304" s="86"/>
      <c r="R304" s="86"/>
    </row>
    <row r="305" spans="1:18">
      <c r="A305" s="86"/>
      <c r="B305" s="86"/>
      <c r="C305" s="86"/>
      <c r="D305" s="86"/>
      <c r="E305" s="86"/>
      <c r="F305" s="86"/>
      <c r="G305" s="86"/>
      <c r="H305" s="86"/>
      <c r="I305" s="86"/>
      <c r="J305" s="86"/>
      <c r="K305" s="86"/>
      <c r="L305" s="86"/>
      <c r="M305" s="86"/>
      <c r="N305" s="86"/>
      <c r="O305" s="86"/>
      <c r="P305" s="86"/>
      <c r="Q305" s="86"/>
      <c r="R305" s="86"/>
    </row>
    <row r="306" spans="1:18">
      <c r="A306" s="86"/>
      <c r="B306" s="86"/>
      <c r="C306" s="86"/>
      <c r="D306" s="86"/>
      <c r="E306" s="86"/>
      <c r="F306" s="86"/>
      <c r="G306" s="86"/>
      <c r="H306" s="86"/>
      <c r="I306" s="86"/>
      <c r="J306" s="86"/>
      <c r="K306" s="86"/>
      <c r="L306" s="86"/>
      <c r="M306" s="86"/>
      <c r="N306" s="86"/>
      <c r="O306" s="86"/>
      <c r="P306" s="86"/>
      <c r="Q306" s="86"/>
      <c r="R306" s="86"/>
    </row>
    <row r="307" spans="1:18">
      <c r="A307" s="86"/>
      <c r="B307" s="86"/>
      <c r="C307" s="86"/>
      <c r="D307" s="86"/>
      <c r="E307" s="86"/>
      <c r="F307" s="86"/>
      <c r="G307" s="86"/>
      <c r="H307" s="86"/>
      <c r="I307" s="86"/>
      <c r="J307" s="86"/>
      <c r="K307" s="86"/>
      <c r="L307" s="86"/>
      <c r="M307" s="86"/>
      <c r="N307" s="86"/>
      <c r="O307" s="86"/>
      <c r="P307" s="86"/>
      <c r="Q307" s="86"/>
      <c r="R307" s="86"/>
    </row>
    <row r="308" spans="1:18">
      <c r="A308" s="86"/>
      <c r="B308" s="86"/>
      <c r="C308" s="86"/>
      <c r="D308" s="86"/>
      <c r="E308" s="86"/>
      <c r="F308" s="86"/>
      <c r="G308" s="86"/>
      <c r="H308" s="86"/>
      <c r="I308" s="86"/>
      <c r="J308" s="86"/>
      <c r="K308" s="86"/>
      <c r="L308" s="86"/>
      <c r="M308" s="86"/>
      <c r="N308" s="86"/>
      <c r="O308" s="86"/>
      <c r="P308" s="86"/>
      <c r="Q308" s="86"/>
      <c r="R308" s="86"/>
    </row>
    <row r="309" spans="1:18">
      <c r="A309" s="86"/>
      <c r="B309" s="86"/>
      <c r="C309" s="86"/>
      <c r="D309" s="86"/>
      <c r="E309" s="86"/>
      <c r="F309" s="86"/>
      <c r="G309" s="86"/>
      <c r="H309" s="86"/>
      <c r="I309" s="86"/>
      <c r="J309" s="86"/>
      <c r="K309" s="86"/>
      <c r="L309" s="86"/>
      <c r="M309" s="86"/>
      <c r="N309" s="86"/>
      <c r="O309" s="86"/>
      <c r="P309" s="86"/>
      <c r="Q309" s="86"/>
      <c r="R309" s="86"/>
    </row>
    <row r="310" spans="1:18">
      <c r="A310" s="86"/>
      <c r="B310" s="86"/>
      <c r="C310" s="86"/>
      <c r="D310" s="86"/>
      <c r="E310" s="86"/>
      <c r="F310" s="86"/>
      <c r="G310" s="86"/>
      <c r="H310" s="86"/>
      <c r="I310" s="86"/>
      <c r="J310" s="86"/>
      <c r="K310" s="86"/>
      <c r="L310" s="86"/>
      <c r="M310" s="86"/>
      <c r="N310" s="86"/>
      <c r="O310" s="86"/>
      <c r="P310" s="86"/>
      <c r="Q310" s="86"/>
      <c r="R310" s="86"/>
    </row>
    <row r="311" spans="1:18">
      <c r="A311" s="86"/>
      <c r="B311" s="86"/>
      <c r="C311" s="86"/>
      <c r="D311" s="86"/>
      <c r="E311" s="86"/>
      <c r="F311" s="86"/>
      <c r="G311" s="86"/>
      <c r="H311" s="86"/>
      <c r="I311" s="86"/>
      <c r="J311" s="86"/>
      <c r="K311" s="86"/>
      <c r="L311" s="86"/>
      <c r="M311" s="86"/>
      <c r="N311" s="86"/>
      <c r="O311" s="86"/>
      <c r="P311" s="86"/>
      <c r="Q311" s="86"/>
      <c r="R311" s="86"/>
    </row>
    <row r="312" spans="1:18">
      <c r="A312" s="86"/>
      <c r="B312" s="86"/>
      <c r="C312" s="86"/>
      <c r="D312" s="86"/>
      <c r="E312" s="86"/>
      <c r="F312" s="86"/>
      <c r="G312" s="86"/>
      <c r="H312" s="86"/>
      <c r="I312" s="86"/>
      <c r="J312" s="86"/>
      <c r="K312" s="86"/>
      <c r="L312" s="86"/>
      <c r="M312" s="86"/>
      <c r="N312" s="86"/>
      <c r="O312" s="86"/>
      <c r="P312" s="86"/>
      <c r="Q312" s="86"/>
      <c r="R312" s="86"/>
    </row>
    <row r="313" spans="1:18">
      <c r="A313" s="86"/>
      <c r="B313" s="86"/>
      <c r="C313" s="86"/>
      <c r="D313" s="86"/>
      <c r="E313" s="86"/>
      <c r="F313" s="86"/>
      <c r="G313" s="86"/>
      <c r="H313" s="86"/>
      <c r="I313" s="86"/>
      <c r="J313" s="86"/>
      <c r="K313" s="86"/>
      <c r="L313" s="86"/>
      <c r="M313" s="86"/>
      <c r="N313" s="86"/>
      <c r="O313" s="86"/>
      <c r="P313" s="86"/>
      <c r="Q313" s="86"/>
      <c r="R313" s="86"/>
    </row>
    <row r="314" spans="1:18">
      <c r="A314" s="86"/>
      <c r="B314" s="86"/>
      <c r="C314" s="86"/>
      <c r="D314" s="86"/>
      <c r="E314" s="86"/>
      <c r="F314" s="86"/>
      <c r="G314" s="86"/>
      <c r="H314" s="86"/>
      <c r="I314" s="86"/>
      <c r="J314" s="86"/>
      <c r="K314" s="86"/>
      <c r="L314" s="86"/>
      <c r="M314" s="86"/>
      <c r="N314" s="86"/>
      <c r="O314" s="86"/>
      <c r="P314" s="86"/>
      <c r="Q314" s="86"/>
      <c r="R314" s="86"/>
    </row>
    <row r="315" spans="1:18">
      <c r="A315" s="86"/>
      <c r="B315" s="86"/>
      <c r="C315" s="86"/>
      <c r="D315" s="86"/>
      <c r="E315" s="86"/>
      <c r="F315" s="86"/>
      <c r="G315" s="86"/>
      <c r="H315" s="86"/>
      <c r="I315" s="86"/>
      <c r="J315" s="86"/>
      <c r="K315" s="86"/>
      <c r="L315" s="86"/>
      <c r="M315" s="86"/>
      <c r="N315" s="86"/>
      <c r="O315" s="86"/>
      <c r="P315" s="86"/>
      <c r="Q315" s="86"/>
      <c r="R315" s="86"/>
    </row>
    <row r="316" spans="1:18">
      <c r="A316" s="86"/>
      <c r="B316" s="86"/>
      <c r="C316" s="86"/>
      <c r="D316" s="86"/>
      <c r="E316" s="86"/>
      <c r="F316" s="86"/>
      <c r="G316" s="86"/>
      <c r="H316" s="86"/>
      <c r="I316" s="86"/>
      <c r="J316" s="86"/>
      <c r="K316" s="86"/>
      <c r="L316" s="86"/>
      <c r="M316" s="86"/>
      <c r="N316" s="86"/>
      <c r="O316" s="86"/>
      <c r="P316" s="86"/>
      <c r="Q316" s="86"/>
      <c r="R316" s="86"/>
    </row>
    <row r="317" spans="1:18">
      <c r="A317" s="86"/>
      <c r="B317" s="86"/>
      <c r="C317" s="86"/>
      <c r="D317" s="86"/>
      <c r="E317" s="86"/>
      <c r="F317" s="86"/>
      <c r="G317" s="86"/>
      <c r="H317" s="86"/>
      <c r="I317" s="86"/>
      <c r="J317" s="86"/>
      <c r="K317" s="86"/>
      <c r="L317" s="86"/>
      <c r="M317" s="86"/>
      <c r="N317" s="86"/>
      <c r="O317" s="86"/>
      <c r="P317" s="86"/>
      <c r="Q317" s="86"/>
      <c r="R317" s="86"/>
    </row>
    <row r="318" spans="1:18">
      <c r="A318" s="86"/>
      <c r="B318" s="86"/>
      <c r="C318" s="86"/>
      <c r="D318" s="86"/>
      <c r="E318" s="86"/>
      <c r="F318" s="86"/>
      <c r="G318" s="86"/>
      <c r="H318" s="86"/>
      <c r="I318" s="86"/>
      <c r="J318" s="86"/>
      <c r="K318" s="86"/>
      <c r="L318" s="86"/>
      <c r="M318" s="86"/>
      <c r="N318" s="86"/>
      <c r="O318" s="86"/>
      <c r="P318" s="86"/>
      <c r="Q318" s="86"/>
      <c r="R318" s="86"/>
    </row>
    <row r="319" spans="1:18">
      <c r="A319" s="86"/>
      <c r="B319" s="86"/>
      <c r="C319" s="86"/>
      <c r="D319" s="86"/>
      <c r="E319" s="86"/>
      <c r="F319" s="86"/>
      <c r="G319" s="86"/>
      <c r="H319" s="86"/>
      <c r="I319" s="86"/>
      <c r="J319" s="86"/>
      <c r="K319" s="86"/>
      <c r="L319" s="86"/>
      <c r="M319" s="86"/>
      <c r="N319" s="86"/>
      <c r="O319" s="86"/>
      <c r="P319" s="86"/>
      <c r="Q319" s="86"/>
      <c r="R319" s="86"/>
    </row>
    <row r="320" spans="1:18">
      <c r="A320" s="86"/>
      <c r="B320" s="86"/>
      <c r="C320" s="86"/>
      <c r="D320" s="86"/>
      <c r="E320" s="86"/>
      <c r="F320" s="86"/>
      <c r="G320" s="86"/>
      <c r="H320" s="86"/>
      <c r="I320" s="86"/>
      <c r="J320" s="86"/>
      <c r="K320" s="86"/>
      <c r="L320" s="86"/>
      <c r="M320" s="86"/>
      <c r="N320" s="86"/>
      <c r="O320" s="86"/>
      <c r="P320" s="86"/>
      <c r="Q320" s="86"/>
      <c r="R320" s="86"/>
    </row>
    <row r="321" spans="1:18">
      <c r="A321" s="86"/>
      <c r="B321" s="86"/>
      <c r="C321" s="86"/>
      <c r="D321" s="86"/>
      <c r="E321" s="86"/>
      <c r="F321" s="86"/>
      <c r="G321" s="86"/>
      <c r="H321" s="86"/>
      <c r="I321" s="86"/>
      <c r="J321" s="86"/>
      <c r="K321" s="86"/>
      <c r="L321" s="86"/>
      <c r="M321" s="86"/>
      <c r="N321" s="86"/>
      <c r="O321" s="86"/>
      <c r="P321" s="86"/>
      <c r="Q321" s="86"/>
      <c r="R321" s="86"/>
    </row>
    <row r="322" spans="1:18">
      <c r="A322" s="86"/>
      <c r="B322" s="86"/>
      <c r="C322" s="86"/>
      <c r="D322" s="86"/>
      <c r="E322" s="86"/>
      <c r="F322" s="86"/>
      <c r="G322" s="86"/>
      <c r="H322" s="86"/>
      <c r="I322" s="86"/>
      <c r="J322" s="86"/>
      <c r="K322" s="86"/>
      <c r="L322" s="86"/>
      <c r="M322" s="86"/>
      <c r="N322" s="86"/>
      <c r="O322" s="86"/>
      <c r="P322" s="86"/>
      <c r="Q322" s="86"/>
      <c r="R322" s="86"/>
    </row>
    <row r="323" spans="1:18">
      <c r="A323" s="86"/>
      <c r="B323" s="86"/>
      <c r="C323" s="86"/>
      <c r="D323" s="86"/>
      <c r="E323" s="86"/>
      <c r="F323" s="86"/>
      <c r="G323" s="86"/>
      <c r="H323" s="86"/>
      <c r="I323" s="86"/>
      <c r="J323" s="86"/>
      <c r="K323" s="86"/>
      <c r="L323" s="86"/>
      <c r="M323" s="86"/>
      <c r="N323" s="86"/>
      <c r="O323" s="86"/>
      <c r="P323" s="86"/>
      <c r="Q323" s="86"/>
      <c r="R323" s="86"/>
    </row>
    <row r="324" spans="1:18">
      <c r="A324" s="86"/>
      <c r="B324" s="86"/>
      <c r="C324" s="86"/>
      <c r="D324" s="86"/>
      <c r="E324" s="86"/>
      <c r="F324" s="86"/>
      <c r="G324" s="86"/>
      <c r="H324" s="86"/>
      <c r="I324" s="86"/>
      <c r="J324" s="86"/>
      <c r="K324" s="86"/>
      <c r="L324" s="86"/>
      <c r="M324" s="86"/>
      <c r="N324" s="86"/>
      <c r="O324" s="86"/>
      <c r="P324" s="86"/>
      <c r="Q324" s="86"/>
      <c r="R324" s="86"/>
    </row>
    <row r="325" spans="1:18">
      <c r="A325" s="86"/>
      <c r="B325" s="86"/>
      <c r="C325" s="86"/>
      <c r="D325" s="86"/>
      <c r="E325" s="86"/>
      <c r="F325" s="86"/>
      <c r="G325" s="86"/>
      <c r="H325" s="86"/>
      <c r="I325" s="86"/>
      <c r="J325" s="86"/>
      <c r="K325" s="86"/>
      <c r="L325" s="86"/>
      <c r="M325" s="86"/>
      <c r="N325" s="86"/>
      <c r="O325" s="86"/>
      <c r="P325" s="86"/>
      <c r="Q325" s="86"/>
      <c r="R325" s="86"/>
    </row>
    <row r="326" spans="1:18">
      <c r="A326" s="86"/>
      <c r="B326" s="86"/>
      <c r="C326" s="86"/>
      <c r="D326" s="86"/>
      <c r="E326" s="86"/>
      <c r="F326" s="86"/>
      <c r="G326" s="86"/>
      <c r="H326" s="86"/>
      <c r="I326" s="86"/>
      <c r="J326" s="86"/>
      <c r="K326" s="86"/>
      <c r="L326" s="86"/>
      <c r="M326" s="86"/>
      <c r="N326" s="86"/>
      <c r="O326" s="86"/>
      <c r="P326" s="86"/>
      <c r="Q326" s="86"/>
      <c r="R326" s="86"/>
    </row>
    <row r="327" spans="1:18">
      <c r="A327" s="86"/>
      <c r="B327" s="86"/>
      <c r="C327" s="86"/>
      <c r="D327" s="86"/>
      <c r="E327" s="86"/>
      <c r="F327" s="86"/>
      <c r="G327" s="86"/>
      <c r="H327" s="86"/>
      <c r="I327" s="86"/>
      <c r="J327" s="86"/>
      <c r="K327" s="86"/>
      <c r="L327" s="86"/>
      <c r="M327" s="86"/>
      <c r="N327" s="86"/>
      <c r="O327" s="86"/>
      <c r="P327" s="86"/>
      <c r="Q327" s="86"/>
      <c r="R327" s="86"/>
    </row>
    <row r="328" spans="1:18">
      <c r="A328" s="86"/>
      <c r="B328" s="86"/>
      <c r="C328" s="86"/>
      <c r="D328" s="86"/>
      <c r="E328" s="86"/>
      <c r="F328" s="86"/>
      <c r="G328" s="86"/>
      <c r="H328" s="86"/>
      <c r="I328" s="86"/>
      <c r="J328" s="86"/>
      <c r="K328" s="86"/>
      <c r="L328" s="86"/>
      <c r="M328" s="86"/>
      <c r="N328" s="86"/>
      <c r="O328" s="86"/>
      <c r="P328" s="86"/>
      <c r="Q328" s="86"/>
      <c r="R328" s="86"/>
    </row>
    <row r="329" spans="1:18">
      <c r="A329" s="86"/>
      <c r="B329" s="86"/>
      <c r="C329" s="86"/>
      <c r="D329" s="86"/>
      <c r="E329" s="86"/>
      <c r="F329" s="86"/>
      <c r="G329" s="86"/>
      <c r="H329" s="86"/>
      <c r="I329" s="86"/>
      <c r="J329" s="86"/>
      <c r="K329" s="86"/>
      <c r="L329" s="86"/>
      <c r="M329" s="86"/>
      <c r="N329" s="86"/>
      <c r="O329" s="86"/>
      <c r="P329" s="86"/>
      <c r="Q329" s="86"/>
      <c r="R329" s="86"/>
    </row>
    <row r="330" spans="1:18">
      <c r="A330" s="86"/>
      <c r="B330" s="86"/>
      <c r="C330" s="86"/>
      <c r="D330" s="86"/>
      <c r="E330" s="86"/>
      <c r="F330" s="86"/>
      <c r="G330" s="86"/>
      <c r="H330" s="86"/>
      <c r="I330" s="86"/>
      <c r="J330" s="86"/>
      <c r="K330" s="86"/>
      <c r="L330" s="86"/>
      <c r="M330" s="86"/>
      <c r="N330" s="86"/>
      <c r="O330" s="86"/>
      <c r="P330" s="86"/>
      <c r="Q330" s="86"/>
      <c r="R330" s="86"/>
    </row>
    <row r="331" spans="1:18">
      <c r="A331" s="86"/>
      <c r="B331" s="86"/>
      <c r="C331" s="86"/>
      <c r="D331" s="86"/>
      <c r="E331" s="86"/>
      <c r="F331" s="86"/>
      <c r="G331" s="86"/>
      <c r="H331" s="86"/>
      <c r="I331" s="86"/>
      <c r="J331" s="86"/>
      <c r="K331" s="86"/>
      <c r="L331" s="86"/>
      <c r="M331" s="86"/>
      <c r="N331" s="86"/>
      <c r="O331" s="86"/>
      <c r="P331" s="86"/>
      <c r="Q331" s="86"/>
      <c r="R331" s="86"/>
    </row>
    <row r="332" spans="1:18">
      <c r="A332" s="86"/>
      <c r="B332" s="86"/>
      <c r="C332" s="86"/>
      <c r="D332" s="86"/>
      <c r="E332" s="86"/>
      <c r="F332" s="86"/>
      <c r="G332" s="86"/>
      <c r="H332" s="86"/>
      <c r="I332" s="86"/>
      <c r="J332" s="86"/>
      <c r="K332" s="86"/>
      <c r="L332" s="86"/>
      <c r="M332" s="86"/>
      <c r="N332" s="86"/>
      <c r="O332" s="86"/>
      <c r="P332" s="86"/>
      <c r="Q332" s="86"/>
      <c r="R332" s="86"/>
    </row>
    <row r="333" spans="1:18">
      <c r="A333" s="86"/>
      <c r="B333" s="86"/>
      <c r="C333" s="86"/>
      <c r="D333" s="86"/>
      <c r="E333" s="86"/>
      <c r="F333" s="86"/>
      <c r="G333" s="86"/>
      <c r="H333" s="86"/>
      <c r="I333" s="86"/>
      <c r="J333" s="86"/>
      <c r="K333" s="86"/>
      <c r="L333" s="86"/>
      <c r="M333" s="86"/>
      <c r="N333" s="86"/>
      <c r="O333" s="86"/>
      <c r="P333" s="86"/>
      <c r="Q333" s="86"/>
      <c r="R333" s="86"/>
    </row>
    <row r="334" spans="1:18">
      <c r="A334" s="86"/>
      <c r="B334" s="86"/>
      <c r="C334" s="86"/>
      <c r="D334" s="86"/>
      <c r="E334" s="86"/>
      <c r="F334" s="86"/>
      <c r="G334" s="86"/>
      <c r="H334" s="86"/>
      <c r="I334" s="86"/>
      <c r="J334" s="86"/>
      <c r="K334" s="86"/>
      <c r="L334" s="86"/>
      <c r="M334" s="86"/>
      <c r="N334" s="86"/>
      <c r="O334" s="86"/>
      <c r="P334" s="86"/>
      <c r="Q334" s="86"/>
      <c r="R334" s="86"/>
    </row>
    <row r="335" spans="1:18">
      <c r="A335" s="86"/>
      <c r="B335" s="86"/>
      <c r="C335" s="86"/>
      <c r="D335" s="86"/>
      <c r="E335" s="86"/>
      <c r="F335" s="86"/>
      <c r="G335" s="86"/>
      <c r="H335" s="86"/>
      <c r="I335" s="86"/>
      <c r="J335" s="86"/>
      <c r="K335" s="86"/>
      <c r="L335" s="86"/>
      <c r="M335" s="86"/>
      <c r="N335" s="86"/>
      <c r="O335" s="86"/>
      <c r="P335" s="86"/>
      <c r="Q335" s="86"/>
      <c r="R335" s="86"/>
    </row>
    <row r="336" spans="1:18">
      <c r="A336" s="86"/>
      <c r="B336" s="86"/>
      <c r="C336" s="86"/>
      <c r="D336" s="86"/>
      <c r="E336" s="86"/>
      <c r="F336" s="86"/>
      <c r="G336" s="86"/>
      <c r="H336" s="86"/>
      <c r="I336" s="86"/>
      <c r="J336" s="86"/>
      <c r="K336" s="86"/>
      <c r="L336" s="86"/>
      <c r="M336" s="86"/>
      <c r="N336" s="86"/>
      <c r="O336" s="86"/>
      <c r="P336" s="86"/>
      <c r="Q336" s="86"/>
      <c r="R336" s="86"/>
    </row>
    <row r="337" spans="1:18">
      <c r="A337" s="86"/>
      <c r="B337" s="86"/>
      <c r="C337" s="86"/>
      <c r="D337" s="86"/>
      <c r="E337" s="86"/>
      <c r="F337" s="86"/>
      <c r="G337" s="86"/>
      <c r="H337" s="86"/>
      <c r="I337" s="86"/>
      <c r="J337" s="86"/>
      <c r="K337" s="86"/>
      <c r="L337" s="86"/>
      <c r="M337" s="86"/>
      <c r="N337" s="86"/>
      <c r="O337" s="86"/>
      <c r="P337" s="86"/>
      <c r="Q337" s="86"/>
      <c r="R337" s="86"/>
    </row>
    <row r="338" spans="1:18">
      <c r="A338" s="86"/>
      <c r="B338" s="86"/>
      <c r="C338" s="86"/>
      <c r="D338" s="86"/>
      <c r="E338" s="86"/>
      <c r="F338" s="86"/>
      <c r="G338" s="86"/>
      <c r="H338" s="86"/>
      <c r="I338" s="86"/>
      <c r="J338" s="86"/>
      <c r="K338" s="86"/>
      <c r="L338" s="86"/>
      <c r="M338" s="86"/>
      <c r="N338" s="86"/>
      <c r="O338" s="86"/>
      <c r="P338" s="86"/>
      <c r="Q338" s="86"/>
      <c r="R338" s="86"/>
    </row>
    <row r="339" spans="1:18">
      <c r="A339" s="86"/>
      <c r="B339" s="86"/>
      <c r="C339" s="86"/>
      <c r="D339" s="86"/>
      <c r="E339" s="86"/>
      <c r="F339" s="86"/>
      <c r="G339" s="86"/>
      <c r="H339" s="86"/>
      <c r="I339" s="86"/>
      <c r="J339" s="86"/>
      <c r="K339" s="86"/>
      <c r="L339" s="86"/>
      <c r="M339" s="86"/>
      <c r="N339" s="86"/>
      <c r="O339" s="86"/>
      <c r="P339" s="86"/>
      <c r="Q339" s="86"/>
      <c r="R339" s="86"/>
    </row>
    <row r="340" spans="1:18">
      <c r="A340" s="86"/>
      <c r="B340" s="86"/>
      <c r="C340" s="86"/>
      <c r="D340" s="86"/>
      <c r="E340" s="86"/>
      <c r="F340" s="86"/>
      <c r="G340" s="86"/>
      <c r="H340" s="86"/>
      <c r="I340" s="86"/>
      <c r="J340" s="86"/>
      <c r="K340" s="86"/>
      <c r="L340" s="86"/>
      <c r="M340" s="86"/>
      <c r="N340" s="86"/>
      <c r="O340" s="86"/>
      <c r="P340" s="86"/>
      <c r="Q340" s="86"/>
      <c r="R340" s="86"/>
    </row>
    <row r="341" spans="1:18">
      <c r="A341" s="86"/>
      <c r="B341" s="86"/>
      <c r="C341" s="86"/>
      <c r="D341" s="86"/>
      <c r="E341" s="86"/>
      <c r="F341" s="86"/>
      <c r="G341" s="86"/>
      <c r="H341" s="86"/>
      <c r="I341" s="86"/>
      <c r="J341" s="86"/>
      <c r="K341" s="86"/>
      <c r="L341" s="86"/>
      <c r="M341" s="86"/>
      <c r="N341" s="86"/>
      <c r="O341" s="86"/>
      <c r="P341" s="86"/>
      <c r="Q341" s="86"/>
      <c r="R341" s="86"/>
    </row>
    <row r="342" spans="1:18">
      <c r="A342" s="86"/>
      <c r="B342" s="86"/>
      <c r="C342" s="86"/>
      <c r="D342" s="86"/>
      <c r="E342" s="86"/>
      <c r="F342" s="86"/>
      <c r="G342" s="86"/>
      <c r="H342" s="86"/>
      <c r="I342" s="86"/>
      <c r="J342" s="86"/>
      <c r="K342" s="86"/>
      <c r="L342" s="86"/>
      <c r="M342" s="86"/>
      <c r="N342" s="86"/>
      <c r="O342" s="86"/>
      <c r="P342" s="86"/>
      <c r="Q342" s="86"/>
      <c r="R342" s="86"/>
    </row>
    <row r="343" spans="1:18">
      <c r="A343" s="86"/>
      <c r="B343" s="86"/>
      <c r="C343" s="86"/>
      <c r="D343" s="86"/>
      <c r="E343" s="86"/>
      <c r="F343" s="86"/>
      <c r="G343" s="86"/>
      <c r="H343" s="86"/>
      <c r="I343" s="86"/>
      <c r="J343" s="86"/>
      <c r="K343" s="86"/>
      <c r="L343" s="86"/>
      <c r="M343" s="86"/>
      <c r="N343" s="86"/>
      <c r="O343" s="86"/>
      <c r="P343" s="86"/>
      <c r="Q343" s="86"/>
      <c r="R343" s="86"/>
    </row>
    <row r="344" spans="1:18">
      <c r="A344" s="86"/>
      <c r="B344" s="86"/>
      <c r="C344" s="86"/>
      <c r="D344" s="86"/>
      <c r="E344" s="86"/>
      <c r="F344" s="86"/>
      <c r="G344" s="86"/>
      <c r="H344" s="86"/>
      <c r="I344" s="86"/>
      <c r="J344" s="86"/>
      <c r="K344" s="86"/>
      <c r="L344" s="86"/>
      <c r="M344" s="86"/>
      <c r="N344" s="86"/>
      <c r="O344" s="86"/>
      <c r="P344" s="86"/>
      <c r="Q344" s="86"/>
      <c r="R344" s="86"/>
    </row>
    <row r="345" spans="1:18">
      <c r="A345" s="86"/>
      <c r="B345" s="86"/>
      <c r="C345" s="86"/>
      <c r="D345" s="86"/>
      <c r="E345" s="86"/>
      <c r="F345" s="86"/>
      <c r="G345" s="86"/>
      <c r="H345" s="86"/>
      <c r="I345" s="86"/>
      <c r="J345" s="86"/>
      <c r="K345" s="86"/>
      <c r="L345" s="86"/>
      <c r="M345" s="86"/>
      <c r="N345" s="86"/>
      <c r="O345" s="86"/>
      <c r="P345" s="86"/>
      <c r="Q345" s="86"/>
      <c r="R345" s="86"/>
    </row>
    <row r="346" spans="1:18">
      <c r="A346" s="86"/>
      <c r="B346" s="86"/>
      <c r="C346" s="86"/>
      <c r="D346" s="86"/>
      <c r="E346" s="86"/>
      <c r="F346" s="86"/>
      <c r="G346" s="86"/>
      <c r="H346" s="86"/>
      <c r="I346" s="86"/>
      <c r="J346" s="86"/>
      <c r="K346" s="86"/>
      <c r="L346" s="86"/>
      <c r="M346" s="86"/>
      <c r="N346" s="86"/>
      <c r="O346" s="86"/>
      <c r="P346" s="86"/>
      <c r="Q346" s="86"/>
      <c r="R346" s="86"/>
    </row>
    <row r="347" spans="1:18">
      <c r="A347" s="86"/>
      <c r="B347" s="86"/>
      <c r="C347" s="86"/>
      <c r="D347" s="86"/>
      <c r="E347" s="86"/>
      <c r="F347" s="86"/>
      <c r="G347" s="86"/>
      <c r="H347" s="86"/>
      <c r="I347" s="86"/>
      <c r="J347" s="86"/>
      <c r="K347" s="86"/>
      <c r="L347" s="86"/>
      <c r="M347" s="86"/>
      <c r="N347" s="86"/>
      <c r="O347" s="86"/>
      <c r="P347" s="86"/>
      <c r="Q347" s="86"/>
      <c r="R347" s="86"/>
    </row>
    <row r="348" spans="1:18">
      <c r="A348" s="86"/>
      <c r="B348" s="86"/>
      <c r="C348" s="86"/>
      <c r="D348" s="86"/>
      <c r="E348" s="86"/>
      <c r="F348" s="86"/>
      <c r="G348" s="86"/>
      <c r="H348" s="86"/>
      <c r="I348" s="86"/>
      <c r="J348" s="86"/>
      <c r="K348" s="86"/>
      <c r="L348" s="86"/>
      <c r="M348" s="86"/>
      <c r="N348" s="86"/>
      <c r="O348" s="86"/>
      <c r="P348" s="86"/>
      <c r="Q348" s="86"/>
      <c r="R348" s="86"/>
    </row>
    <row r="349" spans="1:18">
      <c r="A349" s="86"/>
      <c r="B349" s="86"/>
      <c r="C349" s="86"/>
      <c r="D349" s="86"/>
      <c r="E349" s="86"/>
      <c r="F349" s="86"/>
      <c r="G349" s="86"/>
      <c r="H349" s="86"/>
      <c r="I349" s="86"/>
      <c r="J349" s="86"/>
      <c r="K349" s="86"/>
      <c r="L349" s="86"/>
      <c r="M349" s="86"/>
      <c r="N349" s="86"/>
      <c r="O349" s="86"/>
      <c r="P349" s="86"/>
      <c r="Q349" s="86"/>
      <c r="R349" s="86"/>
    </row>
    <row r="350" spans="1:18">
      <c r="A350" s="86"/>
      <c r="B350" s="86"/>
      <c r="C350" s="86"/>
      <c r="D350" s="86"/>
      <c r="E350" s="86"/>
      <c r="F350" s="86"/>
      <c r="G350" s="86"/>
      <c r="H350" s="86"/>
      <c r="I350" s="86"/>
      <c r="J350" s="86"/>
      <c r="K350" s="86"/>
      <c r="L350" s="86"/>
      <c r="M350" s="86"/>
      <c r="N350" s="86"/>
      <c r="O350" s="86"/>
      <c r="P350" s="86"/>
      <c r="Q350" s="86"/>
      <c r="R350" s="86"/>
    </row>
    <row r="351" spans="1:18">
      <c r="A351" s="86"/>
      <c r="B351" s="86"/>
      <c r="C351" s="86"/>
      <c r="D351" s="86"/>
      <c r="E351" s="86"/>
      <c r="F351" s="86"/>
      <c r="G351" s="86"/>
      <c r="H351" s="86"/>
      <c r="I351" s="86"/>
      <c r="J351" s="86"/>
      <c r="K351" s="86"/>
      <c r="L351" s="86"/>
      <c r="M351" s="86"/>
      <c r="N351" s="86"/>
      <c r="O351" s="86"/>
      <c r="P351" s="86"/>
      <c r="Q351" s="86"/>
      <c r="R351" s="86"/>
    </row>
    <row r="352" spans="1:18">
      <c r="A352" s="86"/>
      <c r="B352" s="86"/>
      <c r="C352" s="86"/>
      <c r="D352" s="86"/>
      <c r="E352" s="86"/>
      <c r="F352" s="86"/>
      <c r="G352" s="86"/>
      <c r="H352" s="86"/>
      <c r="I352" s="86"/>
      <c r="J352" s="86"/>
      <c r="K352" s="86"/>
      <c r="L352" s="86"/>
      <c r="M352" s="86"/>
      <c r="N352" s="86"/>
      <c r="O352" s="86"/>
      <c r="P352" s="86"/>
      <c r="Q352" s="86"/>
      <c r="R352" s="86"/>
    </row>
    <row r="353" spans="1:18">
      <c r="A353" s="86"/>
      <c r="B353" s="86"/>
      <c r="C353" s="86"/>
      <c r="D353" s="86"/>
      <c r="E353" s="86"/>
      <c r="F353" s="86"/>
      <c r="G353" s="86"/>
      <c r="H353" s="86"/>
      <c r="I353" s="86"/>
      <c r="J353" s="86"/>
      <c r="K353" s="86"/>
      <c r="L353" s="86"/>
      <c r="M353" s="86"/>
      <c r="N353" s="86"/>
      <c r="O353" s="86"/>
      <c r="P353" s="86"/>
      <c r="Q353" s="86"/>
      <c r="R353" s="86"/>
    </row>
    <row r="354" spans="1:18">
      <c r="A354" s="86"/>
      <c r="B354" s="86"/>
      <c r="C354" s="86"/>
      <c r="D354" s="86"/>
      <c r="E354" s="86"/>
      <c r="F354" s="86"/>
      <c r="G354" s="86"/>
      <c r="H354" s="86"/>
      <c r="I354" s="86"/>
      <c r="J354" s="86"/>
      <c r="K354" s="86"/>
      <c r="L354" s="86"/>
      <c r="M354" s="86"/>
      <c r="N354" s="86"/>
      <c r="O354" s="86"/>
      <c r="P354" s="86"/>
      <c r="Q354" s="86"/>
      <c r="R354" s="86"/>
    </row>
    <row r="355" spans="1:18">
      <c r="A355" s="86"/>
      <c r="B355" s="86"/>
      <c r="C355" s="86"/>
      <c r="D355" s="86"/>
      <c r="E355" s="86"/>
      <c r="F355" s="86"/>
      <c r="G355" s="86"/>
      <c r="H355" s="86"/>
      <c r="I355" s="86"/>
      <c r="J355" s="86"/>
      <c r="K355" s="86"/>
      <c r="L355" s="86"/>
      <c r="M355" s="86"/>
      <c r="N355" s="86"/>
      <c r="O355" s="86"/>
      <c r="P355" s="86"/>
      <c r="Q355" s="86"/>
      <c r="R355" s="86"/>
    </row>
    <row r="356" spans="1:18">
      <c r="A356" s="86"/>
      <c r="B356" s="86"/>
      <c r="C356" s="86"/>
      <c r="D356" s="86"/>
      <c r="E356" s="86"/>
      <c r="F356" s="86"/>
      <c r="G356" s="86"/>
      <c r="H356" s="86"/>
      <c r="I356" s="86"/>
      <c r="J356" s="86"/>
      <c r="K356" s="86"/>
      <c r="L356" s="86"/>
      <c r="M356" s="86"/>
      <c r="N356" s="86"/>
      <c r="O356" s="86"/>
      <c r="P356" s="86"/>
      <c r="Q356" s="86"/>
      <c r="R356" s="86"/>
    </row>
    <row r="357" spans="1:18">
      <c r="A357" s="86"/>
      <c r="B357" s="86"/>
      <c r="C357" s="86"/>
      <c r="D357" s="86"/>
      <c r="E357" s="86"/>
      <c r="F357" s="86"/>
      <c r="G357" s="86"/>
      <c r="H357" s="86"/>
      <c r="I357" s="86"/>
      <c r="J357" s="86"/>
      <c r="K357" s="86"/>
      <c r="L357" s="86"/>
      <c r="M357" s="86"/>
      <c r="N357" s="86"/>
      <c r="O357" s="86"/>
      <c r="P357" s="86"/>
      <c r="Q357" s="86"/>
      <c r="R357" s="86"/>
    </row>
    <row r="358" spans="1:18">
      <c r="A358" s="86"/>
      <c r="B358" s="86"/>
      <c r="C358" s="86"/>
      <c r="D358" s="86"/>
      <c r="E358" s="86"/>
      <c r="F358" s="86"/>
      <c r="G358" s="86"/>
      <c r="H358" s="86"/>
      <c r="I358" s="86"/>
      <c r="J358" s="86"/>
      <c r="K358" s="86"/>
      <c r="L358" s="86"/>
      <c r="M358" s="86"/>
      <c r="N358" s="86"/>
      <c r="O358" s="86"/>
      <c r="P358" s="86"/>
      <c r="Q358" s="86"/>
      <c r="R358" s="86"/>
    </row>
    <row r="359" spans="1:18">
      <c r="A359" s="86"/>
      <c r="B359" s="86"/>
      <c r="C359" s="86"/>
      <c r="D359" s="86"/>
      <c r="E359" s="86"/>
      <c r="F359" s="86"/>
      <c r="G359" s="86"/>
      <c r="H359" s="86"/>
      <c r="I359" s="86"/>
      <c r="J359" s="86"/>
      <c r="K359" s="86"/>
      <c r="L359" s="86"/>
      <c r="M359" s="86"/>
      <c r="N359" s="86"/>
      <c r="O359" s="86"/>
      <c r="P359" s="86"/>
      <c r="Q359" s="86"/>
      <c r="R359" s="86"/>
    </row>
    <row r="360" spans="1:18">
      <c r="A360" s="86"/>
      <c r="B360" s="86"/>
      <c r="C360" s="86"/>
      <c r="D360" s="86"/>
      <c r="E360" s="86"/>
      <c r="F360" s="86"/>
      <c r="G360" s="86"/>
      <c r="H360" s="86"/>
      <c r="I360" s="86"/>
      <c r="J360" s="86"/>
      <c r="K360" s="86"/>
      <c r="L360" s="86"/>
      <c r="M360" s="86"/>
      <c r="N360" s="86"/>
      <c r="O360" s="86"/>
      <c r="P360" s="86"/>
      <c r="Q360" s="86"/>
      <c r="R360" s="86"/>
    </row>
    <row r="361" spans="1:18">
      <c r="A361" s="86"/>
      <c r="B361" s="86"/>
      <c r="C361" s="86"/>
      <c r="D361" s="86"/>
      <c r="E361" s="86"/>
      <c r="F361" s="86"/>
      <c r="G361" s="86"/>
      <c r="H361" s="86"/>
      <c r="I361" s="86"/>
      <c r="J361" s="86"/>
      <c r="K361" s="86"/>
      <c r="L361" s="86"/>
      <c r="M361" s="86"/>
      <c r="N361" s="86"/>
      <c r="O361" s="86"/>
      <c r="P361" s="86"/>
      <c r="Q361" s="86"/>
      <c r="R361" s="86"/>
    </row>
    <row r="362" spans="1:18">
      <c r="A362" s="86"/>
      <c r="B362" s="86"/>
      <c r="C362" s="86"/>
      <c r="D362" s="86"/>
      <c r="E362" s="86"/>
      <c r="F362" s="86"/>
      <c r="G362" s="86"/>
      <c r="H362" s="86"/>
      <c r="I362" s="86"/>
      <c r="J362" s="86"/>
      <c r="K362" s="86"/>
      <c r="L362" s="86"/>
      <c r="M362" s="86"/>
      <c r="N362" s="86"/>
      <c r="O362" s="86"/>
      <c r="P362" s="86"/>
      <c r="Q362" s="86"/>
      <c r="R362" s="86"/>
    </row>
    <row r="363" spans="1:18">
      <c r="A363" s="86"/>
      <c r="B363" s="86"/>
      <c r="C363" s="86"/>
      <c r="D363" s="86"/>
      <c r="E363" s="86"/>
      <c r="F363" s="86"/>
      <c r="G363" s="86"/>
      <c r="H363" s="86"/>
      <c r="I363" s="86"/>
      <c r="J363" s="86"/>
      <c r="K363" s="86"/>
      <c r="L363" s="86"/>
      <c r="M363" s="86"/>
      <c r="N363" s="86"/>
      <c r="O363" s="86"/>
      <c r="P363" s="86"/>
      <c r="Q363" s="86"/>
      <c r="R363" s="86"/>
    </row>
    <row r="364" spans="1:18">
      <c r="A364" s="86"/>
      <c r="B364" s="86"/>
      <c r="C364" s="86"/>
      <c r="D364" s="86"/>
      <c r="E364" s="86"/>
      <c r="F364" s="86"/>
      <c r="G364" s="86"/>
      <c r="H364" s="86"/>
      <c r="I364" s="86"/>
      <c r="J364" s="86"/>
      <c r="K364" s="86"/>
      <c r="L364" s="86"/>
      <c r="M364" s="86"/>
      <c r="N364" s="86"/>
      <c r="O364" s="86"/>
      <c r="P364" s="86"/>
      <c r="Q364" s="86"/>
      <c r="R364" s="86"/>
    </row>
    <row r="365" spans="1:18">
      <c r="A365" s="86"/>
      <c r="B365" s="86"/>
      <c r="C365" s="86"/>
      <c r="D365" s="86"/>
      <c r="E365" s="86"/>
      <c r="F365" s="86"/>
      <c r="G365" s="86"/>
      <c r="H365" s="86"/>
      <c r="I365" s="86"/>
      <c r="J365" s="86"/>
      <c r="K365" s="86"/>
      <c r="L365" s="86"/>
      <c r="M365" s="86"/>
      <c r="N365" s="86"/>
      <c r="O365" s="86"/>
      <c r="P365" s="86"/>
      <c r="Q365" s="86"/>
      <c r="R365" s="86"/>
    </row>
    <row r="366" spans="1:18">
      <c r="A366" s="86"/>
      <c r="B366" s="86"/>
      <c r="C366" s="86"/>
      <c r="D366" s="86"/>
      <c r="E366" s="86"/>
      <c r="F366" s="86"/>
      <c r="G366" s="86"/>
      <c r="H366" s="86"/>
      <c r="I366" s="86"/>
      <c r="J366" s="86"/>
      <c r="K366" s="86"/>
      <c r="L366" s="86"/>
      <c r="M366" s="86"/>
      <c r="N366" s="86"/>
      <c r="O366" s="86"/>
      <c r="P366" s="86"/>
      <c r="Q366" s="86"/>
      <c r="R366" s="86"/>
    </row>
    <row r="367" spans="1:18">
      <c r="A367" s="86"/>
      <c r="B367" s="86"/>
      <c r="C367" s="86"/>
      <c r="D367" s="86"/>
      <c r="E367" s="86"/>
      <c r="F367" s="86"/>
      <c r="G367" s="86"/>
      <c r="H367" s="86"/>
      <c r="I367" s="86"/>
      <c r="J367" s="86"/>
      <c r="K367" s="86"/>
      <c r="L367" s="86"/>
      <c r="M367" s="86"/>
      <c r="N367" s="86"/>
      <c r="O367" s="86"/>
      <c r="P367" s="86"/>
      <c r="Q367" s="86"/>
      <c r="R367" s="86"/>
    </row>
    <row r="368" spans="1:18">
      <c r="A368" s="86"/>
      <c r="B368" s="86"/>
      <c r="C368" s="86"/>
      <c r="D368" s="86"/>
      <c r="E368" s="86"/>
      <c r="F368" s="86"/>
      <c r="G368" s="86"/>
      <c r="H368" s="86"/>
      <c r="I368" s="86"/>
      <c r="J368" s="86"/>
      <c r="K368" s="86"/>
      <c r="L368" s="86"/>
      <c r="M368" s="86"/>
      <c r="N368" s="86"/>
      <c r="O368" s="86"/>
      <c r="P368" s="86"/>
      <c r="Q368" s="86"/>
      <c r="R368" s="86"/>
    </row>
    <row r="369" spans="1:18">
      <c r="A369" s="86"/>
      <c r="B369" s="86"/>
      <c r="C369" s="86"/>
      <c r="D369" s="86"/>
      <c r="E369" s="86"/>
      <c r="F369" s="86"/>
      <c r="G369" s="86"/>
      <c r="H369" s="86"/>
      <c r="I369" s="86"/>
      <c r="J369" s="86"/>
      <c r="K369" s="86"/>
      <c r="L369" s="86"/>
      <c r="M369" s="86"/>
      <c r="N369" s="86"/>
      <c r="O369" s="86"/>
      <c r="P369" s="86"/>
      <c r="Q369" s="86"/>
      <c r="R369" s="86"/>
    </row>
    <row r="370" spans="1:18">
      <c r="A370" s="86"/>
      <c r="B370" s="86"/>
      <c r="C370" s="86"/>
      <c r="D370" s="86"/>
      <c r="E370" s="86"/>
      <c r="F370" s="86"/>
      <c r="G370" s="86"/>
      <c r="H370" s="86"/>
      <c r="I370" s="86"/>
      <c r="J370" s="86"/>
      <c r="K370" s="86"/>
      <c r="L370" s="86"/>
      <c r="M370" s="86"/>
      <c r="N370" s="86"/>
      <c r="O370" s="86"/>
      <c r="P370" s="86"/>
      <c r="Q370" s="86"/>
      <c r="R370" s="86"/>
    </row>
    <row r="371" spans="1:18">
      <c r="A371" s="86"/>
      <c r="B371" s="86"/>
      <c r="C371" s="86"/>
      <c r="D371" s="86"/>
      <c r="E371" s="86"/>
      <c r="F371" s="86"/>
      <c r="G371" s="86"/>
      <c r="H371" s="86"/>
      <c r="I371" s="86"/>
      <c r="J371" s="86"/>
      <c r="K371" s="86"/>
      <c r="L371" s="86"/>
      <c r="M371" s="86"/>
      <c r="N371" s="86"/>
      <c r="O371" s="86"/>
      <c r="P371" s="86"/>
      <c r="Q371" s="86"/>
      <c r="R371" s="86"/>
    </row>
    <row r="372" spans="1:18">
      <c r="A372" s="86"/>
      <c r="B372" s="86"/>
      <c r="C372" s="86"/>
      <c r="D372" s="86"/>
      <c r="E372" s="86"/>
      <c r="F372" s="86"/>
      <c r="G372" s="86"/>
      <c r="H372" s="86"/>
      <c r="I372" s="86"/>
      <c r="J372" s="86"/>
      <c r="K372" s="86"/>
      <c r="L372" s="86"/>
      <c r="M372" s="86"/>
      <c r="N372" s="86"/>
      <c r="O372" s="86"/>
      <c r="P372" s="86"/>
      <c r="Q372" s="86"/>
      <c r="R372" s="86"/>
    </row>
    <row r="373" spans="1:18">
      <c r="A373" s="86"/>
      <c r="B373" s="86"/>
      <c r="C373" s="86"/>
      <c r="D373" s="86"/>
      <c r="E373" s="86"/>
      <c r="F373" s="86"/>
      <c r="G373" s="86"/>
      <c r="H373" s="86"/>
      <c r="I373" s="86"/>
      <c r="J373" s="86"/>
      <c r="K373" s="86"/>
      <c r="L373" s="86"/>
      <c r="M373" s="86"/>
      <c r="N373" s="86"/>
      <c r="O373" s="86"/>
      <c r="P373" s="86"/>
      <c r="Q373" s="86"/>
      <c r="R373" s="86"/>
    </row>
    <row r="374" spans="1:18">
      <c r="A374" s="86"/>
      <c r="B374" s="86"/>
      <c r="C374" s="86"/>
      <c r="D374" s="86"/>
      <c r="E374" s="86"/>
      <c r="F374" s="86"/>
      <c r="G374" s="86"/>
      <c r="H374" s="86"/>
      <c r="I374" s="86"/>
      <c r="J374" s="86"/>
      <c r="K374" s="86"/>
      <c r="L374" s="86"/>
      <c r="M374" s="86"/>
      <c r="N374" s="86"/>
      <c r="O374" s="86"/>
      <c r="P374" s="86"/>
      <c r="Q374" s="86"/>
      <c r="R374" s="86"/>
    </row>
    <row r="375" spans="1:18">
      <c r="A375" s="86"/>
      <c r="B375" s="86"/>
      <c r="C375" s="86"/>
      <c r="D375" s="86"/>
      <c r="E375" s="86"/>
      <c r="F375" s="86"/>
      <c r="G375" s="86"/>
      <c r="H375" s="86"/>
      <c r="I375" s="86"/>
      <c r="J375" s="86"/>
      <c r="K375" s="86"/>
      <c r="L375" s="86"/>
      <c r="M375" s="86"/>
      <c r="N375" s="86"/>
      <c r="O375" s="86"/>
      <c r="P375" s="86"/>
      <c r="Q375" s="86"/>
      <c r="R375" s="86"/>
    </row>
    <row r="376" spans="1:18">
      <c r="A376" s="86"/>
      <c r="B376" s="86"/>
      <c r="C376" s="86"/>
      <c r="D376" s="86"/>
      <c r="E376" s="86"/>
      <c r="F376" s="86"/>
      <c r="G376" s="86"/>
      <c r="H376" s="86"/>
      <c r="I376" s="86"/>
      <c r="J376" s="86"/>
      <c r="K376" s="86"/>
      <c r="L376" s="86"/>
      <c r="M376" s="86"/>
      <c r="N376" s="86"/>
      <c r="O376" s="86"/>
      <c r="P376" s="86"/>
      <c r="Q376" s="86"/>
      <c r="R376" s="86"/>
    </row>
    <row r="377" spans="1:18">
      <c r="A377" s="86"/>
      <c r="B377" s="86"/>
      <c r="C377" s="86"/>
      <c r="D377" s="86"/>
      <c r="E377" s="86"/>
      <c r="F377" s="86"/>
      <c r="G377" s="86"/>
      <c r="H377" s="86"/>
      <c r="I377" s="86"/>
      <c r="J377" s="86"/>
      <c r="K377" s="86"/>
      <c r="L377" s="86"/>
      <c r="M377" s="86"/>
      <c r="N377" s="86"/>
      <c r="O377" s="86"/>
      <c r="P377" s="86"/>
      <c r="Q377" s="86"/>
      <c r="R377" s="86"/>
    </row>
    <row r="378" spans="1:18">
      <c r="A378" s="86"/>
      <c r="B378" s="86"/>
      <c r="C378" s="86"/>
      <c r="D378" s="86"/>
      <c r="E378" s="86"/>
      <c r="F378" s="86"/>
      <c r="G378" s="86"/>
      <c r="H378" s="86"/>
      <c r="I378" s="86"/>
      <c r="J378" s="86"/>
      <c r="K378" s="86"/>
      <c r="L378" s="86"/>
      <c r="M378" s="86"/>
      <c r="N378" s="86"/>
      <c r="O378" s="86"/>
      <c r="P378" s="86"/>
      <c r="Q378" s="86"/>
      <c r="R378" s="86"/>
    </row>
    <row r="379" spans="1:18">
      <c r="A379" s="86"/>
      <c r="B379" s="86"/>
      <c r="C379" s="86"/>
      <c r="D379" s="86"/>
      <c r="E379" s="86"/>
      <c r="F379" s="86"/>
      <c r="G379" s="86"/>
      <c r="H379" s="86"/>
      <c r="I379" s="86"/>
      <c r="J379" s="86"/>
      <c r="K379" s="86"/>
      <c r="L379" s="86"/>
      <c r="M379" s="86"/>
      <c r="N379" s="86"/>
      <c r="O379" s="86"/>
      <c r="P379" s="86"/>
      <c r="Q379" s="86"/>
      <c r="R379" s="86"/>
    </row>
    <row r="380" spans="1:18">
      <c r="A380" s="86"/>
      <c r="B380" s="86"/>
      <c r="C380" s="86"/>
      <c r="D380" s="86"/>
      <c r="E380" s="86"/>
      <c r="F380" s="86"/>
      <c r="G380" s="86"/>
      <c r="H380" s="86"/>
      <c r="I380" s="86"/>
      <c r="J380" s="86"/>
      <c r="K380" s="86"/>
      <c r="L380" s="86"/>
      <c r="M380" s="86"/>
      <c r="N380" s="86"/>
      <c r="O380" s="86"/>
      <c r="P380" s="86"/>
      <c r="Q380" s="86"/>
      <c r="R380" s="86"/>
    </row>
    <row r="381" spans="1:18">
      <c r="A381" s="86"/>
      <c r="B381" s="86"/>
      <c r="C381" s="86"/>
      <c r="D381" s="86"/>
      <c r="E381" s="86"/>
      <c r="F381" s="86"/>
      <c r="G381" s="86"/>
      <c r="H381" s="86"/>
      <c r="I381" s="86"/>
      <c r="J381" s="86"/>
      <c r="K381" s="86"/>
      <c r="L381" s="86"/>
      <c r="M381" s="86"/>
      <c r="N381" s="86"/>
      <c r="O381" s="86"/>
      <c r="P381" s="86"/>
      <c r="Q381" s="86"/>
      <c r="R381" s="86"/>
    </row>
    <row r="382" spans="1:18">
      <c r="A382" s="86"/>
      <c r="B382" s="86"/>
      <c r="C382" s="86"/>
      <c r="D382" s="86"/>
      <c r="E382" s="86"/>
      <c r="F382" s="86"/>
      <c r="G382" s="86"/>
      <c r="H382" s="86"/>
      <c r="I382" s="86"/>
      <c r="J382" s="86"/>
      <c r="K382" s="86"/>
      <c r="L382" s="86"/>
      <c r="M382" s="86"/>
      <c r="N382" s="86"/>
      <c r="O382" s="86"/>
      <c r="P382" s="86"/>
      <c r="Q382" s="86"/>
      <c r="R382" s="86"/>
    </row>
    <row r="383" spans="1:18">
      <c r="A383" s="86"/>
      <c r="B383" s="86"/>
      <c r="C383" s="86"/>
      <c r="D383" s="86"/>
      <c r="E383" s="86"/>
      <c r="F383" s="86"/>
      <c r="G383" s="86"/>
      <c r="H383" s="86"/>
      <c r="I383" s="86"/>
      <c r="J383" s="86"/>
      <c r="K383" s="86"/>
      <c r="L383" s="86"/>
      <c r="M383" s="86"/>
      <c r="N383" s="86"/>
      <c r="O383" s="86"/>
      <c r="P383" s="86"/>
      <c r="Q383" s="86"/>
      <c r="R383" s="86"/>
    </row>
    <row r="384" spans="1:18">
      <c r="A384" s="86"/>
      <c r="B384" s="86"/>
      <c r="C384" s="86"/>
      <c r="D384" s="86"/>
      <c r="E384" s="86"/>
      <c r="F384" s="86"/>
      <c r="G384" s="86"/>
      <c r="H384" s="86"/>
      <c r="I384" s="86"/>
      <c r="J384" s="86"/>
      <c r="K384" s="86"/>
      <c r="L384" s="86"/>
      <c r="M384" s="86"/>
      <c r="N384" s="86"/>
      <c r="O384" s="86"/>
      <c r="P384" s="86"/>
      <c r="Q384" s="86"/>
      <c r="R384" s="86"/>
    </row>
    <row r="385" spans="1:18">
      <c r="A385" s="86"/>
      <c r="B385" s="86"/>
      <c r="C385" s="86"/>
      <c r="D385" s="86"/>
      <c r="E385" s="86"/>
      <c r="F385" s="86"/>
      <c r="G385" s="86"/>
      <c r="H385" s="86"/>
      <c r="I385" s="86"/>
      <c r="J385" s="86"/>
      <c r="K385" s="86"/>
      <c r="L385" s="86"/>
      <c r="M385" s="86"/>
      <c r="N385" s="86"/>
      <c r="O385" s="86"/>
      <c r="P385" s="86"/>
      <c r="Q385" s="86"/>
      <c r="R385" s="86"/>
    </row>
    <row r="386" spans="1:18">
      <c r="A386" s="86"/>
      <c r="B386" s="86"/>
      <c r="C386" s="86"/>
      <c r="D386" s="86"/>
      <c r="E386" s="86"/>
      <c r="F386" s="86"/>
      <c r="G386" s="86"/>
      <c r="H386" s="86"/>
      <c r="I386" s="86"/>
      <c r="J386" s="86"/>
      <c r="K386" s="86"/>
      <c r="L386" s="86"/>
      <c r="M386" s="86"/>
      <c r="N386" s="86"/>
      <c r="O386" s="86"/>
      <c r="P386" s="86"/>
      <c r="Q386" s="86"/>
      <c r="R386" s="86"/>
    </row>
    <row r="387" spans="1:18">
      <c r="A387" s="86"/>
      <c r="B387" s="86"/>
      <c r="C387" s="86"/>
      <c r="D387" s="86"/>
      <c r="E387" s="86"/>
      <c r="F387" s="86"/>
      <c r="G387" s="86"/>
      <c r="H387" s="86"/>
      <c r="I387" s="86"/>
      <c r="J387" s="86"/>
      <c r="K387" s="86"/>
      <c r="L387" s="86"/>
      <c r="M387" s="86"/>
      <c r="N387" s="86"/>
      <c r="O387" s="86"/>
      <c r="P387" s="86"/>
      <c r="Q387" s="86"/>
      <c r="R387" s="86"/>
    </row>
    <row r="388" spans="1:18">
      <c r="A388" s="86"/>
      <c r="B388" s="86"/>
      <c r="C388" s="86"/>
      <c r="D388" s="86"/>
      <c r="E388" s="86"/>
      <c r="F388" s="86"/>
      <c r="G388" s="86"/>
      <c r="H388" s="86"/>
      <c r="I388" s="86"/>
      <c r="J388" s="86"/>
      <c r="K388" s="86"/>
      <c r="L388" s="86"/>
      <c r="M388" s="86"/>
      <c r="N388" s="86"/>
      <c r="O388" s="86"/>
      <c r="P388" s="86"/>
      <c r="Q388" s="86"/>
      <c r="R388" s="86"/>
    </row>
    <row r="389" spans="1:18">
      <c r="A389" s="86"/>
      <c r="B389" s="86"/>
      <c r="C389" s="86"/>
      <c r="D389" s="86"/>
      <c r="E389" s="86"/>
      <c r="F389" s="86"/>
      <c r="G389" s="86"/>
      <c r="H389" s="86"/>
      <c r="I389" s="86"/>
      <c r="J389" s="86"/>
      <c r="K389" s="86"/>
      <c r="L389" s="86"/>
      <c r="M389" s="86"/>
      <c r="N389" s="86"/>
      <c r="O389" s="86"/>
      <c r="P389" s="86"/>
      <c r="Q389" s="86"/>
      <c r="R389" s="86"/>
    </row>
    <row r="390" spans="1:18">
      <c r="A390" s="86"/>
      <c r="B390" s="86"/>
      <c r="C390" s="86"/>
      <c r="D390" s="86"/>
      <c r="E390" s="86"/>
      <c r="F390" s="86"/>
      <c r="G390" s="86"/>
      <c r="H390" s="86"/>
      <c r="I390" s="86"/>
      <c r="J390" s="86"/>
      <c r="K390" s="86"/>
      <c r="L390" s="86"/>
      <c r="M390" s="86"/>
      <c r="N390" s="86"/>
      <c r="O390" s="86"/>
      <c r="P390" s="86"/>
      <c r="Q390" s="86"/>
      <c r="R390" s="86"/>
    </row>
    <row r="391" spans="1:18">
      <c r="A391" s="86"/>
      <c r="B391" s="86"/>
      <c r="C391" s="86"/>
      <c r="D391" s="86"/>
      <c r="E391" s="86"/>
      <c r="F391" s="86"/>
      <c r="G391" s="86"/>
      <c r="H391" s="86"/>
      <c r="I391" s="86"/>
      <c r="J391" s="86"/>
      <c r="K391" s="86"/>
      <c r="L391" s="86"/>
      <c r="M391" s="86"/>
      <c r="N391" s="86"/>
      <c r="O391" s="86"/>
      <c r="P391" s="86"/>
      <c r="Q391" s="86"/>
      <c r="R391" s="86"/>
    </row>
    <row r="392" spans="1:18">
      <c r="A392" s="86"/>
      <c r="B392" s="86"/>
      <c r="C392" s="86"/>
      <c r="D392" s="86"/>
      <c r="E392" s="86"/>
      <c r="F392" s="86"/>
      <c r="G392" s="86"/>
      <c r="H392" s="86"/>
      <c r="I392" s="86"/>
      <c r="J392" s="86"/>
      <c r="K392" s="86"/>
      <c r="L392" s="86"/>
      <c r="M392" s="86"/>
      <c r="N392" s="86"/>
      <c r="O392" s="86"/>
      <c r="P392" s="86"/>
      <c r="Q392" s="86"/>
      <c r="R392" s="86"/>
    </row>
    <row r="393" spans="1:18">
      <c r="A393" s="86"/>
      <c r="B393" s="86"/>
      <c r="C393" s="86"/>
      <c r="D393" s="86"/>
      <c r="E393" s="86"/>
      <c r="F393" s="86"/>
      <c r="G393" s="86"/>
      <c r="H393" s="86"/>
      <c r="I393" s="86"/>
      <c r="J393" s="86"/>
      <c r="K393" s="86"/>
      <c r="L393" s="86"/>
      <c r="M393" s="86"/>
      <c r="N393" s="86"/>
      <c r="O393" s="86"/>
      <c r="P393" s="86"/>
      <c r="Q393" s="86"/>
      <c r="R393" s="86"/>
    </row>
    <row r="394" spans="1:18">
      <c r="A394" s="86"/>
      <c r="B394" s="86"/>
      <c r="C394" s="86"/>
      <c r="D394" s="86"/>
      <c r="E394" s="86"/>
      <c r="F394" s="86"/>
      <c r="G394" s="86"/>
      <c r="H394" s="86"/>
      <c r="I394" s="86"/>
      <c r="J394" s="86"/>
      <c r="K394" s="86"/>
      <c r="L394" s="86"/>
      <c r="M394" s="86"/>
      <c r="N394" s="86"/>
      <c r="O394" s="86"/>
      <c r="P394" s="86"/>
      <c r="Q394" s="86"/>
      <c r="R394" s="86"/>
    </row>
    <row r="395" spans="1:18">
      <c r="A395" s="86"/>
      <c r="B395" s="86"/>
      <c r="C395" s="86"/>
      <c r="D395" s="86"/>
      <c r="E395" s="86"/>
      <c r="F395" s="86"/>
      <c r="G395" s="86"/>
      <c r="H395" s="86"/>
      <c r="I395" s="86"/>
      <c r="J395" s="86"/>
      <c r="K395" s="86"/>
      <c r="L395" s="86"/>
      <c r="M395" s="86"/>
      <c r="N395" s="86"/>
      <c r="O395" s="86"/>
      <c r="P395" s="86"/>
      <c r="Q395" s="86"/>
      <c r="R395" s="86"/>
    </row>
    <row r="396" spans="1:18">
      <c r="A396" s="86"/>
      <c r="B396" s="86"/>
      <c r="C396" s="86"/>
      <c r="D396" s="86"/>
      <c r="E396" s="86"/>
      <c r="F396" s="86"/>
      <c r="G396" s="86"/>
      <c r="H396" s="86"/>
      <c r="I396" s="86"/>
      <c r="J396" s="86"/>
      <c r="K396" s="86"/>
      <c r="L396" s="86"/>
      <c r="M396" s="86"/>
      <c r="N396" s="86"/>
      <c r="O396" s="86"/>
      <c r="P396" s="86"/>
      <c r="Q396" s="86"/>
      <c r="R396" s="86"/>
    </row>
    <row r="397" spans="1:18">
      <c r="A397" s="86"/>
      <c r="B397" s="86"/>
      <c r="C397" s="86"/>
      <c r="D397" s="86"/>
      <c r="E397" s="86"/>
      <c r="F397" s="86"/>
      <c r="G397" s="86"/>
      <c r="H397" s="86"/>
      <c r="I397" s="86"/>
      <c r="J397" s="86"/>
      <c r="K397" s="86"/>
      <c r="L397" s="86"/>
      <c r="M397" s="86"/>
      <c r="N397" s="86"/>
      <c r="O397" s="86"/>
      <c r="P397" s="86"/>
      <c r="Q397" s="86"/>
      <c r="R397" s="86"/>
    </row>
    <row r="398" spans="1:18">
      <c r="A398" s="86"/>
      <c r="B398" s="86"/>
      <c r="C398" s="86"/>
      <c r="D398" s="86"/>
      <c r="E398" s="86"/>
      <c r="F398" s="86"/>
      <c r="G398" s="86"/>
      <c r="H398" s="86"/>
      <c r="I398" s="86"/>
      <c r="J398" s="86"/>
      <c r="K398" s="86"/>
      <c r="L398" s="86"/>
      <c r="M398" s="86"/>
      <c r="N398" s="86"/>
      <c r="O398" s="86"/>
      <c r="P398" s="86"/>
      <c r="Q398" s="86"/>
      <c r="R398" s="86"/>
    </row>
    <row r="399" spans="1:18">
      <c r="A399" s="86"/>
      <c r="B399" s="86"/>
      <c r="C399" s="86"/>
      <c r="D399" s="86"/>
      <c r="E399" s="86"/>
      <c r="F399" s="86"/>
      <c r="G399" s="86"/>
      <c r="H399" s="86"/>
      <c r="I399" s="86"/>
      <c r="J399" s="86"/>
      <c r="K399" s="86"/>
      <c r="L399" s="86"/>
      <c r="M399" s="86"/>
      <c r="N399" s="86"/>
      <c r="O399" s="86"/>
      <c r="P399" s="86"/>
      <c r="Q399" s="86"/>
      <c r="R399" s="86"/>
    </row>
    <row r="400" spans="1:18">
      <c r="A400" s="86"/>
      <c r="B400" s="86"/>
      <c r="C400" s="86"/>
      <c r="D400" s="86"/>
      <c r="E400" s="86"/>
      <c r="F400" s="86"/>
      <c r="G400" s="86"/>
      <c r="H400" s="86"/>
      <c r="I400" s="86"/>
      <c r="J400" s="86"/>
      <c r="K400" s="86"/>
      <c r="L400" s="86"/>
      <c r="M400" s="86"/>
      <c r="N400" s="86"/>
      <c r="O400" s="86"/>
      <c r="P400" s="86"/>
      <c r="Q400" s="86"/>
      <c r="R400" s="86"/>
    </row>
    <row r="401" spans="1:18">
      <c r="A401" s="86"/>
      <c r="B401" s="86"/>
      <c r="C401" s="86"/>
      <c r="D401" s="86"/>
      <c r="E401" s="86"/>
      <c r="F401" s="86"/>
      <c r="G401" s="86"/>
      <c r="H401" s="86"/>
      <c r="I401" s="86"/>
      <c r="J401" s="86"/>
      <c r="K401" s="86"/>
      <c r="L401" s="86"/>
      <c r="M401" s="86"/>
      <c r="N401" s="86"/>
      <c r="O401" s="86"/>
      <c r="P401" s="86"/>
      <c r="Q401" s="86"/>
      <c r="R401" s="86"/>
    </row>
    <row r="402" spans="1:18">
      <c r="A402" s="86"/>
      <c r="B402" s="86"/>
      <c r="C402" s="86"/>
      <c r="D402" s="86"/>
      <c r="E402" s="86"/>
      <c r="F402" s="86"/>
      <c r="G402" s="86"/>
      <c r="H402" s="86"/>
      <c r="I402" s="86"/>
      <c r="J402" s="86"/>
      <c r="K402" s="86"/>
      <c r="L402" s="86"/>
      <c r="M402" s="86"/>
      <c r="N402" s="86"/>
      <c r="O402" s="86"/>
      <c r="P402" s="86"/>
      <c r="Q402" s="86"/>
      <c r="R402" s="86"/>
    </row>
    <row r="403" spans="1:18">
      <c r="A403" s="86"/>
      <c r="B403" s="86"/>
      <c r="C403" s="86"/>
      <c r="D403" s="86"/>
      <c r="E403" s="86"/>
      <c r="F403" s="86"/>
      <c r="G403" s="86"/>
      <c r="H403" s="86"/>
      <c r="I403" s="86"/>
      <c r="J403" s="86"/>
      <c r="K403" s="86"/>
      <c r="L403" s="86"/>
      <c r="M403" s="86"/>
      <c r="N403" s="86"/>
      <c r="O403" s="86"/>
      <c r="P403" s="86"/>
      <c r="Q403" s="86"/>
      <c r="R403" s="86"/>
    </row>
    <row r="404" spans="1:18">
      <c r="A404" s="86"/>
      <c r="B404" s="86"/>
      <c r="C404" s="86"/>
      <c r="D404" s="86"/>
      <c r="E404" s="86"/>
      <c r="F404" s="86"/>
      <c r="G404" s="86"/>
      <c r="H404" s="86"/>
      <c r="I404" s="86"/>
      <c r="J404" s="86"/>
      <c r="K404" s="86"/>
      <c r="L404" s="86"/>
      <c r="M404" s="86"/>
      <c r="N404" s="86"/>
      <c r="O404" s="86"/>
      <c r="P404" s="86"/>
      <c r="Q404" s="86"/>
      <c r="R404" s="86"/>
    </row>
    <row r="405" spans="1:18">
      <c r="A405" s="86"/>
      <c r="B405" s="86"/>
      <c r="C405" s="86"/>
      <c r="D405" s="86"/>
      <c r="E405" s="86"/>
      <c r="F405" s="86"/>
      <c r="G405" s="86"/>
      <c r="H405" s="86"/>
      <c r="I405" s="86"/>
      <c r="J405" s="86"/>
      <c r="K405" s="86"/>
      <c r="L405" s="86"/>
      <c r="M405" s="86"/>
      <c r="N405" s="86"/>
      <c r="O405" s="86"/>
      <c r="P405" s="86"/>
      <c r="Q405" s="86"/>
      <c r="R405" s="86"/>
    </row>
    <row r="406" spans="1:18">
      <c r="A406" s="86"/>
      <c r="B406" s="86"/>
      <c r="C406" s="86"/>
      <c r="D406" s="86"/>
      <c r="E406" s="86"/>
      <c r="F406" s="86"/>
      <c r="G406" s="86"/>
      <c r="H406" s="86"/>
      <c r="I406" s="86"/>
      <c r="J406" s="86"/>
      <c r="K406" s="86"/>
      <c r="L406" s="86"/>
      <c r="M406" s="86"/>
      <c r="N406" s="86"/>
      <c r="O406" s="86"/>
      <c r="P406" s="86"/>
      <c r="Q406" s="86"/>
      <c r="R406" s="86"/>
    </row>
    <row r="407" spans="1:18">
      <c r="A407" s="86"/>
      <c r="B407" s="86"/>
      <c r="C407" s="86"/>
      <c r="D407" s="86"/>
      <c r="E407" s="86"/>
      <c r="F407" s="86"/>
      <c r="G407" s="86"/>
      <c r="H407" s="86"/>
      <c r="I407" s="86"/>
      <c r="J407" s="86"/>
      <c r="K407" s="86"/>
      <c r="L407" s="86"/>
      <c r="M407" s="86"/>
      <c r="N407" s="86"/>
      <c r="O407" s="86"/>
      <c r="P407" s="86"/>
      <c r="Q407" s="86"/>
      <c r="R407" s="86"/>
    </row>
    <row r="408" spans="1:18">
      <c r="A408" s="86"/>
      <c r="B408" s="86"/>
      <c r="C408" s="86"/>
      <c r="D408" s="86"/>
      <c r="E408" s="86"/>
      <c r="F408" s="86"/>
      <c r="G408" s="86"/>
      <c r="H408" s="86"/>
      <c r="I408" s="86"/>
      <c r="J408" s="86"/>
      <c r="K408" s="86"/>
      <c r="L408" s="86"/>
      <c r="M408" s="86"/>
      <c r="N408" s="86"/>
      <c r="O408" s="86"/>
      <c r="P408" s="86"/>
      <c r="Q408" s="86"/>
      <c r="R408" s="86"/>
    </row>
    <row r="409" spans="1:18">
      <c r="A409" s="86"/>
      <c r="B409" s="86"/>
      <c r="C409" s="86"/>
      <c r="D409" s="86"/>
      <c r="E409" s="86"/>
      <c r="F409" s="86"/>
      <c r="G409" s="86"/>
      <c r="H409" s="86"/>
      <c r="I409" s="86"/>
      <c r="J409" s="86"/>
      <c r="K409" s="86"/>
      <c r="L409" s="86"/>
      <c r="M409" s="86"/>
      <c r="N409" s="86"/>
      <c r="O409" s="86"/>
      <c r="P409" s="86"/>
      <c r="Q409" s="86"/>
      <c r="R409" s="86"/>
    </row>
    <row r="410" spans="1:18">
      <c r="A410" s="86"/>
      <c r="B410" s="86"/>
      <c r="C410" s="86"/>
      <c r="D410" s="86"/>
      <c r="E410" s="86"/>
      <c r="F410" s="86"/>
      <c r="G410" s="86"/>
      <c r="H410" s="86"/>
      <c r="I410" s="86"/>
      <c r="J410" s="86"/>
      <c r="K410" s="86"/>
      <c r="L410" s="86"/>
      <c r="M410" s="86"/>
      <c r="N410" s="86"/>
      <c r="O410" s="86"/>
      <c r="P410" s="86"/>
      <c r="Q410" s="86"/>
      <c r="R410" s="86"/>
    </row>
    <row r="411" spans="1:18">
      <c r="A411" s="86"/>
      <c r="B411" s="86"/>
      <c r="C411" s="86"/>
      <c r="D411" s="86"/>
      <c r="E411" s="86"/>
      <c r="F411" s="86"/>
      <c r="G411" s="86"/>
      <c r="H411" s="86"/>
      <c r="I411" s="86"/>
      <c r="J411" s="86"/>
      <c r="K411" s="86"/>
      <c r="L411" s="86"/>
      <c r="M411" s="86"/>
      <c r="N411" s="86"/>
      <c r="O411" s="86"/>
      <c r="P411" s="86"/>
      <c r="Q411" s="86"/>
      <c r="R411" s="86"/>
    </row>
    <row r="412" spans="1:18">
      <c r="A412" s="86"/>
      <c r="B412" s="86"/>
      <c r="C412" s="86"/>
      <c r="D412" s="86"/>
      <c r="E412" s="86"/>
      <c r="F412" s="86"/>
      <c r="G412" s="86"/>
      <c r="H412" s="86"/>
      <c r="I412" s="86"/>
      <c r="J412" s="86"/>
      <c r="K412" s="86"/>
      <c r="L412" s="86"/>
      <c r="M412" s="86"/>
      <c r="N412" s="86"/>
      <c r="O412" s="86"/>
      <c r="P412" s="86"/>
      <c r="Q412" s="86"/>
      <c r="R412" s="86"/>
    </row>
    <row r="413" spans="1:18">
      <c r="A413" s="86"/>
      <c r="B413" s="86"/>
      <c r="C413" s="86"/>
      <c r="D413" s="86"/>
      <c r="E413" s="86"/>
      <c r="F413" s="86"/>
      <c r="G413" s="86"/>
      <c r="H413" s="86"/>
      <c r="I413" s="86"/>
      <c r="J413" s="86"/>
      <c r="K413" s="86"/>
      <c r="L413" s="86"/>
      <c r="M413" s="86"/>
      <c r="N413" s="86"/>
      <c r="O413" s="86"/>
      <c r="P413" s="86"/>
      <c r="Q413" s="86"/>
      <c r="R413" s="86"/>
    </row>
    <row r="414" spans="1:18">
      <c r="A414" s="86"/>
      <c r="B414" s="86"/>
      <c r="C414" s="86"/>
      <c r="D414" s="86"/>
      <c r="E414" s="86"/>
      <c r="F414" s="86"/>
      <c r="G414" s="86"/>
      <c r="H414" s="86"/>
      <c r="I414" s="86"/>
      <c r="J414" s="86"/>
      <c r="K414" s="86"/>
      <c r="L414" s="86"/>
      <c r="M414" s="86"/>
      <c r="N414" s="86"/>
      <c r="O414" s="86"/>
      <c r="P414" s="86"/>
      <c r="Q414" s="86"/>
      <c r="R414" s="86"/>
    </row>
    <row r="415" spans="1:18">
      <c r="A415" s="86"/>
      <c r="B415" s="86"/>
      <c r="C415" s="86"/>
      <c r="D415" s="86"/>
      <c r="E415" s="86"/>
      <c r="F415" s="86"/>
      <c r="G415" s="86"/>
      <c r="H415" s="86"/>
      <c r="I415" s="86"/>
      <c r="J415" s="86"/>
      <c r="K415" s="86"/>
      <c r="L415" s="86"/>
      <c r="M415" s="86"/>
      <c r="N415" s="86"/>
      <c r="O415" s="86"/>
      <c r="P415" s="86"/>
      <c r="Q415" s="86"/>
      <c r="R415" s="86"/>
    </row>
    <row r="416" spans="1:18">
      <c r="A416" s="86"/>
      <c r="B416" s="86"/>
      <c r="C416" s="86"/>
      <c r="D416" s="86"/>
      <c r="E416" s="86"/>
      <c r="F416" s="86"/>
      <c r="G416" s="86"/>
      <c r="H416" s="86"/>
      <c r="I416" s="86"/>
      <c r="J416" s="86"/>
      <c r="K416" s="86"/>
      <c r="L416" s="86"/>
      <c r="M416" s="86"/>
      <c r="N416" s="86"/>
      <c r="O416" s="86"/>
      <c r="P416" s="86"/>
      <c r="Q416" s="86"/>
      <c r="R416" s="86"/>
    </row>
    <row r="417" spans="1:18">
      <c r="A417" s="86"/>
      <c r="B417" s="86"/>
      <c r="C417" s="86"/>
      <c r="D417" s="86"/>
      <c r="E417" s="86"/>
      <c r="F417" s="86"/>
      <c r="G417" s="86"/>
      <c r="H417" s="86"/>
      <c r="I417" s="86"/>
      <c r="J417" s="86"/>
      <c r="K417" s="86"/>
      <c r="L417" s="86"/>
      <c r="M417" s="86"/>
      <c r="N417" s="86"/>
      <c r="O417" s="86"/>
      <c r="P417" s="86"/>
      <c r="Q417" s="86"/>
      <c r="R417" s="86"/>
    </row>
    <row r="418" spans="1:18">
      <c r="A418" s="86"/>
      <c r="B418" s="86"/>
      <c r="C418" s="86"/>
      <c r="D418" s="86"/>
      <c r="E418" s="86"/>
      <c r="F418" s="86"/>
      <c r="G418" s="86"/>
      <c r="H418" s="86"/>
      <c r="I418" s="86"/>
      <c r="J418" s="86"/>
      <c r="K418" s="86"/>
      <c r="L418" s="86"/>
      <c r="M418" s="86"/>
      <c r="N418" s="86"/>
      <c r="O418" s="86"/>
      <c r="P418" s="86"/>
      <c r="Q418" s="86"/>
      <c r="R418" s="86"/>
    </row>
    <row r="419" spans="1:18">
      <c r="A419" s="86"/>
      <c r="B419" s="86"/>
      <c r="C419" s="86"/>
      <c r="D419" s="86"/>
      <c r="E419" s="86"/>
      <c r="F419" s="86"/>
      <c r="G419" s="86"/>
      <c r="H419" s="86"/>
      <c r="I419" s="86"/>
      <c r="J419" s="86"/>
      <c r="K419" s="86"/>
      <c r="L419" s="86"/>
      <c r="M419" s="86"/>
      <c r="N419" s="86"/>
      <c r="O419" s="86"/>
      <c r="P419" s="86"/>
      <c r="Q419" s="86"/>
      <c r="R419" s="86"/>
    </row>
    <row r="420" spans="1:18">
      <c r="A420" s="86"/>
      <c r="B420" s="86"/>
      <c r="C420" s="86"/>
      <c r="D420" s="86"/>
      <c r="E420" s="86"/>
      <c r="F420" s="86"/>
      <c r="G420" s="86"/>
      <c r="H420" s="86"/>
      <c r="I420" s="86"/>
      <c r="J420" s="86"/>
      <c r="K420" s="86"/>
      <c r="L420" s="86"/>
      <c r="M420" s="86"/>
      <c r="N420" s="86"/>
      <c r="O420" s="86"/>
      <c r="P420" s="86"/>
      <c r="Q420" s="86"/>
      <c r="R420" s="86"/>
    </row>
    <row r="421" spans="1:18">
      <c r="A421" s="86"/>
      <c r="B421" s="86"/>
      <c r="C421" s="86"/>
      <c r="D421" s="86"/>
      <c r="E421" s="86"/>
      <c r="F421" s="86"/>
      <c r="G421" s="86"/>
      <c r="H421" s="86"/>
      <c r="I421" s="86"/>
      <c r="J421" s="86"/>
      <c r="K421" s="86"/>
      <c r="L421" s="86"/>
      <c r="M421" s="86"/>
      <c r="N421" s="86"/>
      <c r="O421" s="86"/>
      <c r="P421" s="86"/>
      <c r="Q421" s="86"/>
      <c r="R421" s="86"/>
    </row>
    <row r="422" spans="1:18">
      <c r="A422" s="86"/>
      <c r="B422" s="86"/>
      <c r="C422" s="86"/>
      <c r="D422" s="86"/>
      <c r="E422" s="86"/>
      <c r="F422" s="86"/>
      <c r="G422" s="86"/>
      <c r="H422" s="86"/>
      <c r="I422" s="86"/>
      <c r="J422" s="86"/>
      <c r="K422" s="86"/>
      <c r="L422" s="86"/>
      <c r="M422" s="86"/>
      <c r="N422" s="86"/>
      <c r="O422" s="86"/>
      <c r="P422" s="86"/>
      <c r="Q422" s="86"/>
      <c r="R422" s="86"/>
    </row>
    <row r="423" spans="1:18">
      <c r="A423" s="86"/>
      <c r="B423" s="86"/>
      <c r="C423" s="86"/>
      <c r="D423" s="86"/>
      <c r="E423" s="86"/>
      <c r="F423" s="86"/>
      <c r="G423" s="86"/>
      <c r="H423" s="86"/>
      <c r="I423" s="86"/>
      <c r="J423" s="86"/>
      <c r="K423" s="86"/>
      <c r="L423" s="86"/>
      <c r="M423" s="86"/>
      <c r="N423" s="86"/>
      <c r="O423" s="86"/>
      <c r="P423" s="86"/>
      <c r="Q423" s="86"/>
      <c r="R423" s="86"/>
    </row>
    <row r="424" spans="1:18">
      <c r="A424" s="86"/>
      <c r="B424" s="86"/>
      <c r="C424" s="86"/>
      <c r="D424" s="86"/>
      <c r="E424" s="86"/>
      <c r="F424" s="86"/>
      <c r="G424" s="86"/>
      <c r="H424" s="86"/>
      <c r="I424" s="86"/>
      <c r="J424" s="86"/>
      <c r="K424" s="86"/>
      <c r="L424" s="86"/>
      <c r="M424" s="86"/>
      <c r="N424" s="86"/>
      <c r="O424" s="86"/>
      <c r="P424" s="86"/>
      <c r="Q424" s="86"/>
      <c r="R424" s="86"/>
    </row>
    <row r="425" spans="1:18">
      <c r="A425" s="86"/>
      <c r="B425" s="86"/>
      <c r="C425" s="86"/>
      <c r="D425" s="86"/>
      <c r="E425" s="86"/>
      <c r="F425" s="86"/>
      <c r="G425" s="86"/>
      <c r="H425" s="86"/>
      <c r="I425" s="86"/>
      <c r="J425" s="86"/>
      <c r="K425" s="86"/>
      <c r="L425" s="86"/>
      <c r="M425" s="86"/>
      <c r="N425" s="86"/>
      <c r="O425" s="86"/>
      <c r="P425" s="86"/>
      <c r="Q425" s="86"/>
      <c r="R425" s="86"/>
    </row>
    <row r="426" spans="1:18">
      <c r="A426" s="86"/>
      <c r="B426" s="86"/>
      <c r="C426" s="86"/>
      <c r="D426" s="86"/>
      <c r="E426" s="86"/>
      <c r="F426" s="86"/>
      <c r="G426" s="86"/>
      <c r="H426" s="86"/>
      <c r="I426" s="86"/>
      <c r="J426" s="86"/>
      <c r="K426" s="86"/>
      <c r="L426" s="86"/>
      <c r="M426" s="86"/>
      <c r="N426" s="86"/>
      <c r="O426" s="86"/>
      <c r="P426" s="86"/>
      <c r="Q426" s="86"/>
      <c r="R426" s="86"/>
    </row>
    <row r="427" spans="1:18">
      <c r="A427" s="86"/>
      <c r="B427" s="86"/>
      <c r="C427" s="86"/>
      <c r="D427" s="86"/>
      <c r="E427" s="86"/>
      <c r="F427" s="86"/>
      <c r="G427" s="86"/>
      <c r="H427" s="86"/>
      <c r="I427" s="86"/>
      <c r="J427" s="86"/>
      <c r="K427" s="86"/>
      <c r="L427" s="86"/>
      <c r="M427" s="86"/>
      <c r="N427" s="86"/>
      <c r="O427" s="86"/>
      <c r="P427" s="86"/>
      <c r="Q427" s="86"/>
      <c r="R427" s="86"/>
    </row>
    <row r="428" spans="1:18">
      <c r="A428" s="86"/>
      <c r="B428" s="86"/>
      <c r="C428" s="86"/>
      <c r="D428" s="86"/>
      <c r="E428" s="86"/>
      <c r="F428" s="86"/>
      <c r="G428" s="86"/>
      <c r="H428" s="86"/>
      <c r="I428" s="86"/>
      <c r="J428" s="86"/>
      <c r="K428" s="86"/>
      <c r="L428" s="86"/>
      <c r="M428" s="86"/>
      <c r="N428" s="86"/>
      <c r="O428" s="86"/>
      <c r="P428" s="86"/>
      <c r="Q428" s="86"/>
      <c r="R428" s="86"/>
    </row>
    <row r="429" spans="1:18">
      <c r="A429" s="86"/>
      <c r="B429" s="86"/>
      <c r="C429" s="86"/>
      <c r="D429" s="86"/>
      <c r="E429" s="86"/>
      <c r="F429" s="86"/>
      <c r="G429" s="86"/>
      <c r="H429" s="86"/>
      <c r="I429" s="86"/>
      <c r="J429" s="86"/>
      <c r="K429" s="86"/>
      <c r="L429" s="86"/>
      <c r="M429" s="86"/>
      <c r="N429" s="86"/>
      <c r="O429" s="86"/>
      <c r="P429" s="86"/>
      <c r="Q429" s="86"/>
      <c r="R429" s="86"/>
    </row>
    <row r="430" spans="1:18">
      <c r="A430" s="86"/>
      <c r="B430" s="86"/>
      <c r="C430" s="86"/>
      <c r="D430" s="86"/>
      <c r="E430" s="86"/>
      <c r="F430" s="86"/>
      <c r="G430" s="86"/>
      <c r="H430" s="86"/>
      <c r="I430" s="86"/>
      <c r="J430" s="86"/>
      <c r="K430" s="86"/>
      <c r="L430" s="86"/>
      <c r="M430" s="86"/>
      <c r="N430" s="86"/>
      <c r="O430" s="86"/>
      <c r="P430" s="86"/>
      <c r="Q430" s="86"/>
      <c r="R430" s="86"/>
    </row>
    <row r="431" spans="1:18">
      <c r="A431" s="86"/>
      <c r="B431" s="86"/>
      <c r="C431" s="86"/>
      <c r="D431" s="86"/>
      <c r="E431" s="86"/>
      <c r="F431" s="86"/>
      <c r="G431" s="86"/>
      <c r="H431" s="86"/>
      <c r="I431" s="86"/>
      <c r="J431" s="86"/>
      <c r="K431" s="86"/>
      <c r="L431" s="86"/>
      <c r="M431" s="86"/>
      <c r="N431" s="86"/>
      <c r="O431" s="86"/>
      <c r="P431" s="86"/>
      <c r="Q431" s="86"/>
      <c r="R431" s="86"/>
    </row>
    <row r="432" spans="1:18">
      <c r="A432" s="86"/>
      <c r="B432" s="86"/>
      <c r="C432" s="86"/>
      <c r="D432" s="86"/>
      <c r="E432" s="86"/>
      <c r="F432" s="86"/>
      <c r="G432" s="86"/>
      <c r="H432" s="86"/>
      <c r="I432" s="86"/>
      <c r="J432" s="86"/>
      <c r="K432" s="86"/>
      <c r="L432" s="86"/>
      <c r="M432" s="86"/>
      <c r="N432" s="86"/>
      <c r="O432" s="86"/>
      <c r="P432" s="86"/>
      <c r="Q432" s="86"/>
      <c r="R432" s="86"/>
    </row>
    <row r="433" spans="1:18">
      <c r="A433" s="86"/>
      <c r="B433" s="86"/>
      <c r="C433" s="86"/>
      <c r="D433" s="86"/>
      <c r="E433" s="86"/>
      <c r="F433" s="86"/>
      <c r="G433" s="86"/>
      <c r="H433" s="86"/>
      <c r="I433" s="86"/>
      <c r="J433" s="86"/>
      <c r="K433" s="86"/>
      <c r="L433" s="86"/>
      <c r="M433" s="86"/>
      <c r="N433" s="86"/>
      <c r="O433" s="86"/>
      <c r="P433" s="86"/>
      <c r="Q433" s="86"/>
      <c r="R433" s="86"/>
    </row>
    <row r="434" spans="1:18">
      <c r="A434" s="86"/>
      <c r="B434" s="86"/>
      <c r="C434" s="86"/>
      <c r="D434" s="86"/>
      <c r="E434" s="86"/>
      <c r="F434" s="86"/>
      <c r="G434" s="86"/>
      <c r="H434" s="86"/>
      <c r="I434" s="86"/>
      <c r="J434" s="86"/>
      <c r="K434" s="86"/>
      <c r="L434" s="86"/>
      <c r="M434" s="86"/>
      <c r="N434" s="86"/>
      <c r="O434" s="86"/>
      <c r="P434" s="86"/>
      <c r="Q434" s="86"/>
      <c r="R434" s="86"/>
    </row>
    <row r="435" spans="1:18">
      <c r="A435" s="86"/>
      <c r="B435" s="86"/>
      <c r="C435" s="86"/>
      <c r="D435" s="86"/>
      <c r="E435" s="86"/>
      <c r="F435" s="86"/>
      <c r="G435" s="86"/>
      <c r="H435" s="86"/>
      <c r="I435" s="86"/>
      <c r="J435" s="86"/>
      <c r="K435" s="86"/>
      <c r="L435" s="86"/>
      <c r="M435" s="86"/>
      <c r="N435" s="86"/>
      <c r="O435" s="86"/>
      <c r="P435" s="86"/>
      <c r="Q435" s="86"/>
      <c r="R435" s="86"/>
    </row>
    <row r="436" spans="1:18">
      <c r="A436" s="86"/>
      <c r="B436" s="86"/>
      <c r="C436" s="86"/>
      <c r="D436" s="86"/>
      <c r="E436" s="86"/>
      <c r="F436" s="86"/>
      <c r="G436" s="86"/>
      <c r="H436" s="86"/>
      <c r="I436" s="86"/>
      <c r="J436" s="86"/>
      <c r="K436" s="86"/>
      <c r="L436" s="86"/>
      <c r="M436" s="86"/>
      <c r="N436" s="86"/>
      <c r="O436" s="86"/>
      <c r="P436" s="86"/>
      <c r="Q436" s="86"/>
      <c r="R436" s="86"/>
    </row>
    <row r="437" spans="1:18">
      <c r="A437" s="86"/>
      <c r="B437" s="86"/>
      <c r="C437" s="86"/>
      <c r="D437" s="86"/>
      <c r="E437" s="86"/>
      <c r="F437" s="86"/>
      <c r="G437" s="86"/>
      <c r="H437" s="86"/>
      <c r="I437" s="86"/>
      <c r="J437" s="86"/>
      <c r="K437" s="86"/>
      <c r="L437" s="86"/>
      <c r="M437" s="86"/>
      <c r="N437" s="86"/>
      <c r="O437" s="86"/>
      <c r="P437" s="86"/>
      <c r="Q437" s="86"/>
      <c r="R437" s="86"/>
    </row>
    <row r="438" spans="1:18">
      <c r="A438" s="86"/>
      <c r="B438" s="86"/>
      <c r="C438" s="86"/>
      <c r="D438" s="86"/>
      <c r="E438" s="86"/>
      <c r="F438" s="86"/>
      <c r="G438" s="86"/>
      <c r="H438" s="86"/>
      <c r="I438" s="86"/>
      <c r="J438" s="86"/>
      <c r="K438" s="86"/>
      <c r="L438" s="86"/>
      <c r="M438" s="86"/>
      <c r="N438" s="86"/>
      <c r="O438" s="86"/>
      <c r="P438" s="86"/>
      <c r="Q438" s="86"/>
      <c r="R438" s="86"/>
    </row>
    <row r="439" spans="1:18">
      <c r="A439" s="86"/>
      <c r="B439" s="86"/>
      <c r="C439" s="86"/>
      <c r="D439" s="86"/>
      <c r="E439" s="86"/>
      <c r="F439" s="86"/>
      <c r="G439" s="86"/>
      <c r="H439" s="86"/>
      <c r="I439" s="86"/>
      <c r="J439" s="86"/>
      <c r="K439" s="86"/>
      <c r="L439" s="86"/>
      <c r="M439" s="86"/>
      <c r="N439" s="86"/>
      <c r="O439" s="86"/>
      <c r="P439" s="86"/>
      <c r="Q439" s="86"/>
      <c r="R439" s="86"/>
    </row>
    <row r="440" spans="1:18">
      <c r="A440" s="86"/>
      <c r="B440" s="86"/>
      <c r="C440" s="86"/>
      <c r="D440" s="86"/>
      <c r="E440" s="86"/>
      <c r="F440" s="86"/>
      <c r="G440" s="86"/>
      <c r="H440" s="86"/>
      <c r="I440" s="86"/>
      <c r="J440" s="86"/>
      <c r="K440" s="86"/>
      <c r="L440" s="86"/>
      <c r="M440" s="86"/>
      <c r="N440" s="86"/>
      <c r="O440" s="86"/>
      <c r="P440" s="86"/>
      <c r="Q440" s="86"/>
      <c r="R440" s="86"/>
    </row>
    <row r="441" spans="1:18">
      <c r="A441" s="86"/>
      <c r="B441" s="86"/>
      <c r="C441" s="86"/>
      <c r="D441" s="86"/>
      <c r="E441" s="86"/>
      <c r="F441" s="86"/>
      <c r="G441" s="86"/>
      <c r="H441" s="86"/>
      <c r="I441" s="86"/>
      <c r="J441" s="86"/>
      <c r="K441" s="86"/>
      <c r="L441" s="86"/>
      <c r="M441" s="86"/>
      <c r="N441" s="86"/>
      <c r="O441" s="86"/>
      <c r="P441" s="86"/>
      <c r="Q441" s="86"/>
      <c r="R441" s="86"/>
    </row>
    <row r="442" spans="1:18">
      <c r="A442" s="86"/>
      <c r="B442" s="86"/>
      <c r="C442" s="86"/>
      <c r="D442" s="86"/>
      <c r="E442" s="86"/>
      <c r="F442" s="86"/>
      <c r="G442" s="86"/>
      <c r="H442" s="86"/>
      <c r="I442" s="86"/>
      <c r="J442" s="86"/>
      <c r="K442" s="86"/>
      <c r="L442" s="86"/>
      <c r="M442" s="86"/>
      <c r="N442" s="86"/>
      <c r="O442" s="86"/>
      <c r="P442" s="86"/>
      <c r="Q442" s="86"/>
      <c r="R442" s="86"/>
    </row>
    <row r="443" spans="1:18">
      <c r="A443" s="86"/>
      <c r="B443" s="86"/>
      <c r="C443" s="86"/>
      <c r="D443" s="86"/>
      <c r="E443" s="86"/>
      <c r="F443" s="86"/>
      <c r="G443" s="86"/>
      <c r="H443" s="86"/>
      <c r="I443" s="86"/>
      <c r="J443" s="86"/>
      <c r="K443" s="86"/>
      <c r="L443" s="86"/>
      <c r="M443" s="86"/>
      <c r="N443" s="86"/>
      <c r="O443" s="86"/>
      <c r="P443" s="86"/>
      <c r="Q443" s="86"/>
      <c r="R443" s="86"/>
    </row>
    <row r="444" spans="1:18">
      <c r="A444" s="86"/>
      <c r="B444" s="86"/>
      <c r="C444" s="86"/>
      <c r="D444" s="86"/>
      <c r="E444" s="86"/>
      <c r="F444" s="86"/>
      <c r="G444" s="86"/>
      <c r="H444" s="86"/>
      <c r="I444" s="86"/>
      <c r="J444" s="86"/>
      <c r="K444" s="86"/>
      <c r="L444" s="86"/>
      <c r="M444" s="86"/>
      <c r="N444" s="86"/>
      <c r="O444" s="86"/>
      <c r="P444" s="86"/>
      <c r="Q444" s="86"/>
      <c r="R444" s="86"/>
    </row>
    <row r="445" spans="1:18">
      <c r="A445" s="86"/>
      <c r="B445" s="86"/>
      <c r="C445" s="86"/>
      <c r="D445" s="86"/>
      <c r="E445" s="86"/>
      <c r="F445" s="86"/>
      <c r="G445" s="86"/>
      <c r="H445" s="86"/>
      <c r="I445" s="86"/>
      <c r="J445" s="86"/>
      <c r="K445" s="86"/>
      <c r="L445" s="86"/>
      <c r="M445" s="86"/>
      <c r="N445" s="86"/>
      <c r="O445" s="86"/>
      <c r="P445" s="86"/>
      <c r="Q445" s="86"/>
      <c r="R445" s="86"/>
    </row>
    <row r="446" spans="1:18">
      <c r="A446" s="86"/>
      <c r="B446" s="86"/>
      <c r="C446" s="86"/>
      <c r="D446" s="86"/>
      <c r="E446" s="86"/>
      <c r="F446" s="86"/>
      <c r="G446" s="86"/>
      <c r="H446" s="86"/>
      <c r="I446" s="86"/>
      <c r="J446" s="86"/>
      <c r="K446" s="86"/>
      <c r="L446" s="86"/>
      <c r="M446" s="86"/>
      <c r="N446" s="86"/>
      <c r="O446" s="86"/>
      <c r="P446" s="86"/>
      <c r="Q446" s="86"/>
      <c r="R446" s="86"/>
    </row>
    <row r="447" spans="1:18">
      <c r="A447" s="86"/>
      <c r="B447" s="86"/>
      <c r="C447" s="86"/>
      <c r="D447" s="86"/>
      <c r="E447" s="86"/>
      <c r="F447" s="86"/>
      <c r="G447" s="86"/>
      <c r="H447" s="86"/>
      <c r="I447" s="86"/>
      <c r="J447" s="86"/>
      <c r="K447" s="86"/>
      <c r="L447" s="86"/>
      <c r="M447" s="86"/>
      <c r="N447" s="86"/>
      <c r="O447" s="86"/>
      <c r="P447" s="86"/>
      <c r="Q447" s="86"/>
      <c r="R447" s="86"/>
    </row>
    <row r="448" spans="1:18">
      <c r="A448" s="86"/>
      <c r="B448" s="86"/>
      <c r="C448" s="86"/>
      <c r="D448" s="86"/>
      <c r="E448" s="86"/>
      <c r="F448" s="86"/>
      <c r="G448" s="86"/>
      <c r="H448" s="86"/>
      <c r="I448" s="86"/>
      <c r="J448" s="86"/>
      <c r="K448" s="86"/>
      <c r="L448" s="86"/>
      <c r="M448" s="86"/>
      <c r="N448" s="86"/>
      <c r="O448" s="86"/>
      <c r="P448" s="86"/>
      <c r="Q448" s="86"/>
      <c r="R448" s="86"/>
    </row>
    <row r="449" spans="1:18">
      <c r="A449" s="86"/>
      <c r="B449" s="86"/>
      <c r="C449" s="86"/>
      <c r="D449" s="86"/>
      <c r="E449" s="86"/>
      <c r="F449" s="86"/>
      <c r="G449" s="86"/>
      <c r="H449" s="86"/>
      <c r="I449" s="86"/>
      <c r="J449" s="86"/>
      <c r="K449" s="86"/>
      <c r="L449" s="86"/>
      <c r="M449" s="86"/>
      <c r="N449" s="86"/>
      <c r="O449" s="86"/>
      <c r="P449" s="86"/>
      <c r="Q449" s="86"/>
      <c r="R449" s="86"/>
    </row>
    <row r="450" spans="1:18">
      <c r="A450" s="86"/>
      <c r="B450" s="86"/>
      <c r="C450" s="86"/>
      <c r="D450" s="86"/>
      <c r="E450" s="86"/>
      <c r="F450" s="86"/>
      <c r="G450" s="86"/>
      <c r="H450" s="86"/>
      <c r="I450" s="86"/>
      <c r="J450" s="86"/>
      <c r="K450" s="86"/>
      <c r="L450" s="86"/>
      <c r="M450" s="86"/>
      <c r="N450" s="86"/>
      <c r="O450" s="86"/>
      <c r="P450" s="86"/>
      <c r="Q450" s="86"/>
      <c r="R450" s="86"/>
    </row>
    <row r="451" spans="1:18">
      <c r="A451" s="86"/>
      <c r="B451" s="86"/>
      <c r="C451" s="86"/>
      <c r="D451" s="86"/>
      <c r="E451" s="86"/>
      <c r="F451" s="86"/>
      <c r="G451" s="86"/>
      <c r="H451" s="86"/>
      <c r="I451" s="86"/>
      <c r="J451" s="86"/>
      <c r="K451" s="86"/>
      <c r="L451" s="86"/>
      <c r="M451" s="86"/>
      <c r="N451" s="86"/>
      <c r="O451" s="86"/>
      <c r="P451" s="86"/>
      <c r="Q451" s="86"/>
      <c r="R451" s="86"/>
    </row>
    <row r="452" spans="1:18">
      <c r="A452" s="86"/>
      <c r="B452" s="86"/>
      <c r="C452" s="86"/>
      <c r="D452" s="86"/>
      <c r="E452" s="86"/>
      <c r="F452" s="86"/>
      <c r="G452" s="86"/>
      <c r="H452" s="86"/>
      <c r="I452" s="86"/>
      <c r="J452" s="86"/>
      <c r="K452" s="86"/>
      <c r="L452" s="86"/>
      <c r="M452" s="86"/>
      <c r="N452" s="86"/>
      <c r="O452" s="86"/>
      <c r="P452" s="86"/>
      <c r="Q452" s="86"/>
      <c r="R452" s="86"/>
    </row>
    <row r="453" spans="1:18">
      <c r="A453" s="86"/>
      <c r="B453" s="86"/>
      <c r="C453" s="86"/>
      <c r="D453" s="86"/>
      <c r="E453" s="86"/>
      <c r="F453" s="86"/>
      <c r="G453" s="86"/>
      <c r="H453" s="86"/>
      <c r="I453" s="86"/>
      <c r="J453" s="86"/>
      <c r="K453" s="86"/>
      <c r="L453" s="86"/>
      <c r="M453" s="86"/>
      <c r="N453" s="86"/>
      <c r="O453" s="86"/>
      <c r="P453" s="86"/>
      <c r="Q453" s="86"/>
      <c r="R453" s="86"/>
    </row>
    <row r="454" spans="1:18">
      <c r="A454" s="86"/>
      <c r="B454" s="86"/>
      <c r="C454" s="86"/>
      <c r="D454" s="86"/>
      <c r="E454" s="86"/>
      <c r="F454" s="86"/>
      <c r="G454" s="86"/>
      <c r="H454" s="86"/>
      <c r="I454" s="86"/>
      <c r="J454" s="86"/>
      <c r="K454" s="86"/>
      <c r="L454" s="86"/>
      <c r="M454" s="86"/>
      <c r="N454" s="86"/>
      <c r="O454" s="86"/>
      <c r="P454" s="86"/>
      <c r="Q454" s="86"/>
      <c r="R454" s="86"/>
    </row>
    <row r="455" spans="1:18">
      <c r="A455" s="86"/>
      <c r="B455" s="86"/>
      <c r="C455" s="86"/>
      <c r="D455" s="86"/>
      <c r="E455" s="86"/>
      <c r="F455" s="86"/>
      <c r="G455" s="86"/>
      <c r="H455" s="86"/>
      <c r="I455" s="86"/>
      <c r="J455" s="86"/>
      <c r="K455" s="86"/>
      <c r="L455" s="86"/>
      <c r="M455" s="86"/>
      <c r="N455" s="86"/>
      <c r="O455" s="86"/>
      <c r="P455" s="86"/>
      <c r="Q455" s="86"/>
      <c r="R455" s="86"/>
    </row>
    <row r="456" spans="1:18">
      <c r="A456" s="86"/>
      <c r="B456" s="86"/>
      <c r="C456" s="86"/>
      <c r="D456" s="86"/>
      <c r="E456" s="86"/>
      <c r="F456" s="86"/>
      <c r="G456" s="86"/>
      <c r="H456" s="86"/>
      <c r="I456" s="86"/>
      <c r="J456" s="86"/>
      <c r="K456" s="86"/>
      <c r="L456" s="86"/>
      <c r="M456" s="86"/>
      <c r="N456" s="86"/>
      <c r="O456" s="86"/>
      <c r="P456" s="86"/>
      <c r="Q456" s="86"/>
      <c r="R456" s="86"/>
    </row>
    <row r="457" spans="1:18">
      <c r="A457" s="86"/>
      <c r="B457" s="86"/>
      <c r="C457" s="86"/>
      <c r="D457" s="86"/>
      <c r="E457" s="86"/>
      <c r="F457" s="86"/>
      <c r="G457" s="86"/>
      <c r="H457" s="86"/>
      <c r="I457" s="86"/>
      <c r="J457" s="86"/>
      <c r="K457" s="86"/>
      <c r="L457" s="86"/>
      <c r="M457" s="86"/>
      <c r="N457" s="86"/>
      <c r="O457" s="86"/>
      <c r="P457" s="86"/>
      <c r="Q457" s="86"/>
      <c r="R457" s="86"/>
    </row>
    <row r="458" spans="1:18">
      <c r="A458" s="86"/>
      <c r="B458" s="86"/>
      <c r="C458" s="86"/>
      <c r="D458" s="86"/>
      <c r="E458" s="86"/>
      <c r="F458" s="86"/>
      <c r="G458" s="86"/>
      <c r="H458" s="86"/>
      <c r="I458" s="86"/>
      <c r="J458" s="86"/>
      <c r="K458" s="86"/>
      <c r="L458" s="86"/>
      <c r="M458" s="86"/>
      <c r="N458" s="86"/>
      <c r="O458" s="86"/>
      <c r="P458" s="86"/>
      <c r="Q458" s="86"/>
      <c r="R458" s="86"/>
    </row>
    <row r="459" spans="1:18">
      <c r="A459" s="86"/>
      <c r="B459" s="86"/>
      <c r="C459" s="86"/>
      <c r="D459" s="86"/>
      <c r="E459" s="86"/>
      <c r="F459" s="86"/>
      <c r="G459" s="86"/>
      <c r="H459" s="86"/>
      <c r="I459" s="86"/>
      <c r="J459" s="86"/>
      <c r="K459" s="86"/>
      <c r="L459" s="86"/>
      <c r="M459" s="86"/>
      <c r="N459" s="86"/>
      <c r="O459" s="86"/>
      <c r="P459" s="86"/>
      <c r="Q459" s="86"/>
      <c r="R459" s="86"/>
    </row>
    <row r="460" spans="1:18">
      <c r="A460" s="86"/>
      <c r="B460" s="86"/>
      <c r="C460" s="86"/>
      <c r="D460" s="86"/>
      <c r="E460" s="86"/>
      <c r="F460" s="86"/>
      <c r="G460" s="86"/>
      <c r="H460" s="86"/>
      <c r="I460" s="86"/>
      <c r="J460" s="86"/>
      <c r="K460" s="86"/>
      <c r="L460" s="86"/>
      <c r="M460" s="86"/>
      <c r="N460" s="86"/>
      <c r="O460" s="86"/>
      <c r="P460" s="86"/>
      <c r="Q460" s="86"/>
      <c r="R460" s="86"/>
    </row>
    <row r="461" spans="1:18">
      <c r="A461" s="86"/>
      <c r="B461" s="86"/>
      <c r="C461" s="86"/>
      <c r="D461" s="86"/>
      <c r="E461" s="86"/>
      <c r="F461" s="86"/>
      <c r="G461" s="86"/>
      <c r="H461" s="86"/>
      <c r="I461" s="86"/>
      <c r="J461" s="86"/>
      <c r="K461" s="86"/>
      <c r="L461" s="86"/>
      <c r="M461" s="86"/>
      <c r="N461" s="86"/>
      <c r="O461" s="86"/>
      <c r="P461" s="86"/>
      <c r="Q461" s="86"/>
      <c r="R461" s="86"/>
    </row>
    <row r="462" spans="1:18">
      <c r="A462" s="86"/>
      <c r="B462" s="86"/>
      <c r="C462" s="86"/>
      <c r="D462" s="86"/>
      <c r="E462" s="86"/>
      <c r="F462" s="86"/>
      <c r="G462" s="86"/>
      <c r="H462" s="86"/>
      <c r="I462" s="86"/>
      <c r="J462" s="86"/>
      <c r="K462" s="86"/>
      <c r="L462" s="86"/>
      <c r="M462" s="86"/>
      <c r="N462" s="86"/>
      <c r="O462" s="86"/>
      <c r="P462" s="86"/>
      <c r="Q462" s="86"/>
      <c r="R462" s="86"/>
    </row>
    <row r="463" spans="1:18">
      <c r="A463" s="86"/>
      <c r="B463" s="86"/>
      <c r="C463" s="86"/>
      <c r="D463" s="86"/>
      <c r="E463" s="86"/>
      <c r="F463" s="86"/>
      <c r="G463" s="86"/>
      <c r="H463" s="86"/>
      <c r="I463" s="86"/>
      <c r="J463" s="86"/>
      <c r="K463" s="86"/>
      <c r="L463" s="86"/>
      <c r="M463" s="86"/>
      <c r="N463" s="86"/>
      <c r="O463" s="86"/>
      <c r="P463" s="86"/>
      <c r="Q463" s="86"/>
      <c r="R463" s="86"/>
    </row>
    <row r="464" spans="1:18">
      <c r="A464" s="86"/>
      <c r="B464" s="86"/>
      <c r="C464" s="86"/>
      <c r="D464" s="86"/>
      <c r="E464" s="86"/>
      <c r="F464" s="86"/>
      <c r="G464" s="86"/>
      <c r="H464" s="86"/>
      <c r="I464" s="86"/>
      <c r="J464" s="86"/>
      <c r="K464" s="86"/>
      <c r="L464" s="86"/>
      <c r="M464" s="86"/>
      <c r="N464" s="86"/>
      <c r="O464" s="86"/>
      <c r="P464" s="86"/>
      <c r="Q464" s="86"/>
      <c r="R464" s="86"/>
    </row>
    <row r="465" spans="1:18">
      <c r="A465" s="86"/>
      <c r="B465" s="86"/>
      <c r="C465" s="86"/>
      <c r="D465" s="86"/>
      <c r="E465" s="86"/>
      <c r="F465" s="86"/>
      <c r="G465" s="86"/>
      <c r="H465" s="86"/>
      <c r="I465" s="86"/>
      <c r="J465" s="86"/>
      <c r="K465" s="86"/>
      <c r="L465" s="86"/>
      <c r="M465" s="86"/>
      <c r="N465" s="86"/>
      <c r="O465" s="86"/>
      <c r="P465" s="86"/>
      <c r="Q465" s="86"/>
      <c r="R465" s="86"/>
    </row>
    <row r="466" spans="1:18">
      <c r="A466" s="86"/>
      <c r="B466" s="86"/>
      <c r="C466" s="86"/>
      <c r="D466" s="86"/>
      <c r="E466" s="86"/>
      <c r="F466" s="86"/>
      <c r="G466" s="86"/>
      <c r="H466" s="86"/>
      <c r="I466" s="86"/>
      <c r="J466" s="86"/>
      <c r="K466" s="86"/>
      <c r="L466" s="86"/>
      <c r="M466" s="86"/>
      <c r="N466" s="86"/>
      <c r="O466" s="86"/>
      <c r="P466" s="86"/>
      <c r="Q466" s="86"/>
      <c r="R466" s="86"/>
    </row>
    <row r="467" spans="1:18">
      <c r="A467" s="86"/>
      <c r="B467" s="86"/>
      <c r="C467" s="86"/>
      <c r="D467" s="86"/>
      <c r="E467" s="86"/>
      <c r="F467" s="86"/>
      <c r="G467" s="86"/>
      <c r="H467" s="86"/>
      <c r="I467" s="86"/>
      <c r="J467" s="86"/>
      <c r="K467" s="86"/>
      <c r="L467" s="86"/>
      <c r="M467" s="86"/>
      <c r="N467" s="86"/>
      <c r="O467" s="86"/>
      <c r="P467" s="86"/>
      <c r="Q467" s="86"/>
      <c r="R467" s="86"/>
    </row>
    <row r="468" spans="1:18">
      <c r="A468" s="86"/>
      <c r="B468" s="86"/>
      <c r="C468" s="86"/>
      <c r="D468" s="86"/>
      <c r="E468" s="86"/>
      <c r="F468" s="86"/>
      <c r="G468" s="86"/>
      <c r="H468" s="86"/>
      <c r="I468" s="86"/>
      <c r="J468" s="86"/>
      <c r="K468" s="86"/>
      <c r="L468" s="86"/>
      <c r="M468" s="86"/>
      <c r="N468" s="86"/>
      <c r="O468" s="86"/>
      <c r="P468" s="86"/>
      <c r="Q468" s="86"/>
      <c r="R468" s="86"/>
    </row>
    <row r="469" spans="1:18">
      <c r="A469" s="86"/>
      <c r="B469" s="86"/>
      <c r="C469" s="86"/>
      <c r="D469" s="86"/>
      <c r="E469" s="86"/>
      <c r="F469" s="86"/>
      <c r="G469" s="86"/>
      <c r="H469" s="86"/>
      <c r="I469" s="86"/>
      <c r="J469" s="86"/>
      <c r="K469" s="86"/>
      <c r="L469" s="86"/>
      <c r="M469" s="86"/>
      <c r="N469" s="86"/>
      <c r="O469" s="86"/>
      <c r="P469" s="86"/>
      <c r="Q469" s="86"/>
      <c r="R469" s="86"/>
    </row>
    <row r="470" spans="1:18">
      <c r="A470" s="86"/>
      <c r="B470" s="86"/>
      <c r="C470" s="86"/>
      <c r="D470" s="86"/>
      <c r="E470" s="86"/>
      <c r="F470" s="86"/>
      <c r="G470" s="86"/>
      <c r="H470" s="86"/>
      <c r="I470" s="86"/>
      <c r="J470" s="86"/>
      <c r="K470" s="86"/>
      <c r="L470" s="86"/>
      <c r="M470" s="86"/>
      <c r="N470" s="86"/>
      <c r="O470" s="86"/>
      <c r="P470" s="86"/>
      <c r="Q470" s="86"/>
      <c r="R470" s="86"/>
    </row>
    <row r="471" spans="1:18">
      <c r="A471" s="86"/>
      <c r="B471" s="86"/>
      <c r="C471" s="86"/>
      <c r="D471" s="86"/>
      <c r="E471" s="86"/>
      <c r="F471" s="86"/>
      <c r="G471" s="86"/>
      <c r="H471" s="86"/>
      <c r="I471" s="86"/>
      <c r="J471" s="86"/>
      <c r="K471" s="86"/>
      <c r="L471" s="86"/>
      <c r="M471" s="86"/>
      <c r="N471" s="86"/>
      <c r="O471" s="86"/>
      <c r="P471" s="86"/>
      <c r="Q471" s="86"/>
      <c r="R471" s="86"/>
    </row>
    <row r="472" spans="1:18">
      <c r="A472" s="86"/>
      <c r="B472" s="86"/>
      <c r="C472" s="86"/>
      <c r="D472" s="86"/>
      <c r="E472" s="86"/>
      <c r="F472" s="86"/>
      <c r="G472" s="86"/>
      <c r="H472" s="86"/>
      <c r="I472" s="86"/>
      <c r="J472" s="86"/>
      <c r="K472" s="86"/>
      <c r="L472" s="86"/>
      <c r="M472" s="86"/>
      <c r="N472" s="86"/>
      <c r="O472" s="86"/>
      <c r="P472" s="86"/>
      <c r="Q472" s="86"/>
      <c r="R472" s="86"/>
    </row>
    <row r="473" spans="1:18">
      <c r="A473" s="86"/>
      <c r="B473" s="86"/>
      <c r="C473" s="86"/>
      <c r="D473" s="86"/>
      <c r="E473" s="86"/>
      <c r="F473" s="86"/>
      <c r="G473" s="86"/>
      <c r="H473" s="86"/>
      <c r="I473" s="86"/>
      <c r="J473" s="86"/>
      <c r="K473" s="86"/>
      <c r="L473" s="86"/>
      <c r="M473" s="86"/>
      <c r="N473" s="86"/>
      <c r="O473" s="86"/>
      <c r="P473" s="86"/>
      <c r="Q473" s="86"/>
      <c r="R473" s="86"/>
    </row>
    <row r="474" spans="1:18">
      <c r="A474" s="86"/>
      <c r="B474" s="86"/>
      <c r="C474" s="86"/>
      <c r="D474" s="86"/>
      <c r="E474" s="86"/>
      <c r="F474" s="86"/>
      <c r="G474" s="86"/>
      <c r="H474" s="86"/>
      <c r="I474" s="86"/>
      <c r="J474" s="86"/>
      <c r="K474" s="86"/>
      <c r="L474" s="86"/>
      <c r="M474" s="86"/>
      <c r="N474" s="86"/>
      <c r="O474" s="86"/>
      <c r="P474" s="86"/>
      <c r="Q474" s="86"/>
      <c r="R474" s="86"/>
    </row>
    <row r="475" spans="1:18">
      <c r="A475" s="86"/>
      <c r="B475" s="86"/>
      <c r="C475" s="86"/>
      <c r="D475" s="86"/>
      <c r="E475" s="86"/>
      <c r="F475" s="86"/>
      <c r="G475" s="86"/>
      <c r="H475" s="86"/>
      <c r="I475" s="86"/>
      <c r="J475" s="86"/>
      <c r="K475" s="86"/>
      <c r="L475" s="86"/>
      <c r="M475" s="86"/>
      <c r="N475" s="86"/>
      <c r="O475" s="86"/>
      <c r="P475" s="86"/>
      <c r="Q475" s="86"/>
      <c r="R475" s="86"/>
    </row>
    <row r="476" spans="1:18">
      <c r="A476" s="86"/>
      <c r="B476" s="86"/>
      <c r="C476" s="86"/>
      <c r="D476" s="86"/>
      <c r="E476" s="86"/>
      <c r="F476" s="86"/>
      <c r="G476" s="86"/>
      <c r="H476" s="86"/>
      <c r="I476" s="86"/>
      <c r="J476" s="86"/>
      <c r="K476" s="86"/>
      <c r="L476" s="86"/>
      <c r="M476" s="86"/>
      <c r="N476" s="86"/>
      <c r="O476" s="86"/>
      <c r="P476" s="86"/>
      <c r="Q476" s="86"/>
      <c r="R476" s="86"/>
    </row>
    <row r="477" spans="1:18">
      <c r="A477" s="86"/>
      <c r="B477" s="86"/>
      <c r="C477" s="86"/>
      <c r="D477" s="86"/>
      <c r="E477" s="86"/>
      <c r="F477" s="86"/>
      <c r="G477" s="86"/>
      <c r="H477" s="86"/>
      <c r="I477" s="86"/>
      <c r="J477" s="86"/>
      <c r="K477" s="86"/>
      <c r="L477" s="86"/>
      <c r="M477" s="86"/>
      <c r="N477" s="86"/>
      <c r="O477" s="86"/>
      <c r="P477" s="86"/>
      <c r="Q477" s="86"/>
      <c r="R477" s="86"/>
    </row>
    <row r="478" spans="1:18">
      <c r="A478" s="86"/>
      <c r="B478" s="86"/>
      <c r="C478" s="86"/>
      <c r="D478" s="86"/>
      <c r="E478" s="86"/>
      <c r="F478" s="86"/>
      <c r="G478" s="86"/>
      <c r="H478" s="86"/>
      <c r="I478" s="86"/>
      <c r="J478" s="86"/>
      <c r="K478" s="86"/>
      <c r="L478" s="86"/>
      <c r="M478" s="86"/>
      <c r="N478" s="86"/>
      <c r="O478" s="86"/>
      <c r="P478" s="86"/>
      <c r="Q478" s="86"/>
      <c r="R478" s="86"/>
    </row>
    <row r="479" spans="1:18">
      <c r="A479" s="86"/>
      <c r="B479" s="86"/>
      <c r="C479" s="86"/>
      <c r="D479" s="86"/>
      <c r="E479" s="86"/>
      <c r="F479" s="86"/>
      <c r="G479" s="86"/>
      <c r="H479" s="86"/>
      <c r="I479" s="86"/>
      <c r="J479" s="86"/>
      <c r="K479" s="86"/>
      <c r="L479" s="86"/>
      <c r="M479" s="86"/>
      <c r="N479" s="86"/>
      <c r="O479" s="86"/>
      <c r="P479" s="86"/>
      <c r="Q479" s="86"/>
      <c r="R479" s="86"/>
    </row>
    <row r="480" spans="1:18">
      <c r="A480" s="86"/>
      <c r="B480" s="86"/>
      <c r="C480" s="86"/>
      <c r="D480" s="86"/>
      <c r="E480" s="86"/>
      <c r="F480" s="86"/>
      <c r="G480" s="86"/>
      <c r="H480" s="86"/>
      <c r="I480" s="86"/>
      <c r="J480" s="86"/>
      <c r="K480" s="86"/>
      <c r="L480" s="86"/>
      <c r="M480" s="86"/>
      <c r="N480" s="86"/>
      <c r="O480" s="86"/>
      <c r="P480" s="86"/>
      <c r="Q480" s="86"/>
      <c r="R480" s="86"/>
    </row>
    <row r="481" spans="1:18">
      <c r="A481" s="86"/>
      <c r="B481" s="86"/>
      <c r="C481" s="86"/>
      <c r="D481" s="86"/>
      <c r="E481" s="86"/>
      <c r="F481" s="86"/>
      <c r="G481" s="86"/>
      <c r="H481" s="86"/>
      <c r="I481" s="86"/>
      <c r="J481" s="86"/>
      <c r="K481" s="86"/>
      <c r="L481" s="86"/>
      <c r="M481" s="86"/>
      <c r="N481" s="86"/>
      <c r="O481" s="86"/>
      <c r="P481" s="86"/>
      <c r="Q481" s="86"/>
      <c r="R481" s="86"/>
    </row>
    <row r="482" spans="1:18">
      <c r="A482" s="86"/>
      <c r="B482" s="86"/>
      <c r="C482" s="86"/>
      <c r="D482" s="86"/>
      <c r="E482" s="86"/>
      <c r="F482" s="86"/>
      <c r="G482" s="86"/>
      <c r="H482" s="86"/>
      <c r="I482" s="86"/>
      <c r="J482" s="86"/>
      <c r="K482" s="86"/>
      <c r="L482" s="86"/>
      <c r="M482" s="86"/>
      <c r="N482" s="86"/>
      <c r="O482" s="86"/>
      <c r="P482" s="86"/>
      <c r="Q482" s="86"/>
      <c r="R482" s="86"/>
    </row>
    <row r="483" spans="1:18">
      <c r="A483" s="86"/>
      <c r="B483" s="86"/>
      <c r="C483" s="86"/>
      <c r="D483" s="86"/>
      <c r="E483" s="86"/>
      <c r="F483" s="86"/>
      <c r="G483" s="86"/>
      <c r="H483" s="86"/>
      <c r="I483" s="86"/>
      <c r="J483" s="86"/>
      <c r="K483" s="86"/>
      <c r="L483" s="86"/>
      <c r="M483" s="86"/>
      <c r="N483" s="86"/>
      <c r="O483" s="86"/>
      <c r="P483" s="86"/>
      <c r="Q483" s="86"/>
      <c r="R483" s="86"/>
    </row>
    <row r="484" spans="1:18">
      <c r="A484" s="86"/>
      <c r="B484" s="86"/>
      <c r="C484" s="86"/>
      <c r="D484" s="86"/>
      <c r="E484" s="86"/>
      <c r="F484" s="86"/>
      <c r="G484" s="86"/>
      <c r="H484" s="86"/>
      <c r="I484" s="86"/>
      <c r="J484" s="86"/>
      <c r="K484" s="86"/>
      <c r="L484" s="86"/>
      <c r="M484" s="86"/>
      <c r="N484" s="86"/>
      <c r="O484" s="86"/>
      <c r="P484" s="86"/>
      <c r="Q484" s="86"/>
      <c r="R484" s="86"/>
    </row>
    <row r="485" spans="1:18">
      <c r="A485" s="86"/>
      <c r="B485" s="86"/>
      <c r="C485" s="86"/>
      <c r="D485" s="86"/>
      <c r="E485" s="86"/>
      <c r="F485" s="86"/>
      <c r="G485" s="86"/>
      <c r="H485" s="86"/>
      <c r="I485" s="86"/>
      <c r="J485" s="86"/>
      <c r="K485" s="86"/>
      <c r="L485" s="86"/>
      <c r="M485" s="86"/>
      <c r="N485" s="86"/>
      <c r="O485" s="86"/>
      <c r="P485" s="86"/>
      <c r="Q485" s="86"/>
      <c r="R485" s="86"/>
    </row>
    <row r="486" spans="1:18">
      <c r="A486" s="86"/>
      <c r="B486" s="86"/>
      <c r="C486" s="86"/>
      <c r="D486" s="86"/>
      <c r="E486" s="86"/>
      <c r="F486" s="86"/>
      <c r="G486" s="86"/>
      <c r="H486" s="86"/>
      <c r="I486" s="86"/>
      <c r="J486" s="86"/>
      <c r="K486" s="86"/>
      <c r="L486" s="86"/>
      <c r="M486" s="86"/>
      <c r="N486" s="86"/>
      <c r="O486" s="86"/>
      <c r="P486" s="86"/>
      <c r="Q486" s="86"/>
      <c r="R486" s="86"/>
    </row>
    <row r="487" spans="1:18">
      <c r="A487" s="86"/>
      <c r="B487" s="86"/>
      <c r="C487" s="86"/>
      <c r="D487" s="86"/>
      <c r="E487" s="86"/>
      <c r="F487" s="86"/>
      <c r="G487" s="86"/>
      <c r="H487" s="86"/>
      <c r="I487" s="86"/>
      <c r="J487" s="86"/>
      <c r="K487" s="86"/>
      <c r="L487" s="86"/>
      <c r="M487" s="86"/>
      <c r="N487" s="86"/>
      <c r="O487" s="86"/>
      <c r="P487" s="86"/>
      <c r="Q487" s="86"/>
      <c r="R487" s="86"/>
    </row>
    <row r="488" spans="1:18">
      <c r="A488" s="86"/>
      <c r="B488" s="86"/>
      <c r="C488" s="86"/>
      <c r="D488" s="86"/>
      <c r="E488" s="86"/>
      <c r="F488" s="86"/>
      <c r="G488" s="86"/>
      <c r="H488" s="86"/>
      <c r="I488" s="86"/>
      <c r="J488" s="86"/>
      <c r="K488" s="86"/>
      <c r="L488" s="86"/>
      <c r="M488" s="86"/>
      <c r="N488" s="86"/>
      <c r="O488" s="86"/>
      <c r="P488" s="86"/>
      <c r="Q488" s="86"/>
      <c r="R488" s="86"/>
    </row>
    <row r="489" spans="1:18">
      <c r="A489" s="86"/>
      <c r="B489" s="86"/>
      <c r="C489" s="86"/>
      <c r="D489" s="86"/>
      <c r="E489" s="86"/>
      <c r="F489" s="86"/>
      <c r="G489" s="86"/>
      <c r="H489" s="86"/>
      <c r="I489" s="86"/>
      <c r="J489" s="86"/>
      <c r="K489" s="86"/>
      <c r="L489" s="86"/>
      <c r="M489" s="86"/>
      <c r="N489" s="86"/>
      <c r="O489" s="86"/>
      <c r="P489" s="86"/>
      <c r="Q489" s="86"/>
      <c r="R489" s="86"/>
    </row>
    <row r="490" spans="1:18">
      <c r="A490" s="86"/>
      <c r="B490" s="86"/>
      <c r="C490" s="86"/>
      <c r="D490" s="86"/>
      <c r="E490" s="86"/>
      <c r="F490" s="86"/>
      <c r="G490" s="86"/>
      <c r="H490" s="86"/>
      <c r="I490" s="86"/>
      <c r="J490" s="86"/>
      <c r="K490" s="86"/>
      <c r="L490" s="86"/>
      <c r="M490" s="86"/>
      <c r="N490" s="86"/>
      <c r="O490" s="86"/>
      <c r="P490" s="86"/>
      <c r="Q490" s="86"/>
      <c r="R490" s="86"/>
    </row>
    <row r="491" spans="1:18">
      <c r="A491" s="86"/>
      <c r="B491" s="86"/>
      <c r="C491" s="86"/>
      <c r="D491" s="86"/>
      <c r="E491" s="86"/>
      <c r="F491" s="86"/>
      <c r="G491" s="86"/>
      <c r="H491" s="86"/>
      <c r="I491" s="86"/>
      <c r="J491" s="86"/>
      <c r="K491" s="86"/>
      <c r="L491" s="86"/>
      <c r="M491" s="86"/>
      <c r="N491" s="86"/>
      <c r="O491" s="86"/>
      <c r="P491" s="86"/>
      <c r="Q491" s="86"/>
      <c r="R491" s="86"/>
    </row>
    <row r="492" spans="1:18">
      <c r="A492" s="86"/>
      <c r="B492" s="86"/>
      <c r="C492" s="86"/>
      <c r="D492" s="86"/>
      <c r="E492" s="86"/>
      <c r="F492" s="86"/>
      <c r="G492" s="86"/>
      <c r="H492" s="86"/>
      <c r="I492" s="86"/>
      <c r="J492" s="86"/>
      <c r="K492" s="86"/>
      <c r="L492" s="86"/>
      <c r="M492" s="86"/>
      <c r="N492" s="86"/>
      <c r="O492" s="86"/>
      <c r="P492" s="86"/>
      <c r="Q492" s="86"/>
      <c r="R492" s="86"/>
    </row>
    <row r="493" spans="1:18">
      <c r="A493" s="86"/>
      <c r="B493" s="86"/>
      <c r="C493" s="86"/>
      <c r="D493" s="86"/>
      <c r="E493" s="86"/>
      <c r="F493" s="86"/>
      <c r="G493" s="86"/>
      <c r="H493" s="86"/>
      <c r="I493" s="86"/>
      <c r="J493" s="86"/>
      <c r="K493" s="86"/>
      <c r="L493" s="86"/>
      <c r="M493" s="86"/>
      <c r="N493" s="86"/>
      <c r="O493" s="86"/>
      <c r="P493" s="86"/>
      <c r="Q493" s="86"/>
      <c r="R493" s="86"/>
    </row>
    <row r="494" spans="1:18">
      <c r="A494" s="86"/>
      <c r="B494" s="86"/>
      <c r="C494" s="86"/>
      <c r="D494" s="86"/>
      <c r="E494" s="86"/>
      <c r="F494" s="86"/>
      <c r="G494" s="86"/>
      <c r="H494" s="86"/>
      <c r="I494" s="86"/>
      <c r="J494" s="86"/>
      <c r="K494" s="86"/>
      <c r="L494" s="86"/>
      <c r="M494" s="86"/>
      <c r="N494" s="86"/>
      <c r="O494" s="86"/>
      <c r="P494" s="86"/>
      <c r="Q494" s="86"/>
      <c r="R494" s="86"/>
    </row>
    <row r="495" spans="1:18">
      <c r="A495" s="86"/>
      <c r="B495" s="86"/>
      <c r="C495" s="86"/>
      <c r="D495" s="86"/>
      <c r="E495" s="86"/>
      <c r="F495" s="86"/>
      <c r="G495" s="86"/>
      <c r="H495" s="86"/>
      <c r="I495" s="86"/>
      <c r="J495" s="86"/>
      <c r="K495" s="86"/>
      <c r="L495" s="86"/>
      <c r="M495" s="86"/>
      <c r="N495" s="86"/>
      <c r="O495" s="86"/>
      <c r="P495" s="86"/>
      <c r="Q495" s="86"/>
      <c r="R495" s="86"/>
    </row>
    <row r="496" spans="1:18">
      <c r="A496" s="86"/>
      <c r="B496" s="86"/>
      <c r="C496" s="86"/>
      <c r="D496" s="86"/>
      <c r="E496" s="86"/>
      <c r="F496" s="86"/>
      <c r="G496" s="86"/>
      <c r="H496" s="86"/>
      <c r="I496" s="86"/>
      <c r="J496" s="86"/>
      <c r="K496" s="86"/>
      <c r="L496" s="86"/>
      <c r="M496" s="86"/>
      <c r="N496" s="86"/>
      <c r="O496" s="86"/>
      <c r="P496" s="86"/>
      <c r="Q496" s="86"/>
      <c r="R496" s="86"/>
    </row>
    <row r="497" spans="1:18">
      <c r="A497" s="86"/>
      <c r="B497" s="86"/>
      <c r="C497" s="86"/>
      <c r="D497" s="86"/>
      <c r="E497" s="86"/>
      <c r="F497" s="86"/>
      <c r="G497" s="86"/>
      <c r="H497" s="86"/>
      <c r="I497" s="86"/>
      <c r="J497" s="86"/>
      <c r="K497" s="86"/>
      <c r="L497" s="86"/>
      <c r="M497" s="86"/>
      <c r="N497" s="86"/>
      <c r="O497" s="86"/>
      <c r="P497" s="86"/>
      <c r="Q497" s="86"/>
      <c r="R497" s="86"/>
    </row>
    <row r="498" spans="1:18">
      <c r="A498" s="86"/>
      <c r="B498" s="86"/>
      <c r="C498" s="86"/>
      <c r="D498" s="86"/>
      <c r="E498" s="86"/>
      <c r="F498" s="86"/>
      <c r="G498" s="86"/>
      <c r="H498" s="86"/>
      <c r="I498" s="86"/>
      <c r="J498" s="86"/>
      <c r="K498" s="86"/>
      <c r="L498" s="86"/>
      <c r="M498" s="86"/>
      <c r="N498" s="86"/>
      <c r="O498" s="86"/>
      <c r="P498" s="86"/>
      <c r="Q498" s="86"/>
      <c r="R498" s="86"/>
    </row>
    <row r="499" spans="1:18">
      <c r="A499" s="86"/>
      <c r="B499" s="86"/>
      <c r="C499" s="86"/>
      <c r="D499" s="86"/>
      <c r="E499" s="86"/>
      <c r="F499" s="86"/>
      <c r="G499" s="86"/>
      <c r="H499" s="86"/>
      <c r="I499" s="86"/>
      <c r="J499" s="86"/>
      <c r="K499" s="86"/>
      <c r="L499" s="86"/>
      <c r="M499" s="86"/>
      <c r="N499" s="86"/>
      <c r="O499" s="86"/>
      <c r="P499" s="86"/>
      <c r="Q499" s="86"/>
      <c r="R499" s="86"/>
    </row>
    <row r="500" spans="1:18">
      <c r="A500" s="86"/>
      <c r="B500" s="86"/>
      <c r="C500" s="86"/>
      <c r="D500" s="86"/>
      <c r="E500" s="86"/>
      <c r="F500" s="86"/>
      <c r="G500" s="86"/>
      <c r="H500" s="86"/>
      <c r="I500" s="86"/>
      <c r="J500" s="86"/>
      <c r="K500" s="86"/>
      <c r="L500" s="86"/>
      <c r="M500" s="86"/>
      <c r="N500" s="86"/>
      <c r="O500" s="86"/>
      <c r="P500" s="86"/>
      <c r="Q500" s="86"/>
      <c r="R500" s="86"/>
    </row>
    <row r="501" spans="1:18">
      <c r="A501" s="86"/>
      <c r="B501" s="86"/>
      <c r="C501" s="86"/>
      <c r="D501" s="86"/>
      <c r="E501" s="86"/>
      <c r="F501" s="86"/>
      <c r="G501" s="86"/>
      <c r="H501" s="86"/>
      <c r="I501" s="86"/>
      <c r="J501" s="86"/>
      <c r="K501" s="86"/>
      <c r="L501" s="86"/>
      <c r="M501" s="86"/>
      <c r="N501" s="86"/>
      <c r="O501" s="86"/>
      <c r="P501" s="86"/>
      <c r="Q501" s="86"/>
      <c r="R501" s="86"/>
    </row>
    <row r="502" spans="1:18">
      <c r="A502" s="86"/>
      <c r="B502" s="86"/>
      <c r="C502" s="86"/>
      <c r="D502" s="86"/>
      <c r="E502" s="86"/>
      <c r="F502" s="86"/>
      <c r="G502" s="86"/>
      <c r="H502" s="86"/>
      <c r="I502" s="86"/>
      <c r="J502" s="86"/>
      <c r="K502" s="86"/>
      <c r="L502" s="86"/>
      <c r="M502" s="86"/>
      <c r="N502" s="86"/>
      <c r="O502" s="86"/>
      <c r="P502" s="86"/>
      <c r="Q502" s="86"/>
      <c r="R502" s="86"/>
    </row>
    <row r="503" spans="1:18">
      <c r="A503" s="86"/>
      <c r="B503" s="86"/>
      <c r="C503" s="86"/>
      <c r="D503" s="86"/>
      <c r="E503" s="86"/>
      <c r="F503" s="86"/>
      <c r="G503" s="86"/>
      <c r="H503" s="86"/>
      <c r="I503" s="86"/>
      <c r="J503" s="86"/>
      <c r="K503" s="86"/>
      <c r="L503" s="86"/>
      <c r="M503" s="86"/>
      <c r="N503" s="86"/>
      <c r="O503" s="86"/>
      <c r="P503" s="86"/>
      <c r="Q503" s="86"/>
      <c r="R503" s="86"/>
    </row>
    <row r="504" spans="1:18">
      <c r="A504" s="86"/>
      <c r="B504" s="86"/>
      <c r="C504" s="86"/>
      <c r="D504" s="86"/>
      <c r="E504" s="86"/>
      <c r="F504" s="86"/>
      <c r="G504" s="86"/>
      <c r="H504" s="86"/>
      <c r="I504" s="86"/>
      <c r="J504" s="86"/>
      <c r="K504" s="86"/>
      <c r="L504" s="86"/>
      <c r="M504" s="86"/>
      <c r="N504" s="86"/>
      <c r="O504" s="86"/>
      <c r="P504" s="86"/>
      <c r="Q504" s="86"/>
      <c r="R504" s="86"/>
    </row>
    <row r="505" spans="1:18">
      <c r="A505" s="86"/>
      <c r="B505" s="86"/>
      <c r="C505" s="86"/>
      <c r="D505" s="86"/>
      <c r="E505" s="86"/>
      <c r="F505" s="86"/>
      <c r="G505" s="86"/>
      <c r="H505" s="86"/>
      <c r="I505" s="86"/>
      <c r="J505" s="86"/>
      <c r="K505" s="86"/>
      <c r="L505" s="86"/>
      <c r="M505" s="86"/>
      <c r="N505" s="86"/>
      <c r="O505" s="86"/>
      <c r="P505" s="86"/>
      <c r="Q505" s="86"/>
      <c r="R505" s="86"/>
    </row>
    <row r="506" spans="1:18">
      <c r="A506" s="86"/>
      <c r="B506" s="86"/>
      <c r="C506" s="86"/>
      <c r="D506" s="86"/>
      <c r="E506" s="86"/>
      <c r="F506" s="86"/>
      <c r="G506" s="86"/>
      <c r="H506" s="86"/>
      <c r="I506" s="86"/>
      <c r="J506" s="86"/>
      <c r="K506" s="86"/>
      <c r="L506" s="86"/>
      <c r="M506" s="86"/>
      <c r="N506" s="86"/>
      <c r="O506" s="86"/>
      <c r="P506" s="86"/>
      <c r="Q506" s="86"/>
      <c r="R506" s="86"/>
    </row>
    <row r="507" spans="1:18">
      <c r="A507" s="86"/>
      <c r="B507" s="86"/>
      <c r="C507" s="86"/>
      <c r="D507" s="86"/>
      <c r="E507" s="86"/>
      <c r="F507" s="86"/>
      <c r="G507" s="86"/>
      <c r="H507" s="86"/>
      <c r="I507" s="86"/>
      <c r="J507" s="86"/>
      <c r="K507" s="86"/>
      <c r="L507" s="86"/>
      <c r="M507" s="86"/>
      <c r="N507" s="86"/>
      <c r="O507" s="86"/>
      <c r="P507" s="86"/>
      <c r="Q507" s="86"/>
      <c r="R507" s="86"/>
    </row>
    <row r="508" spans="1:18">
      <c r="A508" s="86"/>
      <c r="B508" s="86"/>
      <c r="C508" s="86"/>
      <c r="D508" s="86"/>
      <c r="E508" s="86"/>
      <c r="F508" s="86"/>
      <c r="G508" s="86"/>
      <c r="H508" s="86"/>
      <c r="I508" s="86"/>
      <c r="J508" s="86"/>
      <c r="K508" s="86"/>
      <c r="L508" s="86"/>
      <c r="M508" s="86"/>
      <c r="N508" s="86"/>
      <c r="O508" s="86"/>
      <c r="P508" s="86"/>
      <c r="Q508" s="86"/>
      <c r="R508" s="86"/>
    </row>
    <row r="509" spans="1:18">
      <c r="A509" s="86"/>
      <c r="B509" s="86"/>
      <c r="C509" s="86"/>
      <c r="D509" s="86"/>
      <c r="E509" s="86"/>
      <c r="F509" s="86"/>
      <c r="G509" s="86"/>
      <c r="H509" s="86"/>
      <c r="I509" s="86"/>
      <c r="J509" s="86"/>
      <c r="K509" s="86"/>
      <c r="L509" s="86"/>
      <c r="M509" s="86"/>
      <c r="N509" s="86"/>
      <c r="O509" s="86"/>
      <c r="P509" s="86"/>
      <c r="Q509" s="86"/>
      <c r="R509" s="86"/>
    </row>
    <row r="510" spans="1:18">
      <c r="A510" s="86"/>
      <c r="B510" s="86"/>
      <c r="C510" s="86"/>
      <c r="D510" s="86"/>
      <c r="E510" s="86"/>
      <c r="F510" s="86"/>
      <c r="G510" s="86"/>
      <c r="H510" s="86"/>
      <c r="I510" s="86"/>
      <c r="J510" s="86"/>
      <c r="K510" s="86"/>
      <c r="L510" s="86"/>
      <c r="M510" s="86"/>
      <c r="N510" s="86"/>
      <c r="O510" s="86"/>
      <c r="P510" s="86"/>
      <c r="Q510" s="86"/>
      <c r="R510" s="86"/>
    </row>
    <row r="511" spans="1:18">
      <c r="A511" s="86"/>
      <c r="B511" s="86"/>
      <c r="C511" s="86"/>
      <c r="D511" s="86"/>
      <c r="E511" s="86"/>
      <c r="F511" s="86"/>
      <c r="G511" s="86"/>
      <c r="H511" s="86"/>
      <c r="I511" s="86"/>
      <c r="J511" s="86"/>
      <c r="K511" s="86"/>
      <c r="L511" s="86"/>
      <c r="M511" s="86"/>
      <c r="N511" s="86"/>
      <c r="O511" s="86"/>
      <c r="P511" s="86"/>
      <c r="Q511" s="86"/>
      <c r="R511" s="86"/>
    </row>
    <row r="512" spans="1:18">
      <c r="A512" s="86"/>
      <c r="B512" s="86"/>
      <c r="C512" s="86"/>
      <c r="D512" s="86"/>
      <c r="E512" s="86"/>
      <c r="F512" s="86"/>
      <c r="G512" s="86"/>
      <c r="H512" s="86"/>
      <c r="I512" s="86"/>
      <c r="J512" s="86"/>
      <c r="K512" s="86"/>
      <c r="L512" s="86"/>
      <c r="M512" s="86"/>
      <c r="N512" s="86"/>
      <c r="O512" s="86"/>
      <c r="P512" s="86"/>
      <c r="Q512" s="86"/>
      <c r="R512" s="86"/>
    </row>
    <row r="513" spans="1:18">
      <c r="A513" s="86"/>
      <c r="B513" s="86"/>
      <c r="C513" s="86"/>
      <c r="D513" s="86"/>
      <c r="E513" s="86"/>
      <c r="F513" s="86"/>
      <c r="G513" s="86"/>
      <c r="H513" s="86"/>
      <c r="I513" s="86"/>
      <c r="J513" s="86"/>
      <c r="K513" s="86"/>
      <c r="L513" s="86"/>
      <c r="M513" s="86"/>
      <c r="N513" s="86"/>
      <c r="O513" s="86"/>
      <c r="P513" s="86"/>
      <c r="Q513" s="86"/>
      <c r="R513" s="86"/>
    </row>
    <row r="514" spans="1:18">
      <c r="A514" s="86"/>
      <c r="B514" s="86"/>
      <c r="C514" s="86"/>
      <c r="D514" s="86"/>
      <c r="E514" s="86"/>
      <c r="F514" s="86"/>
      <c r="G514" s="86"/>
      <c r="H514" s="86"/>
      <c r="I514" s="86"/>
      <c r="J514" s="86"/>
      <c r="K514" s="86"/>
      <c r="L514" s="86"/>
      <c r="M514" s="86"/>
      <c r="N514" s="86"/>
      <c r="O514" s="86"/>
      <c r="P514" s="86"/>
      <c r="Q514" s="86"/>
      <c r="R514" s="86"/>
    </row>
    <row r="515" spans="1:18">
      <c r="A515" s="86"/>
      <c r="B515" s="86"/>
      <c r="C515" s="86"/>
      <c r="D515" s="86"/>
      <c r="E515" s="86"/>
      <c r="F515" s="86"/>
      <c r="G515" s="86"/>
      <c r="H515" s="86"/>
      <c r="I515" s="86"/>
      <c r="J515" s="86"/>
      <c r="K515" s="86"/>
      <c r="L515" s="86"/>
      <c r="M515" s="86"/>
      <c r="N515" s="86"/>
      <c r="O515" s="86"/>
      <c r="P515" s="86"/>
      <c r="Q515" s="86"/>
      <c r="R515" s="86"/>
    </row>
    <row r="516" spans="1:18">
      <c r="A516" s="86"/>
      <c r="B516" s="86"/>
      <c r="C516" s="86"/>
      <c r="D516" s="86"/>
      <c r="E516" s="86"/>
      <c r="F516" s="86"/>
      <c r="G516" s="86"/>
      <c r="H516" s="86"/>
      <c r="I516" s="86"/>
      <c r="J516" s="86"/>
      <c r="K516" s="86"/>
      <c r="L516" s="86"/>
      <c r="M516" s="86"/>
      <c r="N516" s="86"/>
      <c r="O516" s="86"/>
      <c r="P516" s="86"/>
      <c r="Q516" s="86"/>
      <c r="R516" s="86"/>
    </row>
    <row r="517" spans="1:18">
      <c r="A517" s="86"/>
      <c r="B517" s="86"/>
      <c r="C517" s="86"/>
      <c r="D517" s="86"/>
      <c r="E517" s="86"/>
      <c r="F517" s="86"/>
      <c r="G517" s="86"/>
      <c r="H517" s="86"/>
      <c r="I517" s="86"/>
      <c r="J517" s="86"/>
      <c r="K517" s="86"/>
      <c r="L517" s="86"/>
      <c r="M517" s="86"/>
      <c r="N517" s="86"/>
      <c r="O517" s="86"/>
      <c r="P517" s="86"/>
      <c r="Q517" s="86"/>
      <c r="R517" s="86"/>
    </row>
    <row r="518" spans="1:18">
      <c r="A518" s="86"/>
      <c r="B518" s="86"/>
      <c r="C518" s="86"/>
      <c r="D518" s="86"/>
      <c r="E518" s="86"/>
      <c r="F518" s="86"/>
      <c r="G518" s="86"/>
      <c r="H518" s="86"/>
      <c r="I518" s="86"/>
      <c r="J518" s="86"/>
      <c r="K518" s="86"/>
      <c r="L518" s="86"/>
      <c r="M518" s="86"/>
      <c r="N518" s="86"/>
      <c r="O518" s="86"/>
      <c r="P518" s="86"/>
      <c r="Q518" s="86"/>
      <c r="R518" s="86"/>
    </row>
    <row r="519" spans="1:18">
      <c r="A519" s="86"/>
      <c r="B519" s="86"/>
      <c r="C519" s="86"/>
      <c r="D519" s="86"/>
      <c r="E519" s="86"/>
      <c r="F519" s="86"/>
      <c r="G519" s="86"/>
      <c r="H519" s="86"/>
      <c r="I519" s="86"/>
      <c r="J519" s="86"/>
      <c r="K519" s="86"/>
      <c r="L519" s="86"/>
      <c r="M519" s="86"/>
      <c r="N519" s="86"/>
      <c r="O519" s="86"/>
      <c r="P519" s="86"/>
      <c r="Q519" s="86"/>
      <c r="R519" s="86"/>
    </row>
    <row r="520" spans="1:18">
      <c r="A520" s="86"/>
      <c r="B520" s="86"/>
      <c r="C520" s="86"/>
      <c r="D520" s="86"/>
      <c r="E520" s="86"/>
      <c r="F520" s="86"/>
      <c r="G520" s="86"/>
      <c r="H520" s="86"/>
      <c r="I520" s="86"/>
      <c r="J520" s="86"/>
      <c r="K520" s="86"/>
      <c r="L520" s="86"/>
      <c r="M520" s="86"/>
      <c r="N520" s="86"/>
      <c r="O520" s="86"/>
      <c r="P520" s="86"/>
      <c r="Q520" s="86"/>
      <c r="R520" s="86"/>
    </row>
    <row r="521" spans="1:18">
      <c r="A521" s="86"/>
      <c r="B521" s="86"/>
      <c r="C521" s="86"/>
      <c r="D521" s="86"/>
      <c r="E521" s="86"/>
      <c r="F521" s="86"/>
      <c r="G521" s="86"/>
      <c r="H521" s="86"/>
      <c r="I521" s="86"/>
      <c r="J521" s="86"/>
      <c r="K521" s="86"/>
      <c r="L521" s="86"/>
      <c r="M521" s="86"/>
      <c r="N521" s="86"/>
      <c r="O521" s="86"/>
      <c r="P521" s="86"/>
      <c r="Q521" s="86"/>
      <c r="R521" s="86"/>
    </row>
    <row r="522" spans="1:18">
      <c r="A522" s="86"/>
      <c r="B522" s="86"/>
      <c r="C522" s="86"/>
      <c r="D522" s="86"/>
      <c r="E522" s="86"/>
      <c r="F522" s="86"/>
      <c r="G522" s="86"/>
      <c r="H522" s="86"/>
      <c r="I522" s="86"/>
      <c r="J522" s="86"/>
      <c r="K522" s="86"/>
      <c r="L522" s="86"/>
      <c r="M522" s="86"/>
      <c r="N522" s="86"/>
      <c r="O522" s="86"/>
      <c r="P522" s="86"/>
      <c r="Q522" s="86"/>
      <c r="R522" s="86"/>
    </row>
    <row r="523" spans="1:18">
      <c r="A523" s="86"/>
      <c r="B523" s="86"/>
      <c r="C523" s="86"/>
      <c r="D523" s="86"/>
      <c r="E523" s="86"/>
      <c r="F523" s="86"/>
      <c r="G523" s="86"/>
      <c r="H523" s="86"/>
      <c r="I523" s="86"/>
      <c r="J523" s="86"/>
      <c r="K523" s="86"/>
      <c r="L523" s="86"/>
      <c r="M523" s="86"/>
      <c r="N523" s="86"/>
      <c r="O523" s="86"/>
      <c r="P523" s="86"/>
      <c r="Q523" s="86"/>
      <c r="R523" s="86"/>
    </row>
    <row r="524" spans="1:18">
      <c r="A524" s="86"/>
      <c r="B524" s="86"/>
      <c r="C524" s="86"/>
      <c r="D524" s="86"/>
      <c r="E524" s="86"/>
      <c r="F524" s="86"/>
      <c r="G524" s="86"/>
      <c r="H524" s="86"/>
      <c r="I524" s="86"/>
      <c r="J524" s="86"/>
      <c r="K524" s="86"/>
      <c r="L524" s="86"/>
      <c r="M524" s="86"/>
      <c r="N524" s="86"/>
      <c r="O524" s="86"/>
      <c r="P524" s="86"/>
      <c r="Q524" s="86"/>
      <c r="R524" s="86"/>
    </row>
    <row r="525" spans="1:18">
      <c r="A525" s="86"/>
      <c r="B525" s="86"/>
      <c r="C525" s="86"/>
      <c r="D525" s="86"/>
      <c r="E525" s="86"/>
      <c r="F525" s="86"/>
      <c r="G525" s="86"/>
      <c r="H525" s="86"/>
      <c r="I525" s="86"/>
      <c r="J525" s="86"/>
      <c r="K525" s="86"/>
      <c r="L525" s="86"/>
      <c r="M525" s="86"/>
      <c r="N525" s="86"/>
      <c r="O525" s="86"/>
      <c r="P525" s="86"/>
      <c r="Q525" s="86"/>
      <c r="R525" s="86"/>
    </row>
    <row r="526" spans="1:18">
      <c r="A526" s="86"/>
      <c r="B526" s="86"/>
      <c r="C526" s="86"/>
      <c r="D526" s="86"/>
      <c r="E526" s="86"/>
      <c r="F526" s="86"/>
      <c r="G526" s="86"/>
      <c r="H526" s="86"/>
      <c r="I526" s="86"/>
      <c r="J526" s="86"/>
      <c r="K526" s="86"/>
      <c r="L526" s="86"/>
      <c r="M526" s="86"/>
      <c r="N526" s="86"/>
      <c r="O526" s="86"/>
      <c r="P526" s="86"/>
      <c r="Q526" s="86"/>
      <c r="R526" s="86"/>
    </row>
    <row r="527" spans="1:18">
      <c r="A527" s="86"/>
      <c r="B527" s="86"/>
      <c r="C527" s="86"/>
      <c r="D527" s="86"/>
      <c r="E527" s="86"/>
      <c r="F527" s="86"/>
      <c r="G527" s="86"/>
      <c r="H527" s="86"/>
      <c r="I527" s="86"/>
      <c r="J527" s="86"/>
      <c r="K527" s="86"/>
      <c r="L527" s="86"/>
      <c r="M527" s="86"/>
      <c r="N527" s="86"/>
      <c r="O527" s="86"/>
      <c r="P527" s="86"/>
      <c r="Q527" s="86"/>
      <c r="R527" s="86"/>
    </row>
    <row r="528" spans="1:18">
      <c r="A528" s="86"/>
      <c r="B528" s="86"/>
      <c r="C528" s="86"/>
      <c r="D528" s="86"/>
      <c r="E528" s="86"/>
      <c r="F528" s="86"/>
      <c r="G528" s="86"/>
      <c r="H528" s="86"/>
      <c r="I528" s="86"/>
      <c r="J528" s="86"/>
      <c r="K528" s="86"/>
      <c r="L528" s="86"/>
      <c r="M528" s="86"/>
      <c r="N528" s="86"/>
      <c r="O528" s="86"/>
      <c r="P528" s="86"/>
      <c r="Q528" s="86"/>
      <c r="R528" s="86"/>
    </row>
    <row r="529" spans="1:18">
      <c r="A529" s="86"/>
      <c r="B529" s="86"/>
      <c r="C529" s="86"/>
      <c r="D529" s="86"/>
      <c r="E529" s="86"/>
      <c r="F529" s="86"/>
      <c r="G529" s="86"/>
      <c r="H529" s="86"/>
      <c r="I529" s="86"/>
      <c r="J529" s="86"/>
      <c r="K529" s="86"/>
      <c r="L529" s="86"/>
      <c r="M529" s="86"/>
      <c r="N529" s="86"/>
      <c r="O529" s="86"/>
      <c r="P529" s="86"/>
      <c r="Q529" s="86"/>
      <c r="R529" s="86"/>
    </row>
    <row r="530" spans="1:18">
      <c r="A530" s="86"/>
      <c r="B530" s="86"/>
      <c r="C530" s="86"/>
      <c r="D530" s="86"/>
      <c r="E530" s="86"/>
      <c r="F530" s="86"/>
      <c r="G530" s="86"/>
      <c r="H530" s="86"/>
      <c r="I530" s="86"/>
      <c r="J530" s="86"/>
      <c r="K530" s="86"/>
      <c r="L530" s="86"/>
      <c r="M530" s="86"/>
      <c r="N530" s="86"/>
      <c r="O530" s="86"/>
      <c r="P530" s="86"/>
      <c r="Q530" s="86"/>
      <c r="R530" s="86"/>
    </row>
    <row r="531" spans="1:18">
      <c r="A531" s="86"/>
      <c r="B531" s="86"/>
      <c r="C531" s="86"/>
      <c r="D531" s="86"/>
      <c r="E531" s="86"/>
      <c r="F531" s="86"/>
      <c r="G531" s="86"/>
      <c r="H531" s="86"/>
      <c r="I531" s="86"/>
      <c r="J531" s="86"/>
      <c r="K531" s="86"/>
      <c r="L531" s="86"/>
      <c r="M531" s="86"/>
      <c r="N531" s="86"/>
      <c r="O531" s="86"/>
      <c r="P531" s="86"/>
      <c r="Q531" s="86"/>
      <c r="R531" s="86"/>
    </row>
    <row r="532" spans="1:18">
      <c r="A532" s="86"/>
      <c r="B532" s="86"/>
      <c r="C532" s="86"/>
      <c r="D532" s="86"/>
      <c r="E532" s="86"/>
      <c r="F532" s="86"/>
      <c r="G532" s="86"/>
      <c r="H532" s="86"/>
      <c r="I532" s="86"/>
      <c r="J532" s="86"/>
      <c r="K532" s="86"/>
      <c r="L532" s="86"/>
      <c r="M532" s="86"/>
      <c r="N532" s="86"/>
      <c r="O532" s="86"/>
      <c r="P532" s="86"/>
      <c r="Q532" s="86"/>
      <c r="R532" s="86"/>
    </row>
    <row r="533" spans="1:18">
      <c r="A533" s="86"/>
      <c r="B533" s="86"/>
      <c r="C533" s="86"/>
      <c r="D533" s="86"/>
      <c r="E533" s="86"/>
      <c r="F533" s="86"/>
      <c r="G533" s="86"/>
      <c r="H533" s="86"/>
      <c r="I533" s="86"/>
      <c r="J533" s="86"/>
      <c r="K533" s="86"/>
      <c r="L533" s="86"/>
      <c r="M533" s="86"/>
      <c r="N533" s="86"/>
      <c r="O533" s="86"/>
      <c r="P533" s="86"/>
      <c r="Q533" s="86"/>
      <c r="R533" s="86"/>
    </row>
    <row r="534" spans="1:18">
      <c r="A534" s="86"/>
      <c r="B534" s="86"/>
      <c r="C534" s="86"/>
      <c r="D534" s="86"/>
      <c r="E534" s="86"/>
      <c r="F534" s="86"/>
      <c r="G534" s="86"/>
      <c r="H534" s="86"/>
      <c r="I534" s="86"/>
      <c r="J534" s="86"/>
      <c r="K534" s="86"/>
      <c r="L534" s="86"/>
      <c r="M534" s="86"/>
      <c r="N534" s="86"/>
      <c r="O534" s="86"/>
      <c r="P534" s="86"/>
      <c r="Q534" s="86"/>
      <c r="R534" s="86"/>
    </row>
    <row r="535" spans="1:18">
      <c r="A535" s="86"/>
      <c r="B535" s="86"/>
      <c r="C535" s="86"/>
      <c r="D535" s="86"/>
      <c r="E535" s="86"/>
      <c r="F535" s="86"/>
      <c r="G535" s="86"/>
      <c r="H535" s="86"/>
      <c r="I535" s="86"/>
      <c r="J535" s="86"/>
      <c r="K535" s="86"/>
      <c r="L535" s="86"/>
      <c r="M535" s="86"/>
      <c r="N535" s="86"/>
      <c r="O535" s="86"/>
      <c r="P535" s="86"/>
      <c r="Q535" s="86"/>
      <c r="R535" s="86"/>
    </row>
    <row r="536" spans="1:18">
      <c r="A536" s="86"/>
      <c r="B536" s="86"/>
      <c r="C536" s="86"/>
      <c r="D536" s="86"/>
      <c r="E536" s="86"/>
      <c r="F536" s="86"/>
      <c r="G536" s="86"/>
      <c r="H536" s="86"/>
      <c r="I536" s="86"/>
      <c r="J536" s="86"/>
      <c r="K536" s="86"/>
      <c r="L536" s="86"/>
      <c r="M536" s="86"/>
      <c r="N536" s="86"/>
      <c r="O536" s="86"/>
      <c r="P536" s="86"/>
      <c r="Q536" s="86"/>
      <c r="R536" s="86"/>
    </row>
    <row r="537" spans="1:18">
      <c r="A537" s="86"/>
      <c r="B537" s="86"/>
      <c r="C537" s="86"/>
      <c r="D537" s="86"/>
      <c r="E537" s="86"/>
      <c r="F537" s="86"/>
      <c r="G537" s="86"/>
      <c r="H537" s="86"/>
      <c r="I537" s="86"/>
      <c r="J537" s="86"/>
      <c r="K537" s="86"/>
      <c r="L537" s="86"/>
      <c r="M537" s="86"/>
      <c r="N537" s="86"/>
      <c r="O537" s="86"/>
      <c r="P537" s="86"/>
      <c r="Q537" s="86"/>
      <c r="R537" s="86"/>
    </row>
    <row r="538" spans="1:18">
      <c r="A538" s="86"/>
      <c r="B538" s="86"/>
      <c r="C538" s="86"/>
      <c r="D538" s="86"/>
      <c r="E538" s="86"/>
      <c r="F538" s="86"/>
      <c r="G538" s="86"/>
      <c r="H538" s="86"/>
      <c r="I538" s="86"/>
      <c r="J538" s="86"/>
      <c r="K538" s="86"/>
      <c r="L538" s="86"/>
      <c r="M538" s="86"/>
      <c r="N538" s="86"/>
      <c r="O538" s="86"/>
      <c r="P538" s="86"/>
      <c r="Q538" s="86"/>
      <c r="R538" s="86"/>
    </row>
    <row r="539" spans="1:18">
      <c r="A539" s="86"/>
      <c r="B539" s="86"/>
      <c r="C539" s="86"/>
      <c r="D539" s="86"/>
      <c r="E539" s="86"/>
      <c r="F539" s="86"/>
      <c r="G539" s="86"/>
      <c r="H539" s="86"/>
      <c r="I539" s="86"/>
      <c r="J539" s="86"/>
      <c r="K539" s="86"/>
      <c r="L539" s="86"/>
      <c r="M539" s="86"/>
      <c r="N539" s="86"/>
      <c r="O539" s="86"/>
      <c r="P539" s="86"/>
      <c r="Q539" s="86"/>
      <c r="R539" s="86"/>
    </row>
    <row r="540" spans="1:18">
      <c r="A540" s="86"/>
      <c r="B540" s="86"/>
      <c r="C540" s="86"/>
      <c r="D540" s="86"/>
      <c r="E540" s="86"/>
      <c r="F540" s="86"/>
      <c r="G540" s="86"/>
      <c r="H540" s="86"/>
      <c r="I540" s="86"/>
      <c r="J540" s="86"/>
      <c r="K540" s="86"/>
      <c r="L540" s="86"/>
      <c r="M540" s="86"/>
      <c r="N540" s="86"/>
      <c r="O540" s="86"/>
      <c r="P540" s="86"/>
      <c r="Q540" s="86"/>
      <c r="R540" s="86"/>
    </row>
    <row r="541" spans="1:18">
      <c r="A541" s="86"/>
      <c r="B541" s="86"/>
      <c r="C541" s="86"/>
      <c r="D541" s="86"/>
      <c r="E541" s="86"/>
      <c r="F541" s="86"/>
      <c r="G541" s="86"/>
      <c r="H541" s="86"/>
      <c r="I541" s="86"/>
      <c r="J541" s="86"/>
      <c r="K541" s="86"/>
      <c r="L541" s="86"/>
      <c r="M541" s="86"/>
      <c r="N541" s="86"/>
      <c r="O541" s="86"/>
      <c r="P541" s="86"/>
      <c r="Q541" s="86"/>
      <c r="R541" s="86"/>
    </row>
    <row r="542" spans="1:18">
      <c r="A542" s="86"/>
      <c r="B542" s="86"/>
      <c r="C542" s="86"/>
      <c r="D542" s="86"/>
      <c r="E542" s="86"/>
      <c r="F542" s="86"/>
      <c r="G542" s="86"/>
      <c r="H542" s="86"/>
      <c r="I542" s="86"/>
      <c r="J542" s="86"/>
      <c r="K542" s="86"/>
      <c r="L542" s="86"/>
      <c r="M542" s="86"/>
      <c r="N542" s="86"/>
      <c r="O542" s="86"/>
      <c r="P542" s="86"/>
      <c r="Q542" s="86"/>
      <c r="R542" s="86"/>
    </row>
    <row r="543" spans="1:18">
      <c r="A543" s="86"/>
      <c r="B543" s="86"/>
      <c r="C543" s="86"/>
      <c r="D543" s="86"/>
      <c r="E543" s="86"/>
      <c r="F543" s="86"/>
      <c r="G543" s="86"/>
      <c r="H543" s="86"/>
      <c r="I543" s="86"/>
      <c r="J543" s="86"/>
      <c r="K543" s="86"/>
      <c r="L543" s="86"/>
      <c r="M543" s="86"/>
      <c r="N543" s="86"/>
      <c r="O543" s="86"/>
      <c r="P543" s="86"/>
      <c r="Q543" s="86"/>
      <c r="R543" s="86"/>
    </row>
    <row r="544" spans="1:18">
      <c r="A544" s="86"/>
      <c r="B544" s="86"/>
      <c r="C544" s="86"/>
      <c r="D544" s="86"/>
      <c r="E544" s="86"/>
      <c r="F544" s="86"/>
      <c r="G544" s="86"/>
      <c r="H544" s="86"/>
      <c r="I544" s="86"/>
      <c r="J544" s="86"/>
      <c r="K544" s="86"/>
      <c r="L544" s="86"/>
      <c r="M544" s="86"/>
      <c r="N544" s="86"/>
      <c r="O544" s="86"/>
      <c r="P544" s="86"/>
      <c r="Q544" s="86"/>
      <c r="R544" s="86"/>
    </row>
    <row r="545" spans="1:18">
      <c r="A545" s="86"/>
      <c r="B545" s="86"/>
      <c r="C545" s="86"/>
      <c r="D545" s="86"/>
      <c r="E545" s="86"/>
      <c r="F545" s="86"/>
      <c r="G545" s="86"/>
      <c r="H545" s="86"/>
      <c r="I545" s="86"/>
      <c r="J545" s="86"/>
      <c r="K545" s="86"/>
      <c r="L545" s="86"/>
      <c r="M545" s="86"/>
      <c r="N545" s="86"/>
      <c r="O545" s="86"/>
      <c r="P545" s="86"/>
      <c r="Q545" s="86"/>
      <c r="R545" s="86"/>
    </row>
    <row r="546" spans="1:18">
      <c r="A546" s="86"/>
      <c r="B546" s="86"/>
      <c r="C546" s="86"/>
      <c r="D546" s="86"/>
      <c r="E546" s="86"/>
      <c r="F546" s="86"/>
      <c r="G546" s="86"/>
      <c r="H546" s="86"/>
      <c r="I546" s="86"/>
      <c r="J546" s="86"/>
      <c r="K546" s="86"/>
      <c r="L546" s="86"/>
      <c r="M546" s="86"/>
      <c r="N546" s="86"/>
      <c r="O546" s="86"/>
      <c r="P546" s="86"/>
      <c r="Q546" s="86"/>
      <c r="R546" s="86"/>
    </row>
    <row r="547" spans="1:18">
      <c r="A547" s="86"/>
      <c r="B547" s="86"/>
      <c r="C547" s="86"/>
      <c r="D547" s="86"/>
      <c r="E547" s="86"/>
      <c r="F547" s="86"/>
      <c r="G547" s="86"/>
      <c r="H547" s="86"/>
      <c r="I547" s="86"/>
      <c r="J547" s="86"/>
      <c r="K547" s="86"/>
      <c r="L547" s="86"/>
      <c r="M547" s="86"/>
      <c r="N547" s="86"/>
      <c r="O547" s="86"/>
      <c r="P547" s="86"/>
      <c r="Q547" s="86"/>
      <c r="R547" s="86"/>
    </row>
    <row r="548" spans="1:18">
      <c r="A548" s="86"/>
      <c r="B548" s="86"/>
      <c r="C548" s="86"/>
      <c r="D548" s="86"/>
      <c r="E548" s="86"/>
      <c r="F548" s="86"/>
      <c r="G548" s="86"/>
      <c r="H548" s="86"/>
      <c r="I548" s="86"/>
      <c r="J548" s="86"/>
      <c r="K548" s="86"/>
      <c r="L548" s="86"/>
      <c r="M548" s="86"/>
      <c r="N548" s="86"/>
      <c r="O548" s="86"/>
      <c r="P548" s="86"/>
      <c r="Q548" s="86"/>
      <c r="R548" s="86"/>
    </row>
    <row r="549" spans="1:18">
      <c r="A549" s="86"/>
      <c r="B549" s="86"/>
      <c r="C549" s="86"/>
      <c r="D549" s="86"/>
      <c r="E549" s="86"/>
      <c r="F549" s="86"/>
      <c r="G549" s="86"/>
      <c r="H549" s="86"/>
      <c r="I549" s="86"/>
      <c r="J549" s="86"/>
      <c r="K549" s="86"/>
      <c r="L549" s="86"/>
      <c r="M549" s="86"/>
      <c r="N549" s="86"/>
      <c r="O549" s="86"/>
      <c r="P549" s="86"/>
      <c r="Q549" s="86"/>
      <c r="R549" s="86"/>
    </row>
    <row r="550" spans="1:18">
      <c r="A550" s="86"/>
      <c r="B550" s="86"/>
      <c r="C550" s="86"/>
      <c r="D550" s="86"/>
      <c r="E550" s="86"/>
      <c r="F550" s="86"/>
      <c r="G550" s="86"/>
      <c r="H550" s="86"/>
      <c r="I550" s="86"/>
      <c r="J550" s="86"/>
      <c r="K550" s="86"/>
      <c r="L550" s="86"/>
      <c r="M550" s="86"/>
      <c r="N550" s="86"/>
      <c r="O550" s="86"/>
      <c r="P550" s="86"/>
      <c r="Q550" s="86"/>
      <c r="R550" s="86"/>
    </row>
    <row r="551" spans="1:18">
      <c r="A551" s="86"/>
      <c r="B551" s="86"/>
      <c r="C551" s="86"/>
      <c r="D551" s="86"/>
      <c r="E551" s="86"/>
      <c r="F551" s="86"/>
      <c r="G551" s="86"/>
      <c r="H551" s="86"/>
      <c r="I551" s="86"/>
      <c r="J551" s="86"/>
      <c r="K551" s="86"/>
      <c r="L551" s="86"/>
      <c r="M551" s="86"/>
      <c r="N551" s="86"/>
      <c r="O551" s="86"/>
      <c r="P551" s="86"/>
      <c r="Q551" s="86"/>
      <c r="R551" s="86"/>
    </row>
    <row r="552" spans="1:18">
      <c r="A552" s="86"/>
      <c r="B552" s="86"/>
      <c r="C552" s="86"/>
      <c r="D552" s="86"/>
      <c r="E552" s="86"/>
      <c r="F552" s="86"/>
      <c r="G552" s="86"/>
      <c r="H552" s="86"/>
      <c r="I552" s="86"/>
      <c r="J552" s="86"/>
      <c r="K552" s="86"/>
      <c r="L552" s="86"/>
      <c r="M552" s="86"/>
      <c r="N552" s="86"/>
      <c r="O552" s="86"/>
      <c r="P552" s="86"/>
      <c r="Q552" s="86"/>
      <c r="R552" s="86"/>
    </row>
    <row r="553" spans="1:18">
      <c r="A553" s="86"/>
      <c r="B553" s="86"/>
      <c r="C553" s="86"/>
      <c r="D553" s="86"/>
      <c r="E553" s="86"/>
      <c r="F553" s="86"/>
      <c r="G553" s="86"/>
      <c r="H553" s="86"/>
      <c r="I553" s="86"/>
      <c r="J553" s="86"/>
      <c r="K553" s="86"/>
      <c r="L553" s="86"/>
      <c r="M553" s="86"/>
      <c r="N553" s="86"/>
      <c r="O553" s="86"/>
      <c r="P553" s="86"/>
      <c r="Q553" s="86"/>
      <c r="R553" s="86"/>
    </row>
    <row r="554" spans="1:18">
      <c r="A554" s="86"/>
      <c r="B554" s="86"/>
      <c r="C554" s="86"/>
      <c r="D554" s="86"/>
      <c r="E554" s="86"/>
      <c r="F554" s="86"/>
      <c r="G554" s="86"/>
      <c r="H554" s="86"/>
      <c r="I554" s="86"/>
      <c r="J554" s="86"/>
      <c r="K554" s="86"/>
      <c r="L554" s="86"/>
      <c r="M554" s="86"/>
      <c r="N554" s="86"/>
      <c r="O554" s="86"/>
      <c r="P554" s="86"/>
      <c r="Q554" s="86"/>
      <c r="R554" s="86"/>
    </row>
    <row r="555" spans="1:18">
      <c r="A555" s="86"/>
      <c r="B555" s="86"/>
      <c r="C555" s="86"/>
      <c r="D555" s="86"/>
      <c r="E555" s="86"/>
      <c r="F555" s="86"/>
      <c r="G555" s="86"/>
      <c r="H555" s="86"/>
      <c r="I555" s="86"/>
      <c r="J555" s="86"/>
      <c r="K555" s="86"/>
      <c r="L555" s="86"/>
      <c r="M555" s="86"/>
      <c r="N555" s="86"/>
      <c r="O555" s="86"/>
      <c r="P555" s="86"/>
      <c r="Q555" s="86"/>
      <c r="R555" s="86"/>
    </row>
    <row r="556" spans="1:18">
      <c r="A556" s="86"/>
      <c r="B556" s="86"/>
      <c r="C556" s="86"/>
      <c r="D556" s="86"/>
      <c r="E556" s="86"/>
      <c r="F556" s="86"/>
      <c r="G556" s="86"/>
      <c r="H556" s="86"/>
      <c r="I556" s="86"/>
      <c r="J556" s="86"/>
      <c r="K556" s="86"/>
      <c r="L556" s="86"/>
      <c r="M556" s="86"/>
      <c r="N556" s="86"/>
      <c r="O556" s="86"/>
      <c r="P556" s="86"/>
      <c r="Q556" s="86"/>
      <c r="R556" s="86"/>
    </row>
    <row r="557" spans="1:18">
      <c r="A557" s="86"/>
      <c r="B557" s="86"/>
      <c r="C557" s="86"/>
      <c r="D557" s="86"/>
      <c r="E557" s="86"/>
      <c r="F557" s="86"/>
      <c r="G557" s="86"/>
      <c r="H557" s="86"/>
      <c r="I557" s="86"/>
      <c r="J557" s="86"/>
      <c r="K557" s="86"/>
      <c r="L557" s="86"/>
      <c r="M557" s="86"/>
      <c r="N557" s="86"/>
      <c r="O557" s="86"/>
      <c r="P557" s="86"/>
      <c r="Q557" s="86"/>
      <c r="R557" s="86"/>
    </row>
    <row r="558" spans="1:18">
      <c r="A558" s="86"/>
      <c r="B558" s="86"/>
      <c r="C558" s="86"/>
      <c r="D558" s="86"/>
      <c r="E558" s="86"/>
      <c r="F558" s="86"/>
      <c r="G558" s="86"/>
      <c r="H558" s="86"/>
      <c r="I558" s="86"/>
      <c r="J558" s="86"/>
      <c r="K558" s="86"/>
      <c r="L558" s="86"/>
      <c r="M558" s="86"/>
      <c r="N558" s="86"/>
      <c r="O558" s="86"/>
      <c r="P558" s="86"/>
      <c r="Q558" s="86"/>
      <c r="R558" s="86"/>
    </row>
    <row r="559" spans="1:18">
      <c r="A559" s="86"/>
      <c r="B559" s="86"/>
      <c r="C559" s="86"/>
      <c r="D559" s="86"/>
      <c r="E559" s="86"/>
      <c r="F559" s="86"/>
      <c r="G559" s="86"/>
      <c r="H559" s="86"/>
      <c r="I559" s="86"/>
      <c r="J559" s="86"/>
      <c r="K559" s="86"/>
      <c r="L559" s="86"/>
      <c r="M559" s="86"/>
      <c r="N559" s="86"/>
      <c r="O559" s="86"/>
      <c r="P559" s="86"/>
      <c r="Q559" s="86"/>
      <c r="R559" s="86"/>
    </row>
    <row r="560" spans="1:18">
      <c r="A560" s="86"/>
      <c r="B560" s="86"/>
      <c r="C560" s="86"/>
      <c r="D560" s="86"/>
      <c r="E560" s="86"/>
      <c r="F560" s="86"/>
      <c r="G560" s="86"/>
      <c r="H560" s="86"/>
      <c r="I560" s="86"/>
      <c r="J560" s="86"/>
      <c r="K560" s="86"/>
      <c r="L560" s="86"/>
      <c r="M560" s="86"/>
      <c r="N560" s="86"/>
      <c r="O560" s="86"/>
      <c r="P560" s="86"/>
      <c r="Q560" s="86"/>
      <c r="R560" s="86"/>
    </row>
    <row r="561" spans="1:18">
      <c r="A561" s="86"/>
      <c r="B561" s="86"/>
      <c r="C561" s="86"/>
      <c r="D561" s="86"/>
      <c r="E561" s="86"/>
      <c r="F561" s="86"/>
      <c r="G561" s="86"/>
      <c r="H561" s="86"/>
      <c r="I561" s="86"/>
      <c r="J561" s="86"/>
      <c r="K561" s="86"/>
      <c r="L561" s="86"/>
      <c r="M561" s="86"/>
      <c r="N561" s="86"/>
      <c r="O561" s="86"/>
      <c r="P561" s="86"/>
      <c r="Q561" s="86"/>
      <c r="R561" s="86"/>
    </row>
    <row r="562" spans="1:18">
      <c r="A562" s="86"/>
      <c r="B562" s="86"/>
      <c r="C562" s="86"/>
      <c r="D562" s="86"/>
      <c r="E562" s="86"/>
      <c r="F562" s="86"/>
      <c r="G562" s="86"/>
      <c r="H562" s="86"/>
      <c r="I562" s="86"/>
      <c r="J562" s="86"/>
      <c r="K562" s="86"/>
      <c r="L562" s="86"/>
      <c r="M562" s="86"/>
      <c r="N562" s="86"/>
      <c r="O562" s="86"/>
      <c r="P562" s="86"/>
      <c r="Q562" s="86"/>
      <c r="R562" s="86"/>
    </row>
    <row r="563" spans="1:18">
      <c r="A563" s="86"/>
      <c r="B563" s="86"/>
      <c r="C563" s="86"/>
      <c r="D563" s="86"/>
      <c r="E563" s="86"/>
      <c r="F563" s="86"/>
      <c r="G563" s="86"/>
      <c r="H563" s="86"/>
      <c r="I563" s="86"/>
      <c r="J563" s="86"/>
      <c r="K563" s="86"/>
      <c r="L563" s="86"/>
      <c r="M563" s="86"/>
      <c r="N563" s="86"/>
      <c r="O563" s="86"/>
      <c r="P563" s="86"/>
      <c r="Q563" s="86"/>
      <c r="R563" s="86"/>
    </row>
    <row r="564" spans="1:18">
      <c r="A564" s="86"/>
      <c r="B564" s="86"/>
      <c r="C564" s="86"/>
      <c r="D564" s="86"/>
      <c r="E564" s="86"/>
      <c r="F564" s="86"/>
      <c r="G564" s="86"/>
      <c r="H564" s="86"/>
      <c r="I564" s="86"/>
      <c r="J564" s="86"/>
      <c r="K564" s="86"/>
      <c r="L564" s="86"/>
      <c r="M564" s="86"/>
      <c r="N564" s="86"/>
      <c r="O564" s="86"/>
      <c r="P564" s="86"/>
      <c r="Q564" s="86"/>
      <c r="R564" s="86"/>
    </row>
    <row r="565" spans="1:18">
      <c r="A565" s="86"/>
      <c r="B565" s="86"/>
      <c r="C565" s="86"/>
      <c r="D565" s="86"/>
      <c r="E565" s="86"/>
      <c r="F565" s="86"/>
      <c r="G565" s="86"/>
      <c r="H565" s="86"/>
      <c r="I565" s="86"/>
      <c r="J565" s="86"/>
      <c r="K565" s="86"/>
      <c r="L565" s="86"/>
      <c r="M565" s="86"/>
      <c r="N565" s="86"/>
      <c r="O565" s="86"/>
      <c r="P565" s="86"/>
      <c r="Q565" s="86"/>
      <c r="R565" s="86"/>
    </row>
    <row r="566" spans="1:18">
      <c r="A566" s="86"/>
      <c r="B566" s="86"/>
      <c r="C566" s="86"/>
      <c r="D566" s="86"/>
      <c r="E566" s="86"/>
      <c r="F566" s="86"/>
      <c r="G566" s="86"/>
      <c r="H566" s="86"/>
      <c r="I566" s="86"/>
      <c r="J566" s="86"/>
      <c r="K566" s="86"/>
      <c r="L566" s="86"/>
      <c r="M566" s="86"/>
      <c r="N566" s="86"/>
      <c r="O566" s="86"/>
      <c r="P566" s="86"/>
      <c r="Q566" s="86"/>
      <c r="R566" s="86"/>
    </row>
    <row r="567" spans="1:18">
      <c r="A567" s="86"/>
      <c r="B567" s="86"/>
      <c r="C567" s="86"/>
      <c r="D567" s="86"/>
      <c r="E567" s="86"/>
      <c r="F567" s="86"/>
      <c r="G567" s="86"/>
      <c r="H567" s="86"/>
      <c r="I567" s="86"/>
      <c r="J567" s="86"/>
      <c r="K567" s="86"/>
      <c r="L567" s="86"/>
      <c r="M567" s="86"/>
      <c r="N567" s="86"/>
      <c r="O567" s="86"/>
      <c r="P567" s="86"/>
      <c r="Q567" s="86"/>
      <c r="R567" s="86"/>
    </row>
    <row r="568" spans="1:18">
      <c r="A568" s="86"/>
      <c r="B568" s="86"/>
      <c r="C568" s="86"/>
      <c r="D568" s="86"/>
      <c r="E568" s="86"/>
      <c r="F568" s="86"/>
      <c r="G568" s="86"/>
      <c r="H568" s="86"/>
      <c r="I568" s="86"/>
      <c r="J568" s="86"/>
      <c r="K568" s="86"/>
      <c r="L568" s="86"/>
      <c r="M568" s="86"/>
      <c r="N568" s="86"/>
      <c r="O568" s="86"/>
      <c r="P568" s="86"/>
      <c r="Q568" s="86"/>
      <c r="R568" s="86"/>
    </row>
    <row r="569" spans="1:18">
      <c r="A569" s="86"/>
      <c r="B569" s="86"/>
      <c r="C569" s="86"/>
      <c r="D569" s="86"/>
      <c r="E569" s="86"/>
      <c r="F569" s="86"/>
      <c r="G569" s="86"/>
      <c r="H569" s="86"/>
      <c r="I569" s="86"/>
      <c r="J569" s="86"/>
      <c r="K569" s="86"/>
      <c r="L569" s="86"/>
      <c r="M569" s="86"/>
      <c r="N569" s="86"/>
      <c r="O569" s="86"/>
      <c r="P569" s="86"/>
      <c r="Q569" s="86"/>
      <c r="R569" s="86"/>
    </row>
    <row r="570" spans="1:18">
      <c r="A570" s="86"/>
      <c r="B570" s="86"/>
      <c r="C570" s="86"/>
      <c r="D570" s="86"/>
      <c r="E570" s="86"/>
      <c r="F570" s="86"/>
      <c r="G570" s="86"/>
      <c r="H570" s="86"/>
      <c r="I570" s="86"/>
      <c r="J570" s="86"/>
      <c r="K570" s="86"/>
      <c r="L570" s="86"/>
      <c r="M570" s="86"/>
      <c r="N570" s="86"/>
      <c r="O570" s="86"/>
      <c r="P570" s="86"/>
      <c r="Q570" s="86"/>
      <c r="R570" s="86"/>
    </row>
    <row r="571" spans="1:18">
      <c r="A571" s="86"/>
      <c r="B571" s="86"/>
      <c r="C571" s="86"/>
      <c r="D571" s="86"/>
      <c r="E571" s="86"/>
      <c r="F571" s="86"/>
      <c r="G571" s="86"/>
      <c r="H571" s="86"/>
      <c r="I571" s="86"/>
      <c r="J571" s="86"/>
      <c r="K571" s="86"/>
      <c r="L571" s="86"/>
      <c r="M571" s="86"/>
      <c r="N571" s="86"/>
      <c r="O571" s="86"/>
      <c r="P571" s="86"/>
      <c r="Q571" s="86"/>
      <c r="R571" s="86"/>
    </row>
    <row r="572" spans="1:18">
      <c r="A572" s="86"/>
      <c r="B572" s="86"/>
      <c r="C572" s="86"/>
      <c r="D572" s="86"/>
      <c r="E572" s="86"/>
      <c r="F572" s="86"/>
      <c r="G572" s="86"/>
      <c r="H572" s="86"/>
      <c r="I572" s="86"/>
      <c r="J572" s="86"/>
      <c r="K572" s="86"/>
      <c r="L572" s="86"/>
      <c r="M572" s="86"/>
      <c r="N572" s="86"/>
      <c r="O572" s="86"/>
      <c r="P572" s="86"/>
      <c r="Q572" s="86"/>
      <c r="R572" s="86"/>
    </row>
    <row r="573" spans="1:18">
      <c r="A573" s="86"/>
      <c r="B573" s="86"/>
      <c r="C573" s="86"/>
      <c r="D573" s="86"/>
      <c r="E573" s="86"/>
      <c r="F573" s="86"/>
      <c r="G573" s="86"/>
      <c r="H573" s="86"/>
      <c r="I573" s="86"/>
      <c r="J573" s="86"/>
      <c r="K573" s="86"/>
      <c r="L573" s="86"/>
      <c r="M573" s="86"/>
      <c r="N573" s="86"/>
      <c r="O573" s="86"/>
      <c r="P573" s="86"/>
      <c r="Q573" s="86"/>
      <c r="R573" s="86"/>
    </row>
    <row r="574" spans="1:18">
      <c r="A574" s="86"/>
      <c r="B574" s="86"/>
      <c r="C574" s="86"/>
      <c r="D574" s="86"/>
      <c r="E574" s="86"/>
      <c r="F574" s="86"/>
      <c r="G574" s="86"/>
      <c r="H574" s="86"/>
      <c r="I574" s="86"/>
      <c r="J574" s="86"/>
      <c r="K574" s="86"/>
      <c r="L574" s="86"/>
      <c r="M574" s="86"/>
      <c r="N574" s="86"/>
      <c r="O574" s="86"/>
      <c r="P574" s="86"/>
      <c r="Q574" s="86"/>
      <c r="R574" s="86"/>
    </row>
    <row r="575" spans="1:18">
      <c r="A575" s="86"/>
      <c r="B575" s="86"/>
      <c r="C575" s="86"/>
      <c r="D575" s="86"/>
      <c r="E575" s="86"/>
      <c r="F575" s="86"/>
      <c r="G575" s="86"/>
      <c r="H575" s="86"/>
      <c r="I575" s="86"/>
      <c r="J575" s="86"/>
      <c r="K575" s="86"/>
      <c r="L575" s="86"/>
      <c r="M575" s="86"/>
      <c r="N575" s="86"/>
      <c r="O575" s="86"/>
      <c r="P575" s="86"/>
      <c r="Q575" s="86"/>
      <c r="R575" s="86"/>
    </row>
    <row r="576" spans="1:18">
      <c r="A576" s="86"/>
      <c r="B576" s="86"/>
      <c r="C576" s="86"/>
      <c r="D576" s="86"/>
      <c r="E576" s="86"/>
      <c r="F576" s="86"/>
      <c r="G576" s="86"/>
      <c r="H576" s="86"/>
      <c r="I576" s="86"/>
      <c r="J576" s="86"/>
      <c r="K576" s="86"/>
      <c r="L576" s="86"/>
      <c r="M576" s="86"/>
      <c r="N576" s="86"/>
      <c r="O576" s="86"/>
      <c r="P576" s="86"/>
      <c r="Q576" s="86"/>
      <c r="R576" s="86"/>
    </row>
    <row r="577" spans="1:18">
      <c r="A577" s="86"/>
      <c r="B577" s="86"/>
      <c r="C577" s="86"/>
      <c r="D577" s="86"/>
      <c r="E577" s="86"/>
      <c r="F577" s="86"/>
      <c r="G577" s="86"/>
      <c r="H577" s="86"/>
      <c r="I577" s="86"/>
      <c r="J577" s="86"/>
      <c r="K577" s="86"/>
      <c r="L577" s="86"/>
      <c r="M577" s="86"/>
      <c r="N577" s="86"/>
      <c r="O577" s="86"/>
      <c r="P577" s="86"/>
      <c r="Q577" s="86"/>
      <c r="R577" s="86"/>
    </row>
    <row r="578" spans="1:18">
      <c r="A578" s="86"/>
      <c r="B578" s="86"/>
      <c r="C578" s="86"/>
      <c r="D578" s="86"/>
      <c r="E578" s="86"/>
      <c r="F578" s="86"/>
      <c r="G578" s="86"/>
      <c r="H578" s="86"/>
      <c r="I578" s="86"/>
      <c r="J578" s="86"/>
      <c r="K578" s="86"/>
      <c r="L578" s="86"/>
      <c r="M578" s="86"/>
      <c r="N578" s="86"/>
      <c r="O578" s="86"/>
      <c r="P578" s="86"/>
      <c r="Q578" s="86"/>
      <c r="R578" s="86"/>
    </row>
    <row r="579" spans="1:18">
      <c r="A579" s="86"/>
      <c r="B579" s="86"/>
      <c r="C579" s="86"/>
      <c r="D579" s="86"/>
      <c r="E579" s="86"/>
      <c r="F579" s="86"/>
      <c r="G579" s="86"/>
      <c r="H579" s="86"/>
      <c r="I579" s="86"/>
      <c r="J579" s="86"/>
      <c r="K579" s="86"/>
      <c r="L579" s="86"/>
      <c r="M579" s="86"/>
      <c r="N579" s="86"/>
      <c r="O579" s="86"/>
      <c r="P579" s="86"/>
      <c r="Q579" s="86"/>
      <c r="R579" s="86"/>
    </row>
    <row r="580" spans="1:18">
      <c r="A580" s="86"/>
      <c r="B580" s="86"/>
      <c r="C580" s="86"/>
      <c r="D580" s="86"/>
      <c r="E580" s="86"/>
      <c r="F580" s="86"/>
      <c r="G580" s="86"/>
      <c r="H580" s="86"/>
      <c r="I580" s="86"/>
      <c r="J580" s="86"/>
      <c r="K580" s="86"/>
      <c r="L580" s="86"/>
      <c r="M580" s="86"/>
      <c r="N580" s="86"/>
      <c r="O580" s="86"/>
      <c r="P580" s="86"/>
      <c r="Q580" s="86"/>
      <c r="R580" s="86"/>
    </row>
    <row r="581" spans="1:18">
      <c r="A581" s="86"/>
      <c r="B581" s="86"/>
      <c r="C581" s="86"/>
      <c r="D581" s="86"/>
      <c r="E581" s="86"/>
      <c r="F581" s="86"/>
      <c r="G581" s="86"/>
      <c r="H581" s="86"/>
      <c r="I581" s="86"/>
      <c r="J581" s="86"/>
      <c r="K581" s="86"/>
      <c r="L581" s="86"/>
      <c r="M581" s="86"/>
      <c r="N581" s="86"/>
      <c r="O581" s="86"/>
      <c r="P581" s="86"/>
      <c r="Q581" s="86"/>
      <c r="R581" s="86"/>
    </row>
    <row r="582" spans="1:18">
      <c r="A582" s="86"/>
      <c r="B582" s="86"/>
      <c r="C582" s="86"/>
      <c r="D582" s="86"/>
      <c r="E582" s="86"/>
      <c r="F582" s="86"/>
      <c r="G582" s="86"/>
      <c r="H582" s="86"/>
      <c r="I582" s="86"/>
      <c r="J582" s="86"/>
      <c r="K582" s="86"/>
      <c r="L582" s="86"/>
      <c r="M582" s="86"/>
      <c r="N582" s="86"/>
      <c r="O582" s="86"/>
      <c r="P582" s="86"/>
      <c r="Q582" s="86"/>
      <c r="R582" s="86"/>
    </row>
    <row r="583" spans="1:18">
      <c r="A583" s="86"/>
      <c r="B583" s="86"/>
      <c r="C583" s="86"/>
      <c r="D583" s="86"/>
      <c r="E583" s="86"/>
      <c r="F583" s="86"/>
      <c r="G583" s="86"/>
      <c r="H583" s="86"/>
      <c r="I583" s="86"/>
      <c r="J583" s="86"/>
      <c r="K583" s="86"/>
      <c r="L583" s="86"/>
      <c r="M583" s="86"/>
      <c r="N583" s="86"/>
      <c r="O583" s="86"/>
      <c r="P583" s="86"/>
      <c r="Q583" s="86"/>
      <c r="R583" s="86"/>
    </row>
    <row r="584" spans="1:18">
      <c r="A584" s="86"/>
      <c r="B584" s="86"/>
      <c r="C584" s="86"/>
      <c r="D584" s="86"/>
      <c r="E584" s="86"/>
      <c r="F584" s="86"/>
      <c r="G584" s="86"/>
      <c r="H584" s="86"/>
      <c r="I584" s="86"/>
      <c r="J584" s="86"/>
      <c r="K584" s="86"/>
      <c r="L584" s="86"/>
      <c r="M584" s="86"/>
      <c r="N584" s="86"/>
      <c r="O584" s="86"/>
      <c r="P584" s="86"/>
      <c r="Q584" s="86"/>
      <c r="R584" s="86"/>
    </row>
    <row r="585" spans="1:18">
      <c r="A585" s="86"/>
      <c r="B585" s="86"/>
      <c r="C585" s="86"/>
      <c r="D585" s="86"/>
      <c r="E585" s="86"/>
      <c r="F585" s="86"/>
      <c r="G585" s="86"/>
      <c r="H585" s="86"/>
      <c r="I585" s="86"/>
      <c r="J585" s="86"/>
      <c r="K585" s="86"/>
      <c r="L585" s="86"/>
      <c r="M585" s="86"/>
      <c r="N585" s="86"/>
      <c r="O585" s="86"/>
      <c r="P585" s="86"/>
      <c r="Q585" s="86"/>
      <c r="R585" s="86"/>
    </row>
    <row r="586" spans="1:18">
      <c r="A586" s="86"/>
      <c r="B586" s="86"/>
      <c r="C586" s="86"/>
      <c r="D586" s="86"/>
      <c r="E586" s="86"/>
      <c r="F586" s="86"/>
      <c r="G586" s="86"/>
      <c r="H586" s="86"/>
      <c r="I586" s="86"/>
      <c r="J586" s="86"/>
      <c r="K586" s="86"/>
      <c r="L586" s="86"/>
      <c r="M586" s="86"/>
      <c r="N586" s="86"/>
      <c r="O586" s="86"/>
      <c r="P586" s="86"/>
      <c r="Q586" s="86"/>
      <c r="R586" s="86"/>
    </row>
    <row r="587" spans="1:18">
      <c r="A587" s="86"/>
      <c r="B587" s="86"/>
      <c r="C587" s="86"/>
      <c r="D587" s="86"/>
      <c r="E587" s="86"/>
      <c r="F587" s="86"/>
      <c r="G587" s="86"/>
      <c r="H587" s="86"/>
      <c r="I587" s="86"/>
      <c r="J587" s="86"/>
      <c r="K587" s="86"/>
      <c r="L587" s="86"/>
      <c r="M587" s="86"/>
      <c r="N587" s="86"/>
      <c r="O587" s="86"/>
      <c r="P587" s="86"/>
      <c r="Q587" s="86"/>
      <c r="R587" s="86"/>
    </row>
    <row r="588" spans="1:18">
      <c r="A588" s="86"/>
      <c r="B588" s="86"/>
      <c r="C588" s="86"/>
      <c r="D588" s="86"/>
      <c r="E588" s="86"/>
      <c r="F588" s="86"/>
      <c r="G588" s="86"/>
      <c r="H588" s="86"/>
      <c r="I588" s="86"/>
      <c r="J588" s="86"/>
      <c r="K588" s="86"/>
      <c r="L588" s="86"/>
      <c r="M588" s="86"/>
      <c r="N588" s="86"/>
      <c r="O588" s="86"/>
      <c r="P588" s="86"/>
      <c r="Q588" s="86"/>
      <c r="R588" s="86"/>
    </row>
    <row r="589" spans="1:18">
      <c r="A589" s="86"/>
      <c r="B589" s="86"/>
      <c r="C589" s="86"/>
      <c r="D589" s="86"/>
      <c r="E589" s="86"/>
      <c r="F589" s="86"/>
      <c r="G589" s="86"/>
      <c r="H589" s="86"/>
      <c r="I589" s="86"/>
      <c r="J589" s="86"/>
      <c r="K589" s="86"/>
      <c r="L589" s="86"/>
      <c r="M589" s="86"/>
      <c r="N589" s="86"/>
      <c r="O589" s="86"/>
      <c r="P589" s="86"/>
      <c r="Q589" s="86"/>
      <c r="R589" s="86"/>
    </row>
    <row r="590" spans="1:18">
      <c r="A590" s="86"/>
      <c r="B590" s="86"/>
      <c r="C590" s="86"/>
      <c r="D590" s="86"/>
      <c r="E590" s="86"/>
      <c r="F590" s="86"/>
      <c r="G590" s="86"/>
      <c r="H590" s="86"/>
      <c r="I590" s="86"/>
      <c r="J590" s="86"/>
      <c r="K590" s="86"/>
      <c r="L590" s="86"/>
      <c r="M590" s="86"/>
      <c r="N590" s="86"/>
      <c r="O590" s="86"/>
      <c r="P590" s="86"/>
      <c r="Q590" s="86"/>
      <c r="R590" s="86"/>
    </row>
    <row r="591" spans="1:18">
      <c r="A591" s="86"/>
      <c r="B591" s="86"/>
      <c r="C591" s="86"/>
      <c r="D591" s="86"/>
      <c r="E591" s="86"/>
      <c r="F591" s="86"/>
      <c r="G591" s="86"/>
      <c r="H591" s="86"/>
      <c r="I591" s="86"/>
      <c r="J591" s="86"/>
      <c r="K591" s="86"/>
      <c r="L591" s="86"/>
      <c r="M591" s="86"/>
      <c r="N591" s="86"/>
      <c r="O591" s="86"/>
      <c r="P591" s="86"/>
      <c r="Q591" s="86"/>
      <c r="R591" s="86"/>
    </row>
    <row r="592" spans="1:18">
      <c r="A592" s="86"/>
      <c r="B592" s="86"/>
      <c r="C592" s="86"/>
      <c r="D592" s="86"/>
      <c r="E592" s="86"/>
      <c r="F592" s="86"/>
      <c r="G592" s="86"/>
      <c r="H592" s="86"/>
      <c r="I592" s="86"/>
      <c r="J592" s="86"/>
      <c r="K592" s="86"/>
      <c r="L592" s="86"/>
      <c r="M592" s="86"/>
      <c r="N592" s="86"/>
      <c r="O592" s="86"/>
      <c r="P592" s="86"/>
      <c r="Q592" s="86"/>
      <c r="R592" s="86"/>
    </row>
    <row r="593" spans="1:18">
      <c r="A593" s="86"/>
      <c r="B593" s="86"/>
      <c r="C593" s="86"/>
      <c r="D593" s="86"/>
      <c r="E593" s="86"/>
      <c r="F593" s="86"/>
      <c r="G593" s="86"/>
      <c r="H593" s="86"/>
      <c r="I593" s="86"/>
      <c r="J593" s="86"/>
      <c r="K593" s="86"/>
      <c r="L593" s="86"/>
      <c r="M593" s="86"/>
      <c r="N593" s="86"/>
      <c r="O593" s="86"/>
      <c r="P593" s="86"/>
      <c r="Q593" s="86"/>
      <c r="R593" s="86"/>
    </row>
    <row r="594" spans="1:18">
      <c r="A594" s="86"/>
      <c r="B594" s="86"/>
      <c r="C594" s="86"/>
      <c r="D594" s="86"/>
      <c r="E594" s="86"/>
      <c r="F594" s="86"/>
      <c r="G594" s="86"/>
      <c r="H594" s="86"/>
      <c r="I594" s="86"/>
      <c r="J594" s="86"/>
      <c r="K594" s="86"/>
      <c r="L594" s="86"/>
      <c r="M594" s="86"/>
      <c r="N594" s="86"/>
      <c r="O594" s="86"/>
      <c r="P594" s="86"/>
      <c r="Q594" s="86"/>
      <c r="R594" s="86"/>
    </row>
    <row r="595" spans="1:18">
      <c r="A595" s="86"/>
      <c r="B595" s="86"/>
      <c r="C595" s="86"/>
      <c r="D595" s="86"/>
      <c r="E595" s="86"/>
      <c r="F595" s="86"/>
      <c r="G595" s="86"/>
      <c r="H595" s="86"/>
      <c r="I595" s="86"/>
      <c r="J595" s="86"/>
      <c r="K595" s="86"/>
      <c r="L595" s="86"/>
      <c r="M595" s="86"/>
      <c r="N595" s="86"/>
      <c r="O595" s="86"/>
      <c r="P595" s="86"/>
      <c r="Q595" s="86"/>
      <c r="R595" s="86"/>
    </row>
    <row r="596" spans="1:18">
      <c r="A596" s="86"/>
      <c r="B596" s="86"/>
      <c r="C596" s="86"/>
      <c r="D596" s="86"/>
      <c r="E596" s="86"/>
      <c r="F596" s="86"/>
      <c r="G596" s="86"/>
      <c r="H596" s="86"/>
      <c r="I596" s="86"/>
      <c r="J596" s="86"/>
      <c r="K596" s="86"/>
      <c r="L596" s="86"/>
      <c r="M596" s="86"/>
      <c r="N596" s="86"/>
      <c r="O596" s="86"/>
      <c r="P596" s="86"/>
      <c r="Q596" s="86"/>
      <c r="R596" s="86"/>
    </row>
    <row r="597" spans="1:18">
      <c r="A597" s="86"/>
      <c r="B597" s="86"/>
      <c r="C597" s="86"/>
      <c r="D597" s="86"/>
      <c r="E597" s="86"/>
      <c r="F597" s="86"/>
      <c r="G597" s="86"/>
      <c r="H597" s="86"/>
      <c r="I597" s="86"/>
      <c r="J597" s="86"/>
      <c r="K597" s="86"/>
      <c r="L597" s="86"/>
      <c r="M597" s="86"/>
      <c r="N597" s="86"/>
      <c r="O597" s="86"/>
      <c r="P597" s="86"/>
      <c r="Q597" s="86"/>
      <c r="R597" s="86"/>
    </row>
    <row r="598" spans="1:18">
      <c r="A598" s="86"/>
      <c r="B598" s="86"/>
      <c r="C598" s="86"/>
      <c r="D598" s="86"/>
      <c r="E598" s="86"/>
      <c r="F598" s="86"/>
      <c r="G598" s="86"/>
      <c r="H598" s="86"/>
      <c r="I598" s="86"/>
      <c r="J598" s="86"/>
      <c r="K598" s="86"/>
      <c r="L598" s="86"/>
      <c r="M598" s="86"/>
      <c r="N598" s="86"/>
      <c r="O598" s="86"/>
      <c r="P598" s="86"/>
      <c r="Q598" s="86"/>
      <c r="R598" s="86"/>
    </row>
    <row r="599" spans="1:18">
      <c r="A599" s="86"/>
      <c r="B599" s="86"/>
      <c r="C599" s="86"/>
      <c r="D599" s="86"/>
      <c r="E599" s="86"/>
      <c r="F599" s="86"/>
      <c r="G599" s="86"/>
      <c r="H599" s="86"/>
      <c r="I599" s="86"/>
      <c r="J599" s="86"/>
      <c r="K599" s="86"/>
      <c r="L599" s="86"/>
      <c r="M599" s="86"/>
      <c r="N599" s="86"/>
      <c r="O599" s="86"/>
      <c r="P599" s="86"/>
      <c r="Q599" s="86"/>
      <c r="R599" s="86"/>
    </row>
    <row r="600" spans="1:18">
      <c r="A600" s="86"/>
      <c r="B600" s="86"/>
      <c r="C600" s="86"/>
      <c r="D600" s="86"/>
      <c r="E600" s="86"/>
      <c r="F600" s="86"/>
      <c r="G600" s="86"/>
      <c r="H600" s="86"/>
      <c r="I600" s="86"/>
      <c r="J600" s="86"/>
      <c r="K600" s="86"/>
      <c r="L600" s="86"/>
      <c r="M600" s="86"/>
      <c r="N600" s="86"/>
      <c r="O600" s="86"/>
      <c r="P600" s="86"/>
      <c r="Q600" s="86"/>
      <c r="R600" s="86"/>
    </row>
    <row r="601" spans="1:18">
      <c r="A601" s="86"/>
      <c r="B601" s="86"/>
      <c r="C601" s="86"/>
      <c r="D601" s="86"/>
      <c r="E601" s="86"/>
      <c r="F601" s="86"/>
      <c r="G601" s="86"/>
      <c r="H601" s="86"/>
      <c r="I601" s="86"/>
      <c r="J601" s="86"/>
      <c r="K601" s="86"/>
      <c r="L601" s="86"/>
      <c r="M601" s="86"/>
      <c r="N601" s="86"/>
      <c r="O601" s="86"/>
      <c r="P601" s="86"/>
      <c r="Q601" s="86"/>
      <c r="R601" s="86"/>
    </row>
    <row r="602" spans="1:18">
      <c r="A602" s="86"/>
      <c r="B602" s="86"/>
      <c r="C602" s="86"/>
      <c r="D602" s="86"/>
      <c r="E602" s="86"/>
      <c r="F602" s="86"/>
      <c r="G602" s="86"/>
      <c r="H602" s="86"/>
      <c r="I602" s="86"/>
      <c r="J602" s="86"/>
      <c r="K602" s="86"/>
      <c r="L602" s="86"/>
      <c r="M602" s="86"/>
      <c r="N602" s="86"/>
      <c r="O602" s="86"/>
      <c r="P602" s="86"/>
      <c r="Q602" s="86"/>
      <c r="R602" s="86"/>
    </row>
    <row r="603" spans="1:18">
      <c r="A603" s="86"/>
      <c r="B603" s="86"/>
      <c r="C603" s="86"/>
      <c r="D603" s="86"/>
      <c r="E603" s="86"/>
      <c r="F603" s="86"/>
      <c r="G603" s="86"/>
      <c r="H603" s="86"/>
      <c r="I603" s="86"/>
      <c r="J603" s="86"/>
      <c r="K603" s="86"/>
      <c r="L603" s="86"/>
      <c r="M603" s="86"/>
      <c r="N603" s="86"/>
      <c r="O603" s="86"/>
      <c r="P603" s="86"/>
      <c r="Q603" s="86"/>
      <c r="R603" s="86"/>
    </row>
    <row r="604" spans="1:18">
      <c r="A604" s="86"/>
      <c r="B604" s="86"/>
      <c r="C604" s="86"/>
      <c r="D604" s="86"/>
      <c r="E604" s="86"/>
      <c r="F604" s="86"/>
      <c r="G604" s="86"/>
      <c r="H604" s="86"/>
      <c r="I604" s="86"/>
      <c r="J604" s="86"/>
      <c r="K604" s="86"/>
      <c r="L604" s="86"/>
      <c r="M604" s="86"/>
      <c r="N604" s="86"/>
      <c r="O604" s="86"/>
      <c r="P604" s="86"/>
      <c r="Q604" s="86"/>
      <c r="R604" s="86"/>
    </row>
    <row r="605" spans="1:18">
      <c r="A605" s="86"/>
      <c r="B605" s="86"/>
      <c r="C605" s="86"/>
      <c r="D605" s="86"/>
      <c r="E605" s="86"/>
      <c r="F605" s="86"/>
      <c r="G605" s="86"/>
      <c r="H605" s="86"/>
      <c r="I605" s="86"/>
      <c r="J605" s="86"/>
      <c r="K605" s="86"/>
      <c r="L605" s="86"/>
      <c r="M605" s="86"/>
      <c r="N605" s="86"/>
      <c r="O605" s="86"/>
      <c r="P605" s="86"/>
      <c r="Q605" s="86"/>
      <c r="R605" s="86"/>
    </row>
    <row r="606" spans="1:18">
      <c r="A606" s="86"/>
      <c r="B606" s="86"/>
      <c r="C606" s="86"/>
      <c r="D606" s="86"/>
      <c r="E606" s="86"/>
      <c r="F606" s="86"/>
      <c r="G606" s="86"/>
      <c r="H606" s="86"/>
      <c r="I606" s="86"/>
      <c r="J606" s="86"/>
      <c r="K606" s="86"/>
      <c r="L606" s="86"/>
      <c r="M606" s="86"/>
      <c r="N606" s="86"/>
      <c r="O606" s="86"/>
      <c r="P606" s="86"/>
      <c r="Q606" s="86"/>
      <c r="R606" s="86"/>
    </row>
    <row r="607" spans="1:18">
      <c r="A607" s="86"/>
      <c r="B607" s="86"/>
      <c r="C607" s="86"/>
      <c r="D607" s="86"/>
      <c r="E607" s="86"/>
      <c r="F607" s="86"/>
      <c r="G607" s="86"/>
      <c r="H607" s="86"/>
      <c r="I607" s="86"/>
      <c r="J607" s="86"/>
      <c r="K607" s="86"/>
      <c r="L607" s="86"/>
      <c r="M607" s="86"/>
      <c r="N607" s="86"/>
      <c r="O607" s="86"/>
      <c r="P607" s="86"/>
      <c r="Q607" s="86"/>
      <c r="R607" s="86"/>
    </row>
    <row r="608" spans="1:18">
      <c r="A608" s="86"/>
      <c r="B608" s="86"/>
      <c r="C608" s="86"/>
      <c r="D608" s="86"/>
      <c r="E608" s="86"/>
      <c r="F608" s="86"/>
      <c r="G608" s="86"/>
      <c r="H608" s="86"/>
      <c r="I608" s="86"/>
      <c r="J608" s="86"/>
      <c r="K608" s="86"/>
      <c r="L608" s="86"/>
      <c r="M608" s="86"/>
      <c r="N608" s="86"/>
      <c r="O608" s="86"/>
      <c r="P608" s="86"/>
      <c r="Q608" s="86"/>
      <c r="R608" s="86"/>
    </row>
    <row r="609" spans="1:18">
      <c r="A609" s="86"/>
      <c r="B609" s="86"/>
      <c r="C609" s="86"/>
      <c r="D609" s="86"/>
      <c r="E609" s="86"/>
      <c r="F609" s="86"/>
      <c r="G609" s="86"/>
      <c r="H609" s="86"/>
      <c r="I609" s="86"/>
      <c r="J609" s="86"/>
      <c r="K609" s="86"/>
      <c r="L609" s="86"/>
      <c r="M609" s="86"/>
      <c r="N609" s="86"/>
      <c r="O609" s="86"/>
      <c r="P609" s="86"/>
      <c r="Q609" s="86"/>
      <c r="R609" s="86"/>
    </row>
    <row r="610" spans="1:18">
      <c r="A610" s="86"/>
      <c r="B610" s="86"/>
      <c r="C610" s="86"/>
      <c r="D610" s="86"/>
      <c r="E610" s="86"/>
      <c r="F610" s="86"/>
      <c r="G610" s="86"/>
      <c r="H610" s="86"/>
      <c r="I610" s="86"/>
      <c r="J610" s="86"/>
      <c r="K610" s="86"/>
      <c r="L610" s="86"/>
      <c r="M610" s="86"/>
      <c r="N610" s="86"/>
      <c r="O610" s="86"/>
      <c r="P610" s="86"/>
      <c r="Q610" s="86"/>
      <c r="R610" s="86"/>
    </row>
    <row r="611" spans="1:18">
      <c r="A611" s="86"/>
      <c r="B611" s="86"/>
      <c r="C611" s="86"/>
      <c r="D611" s="86"/>
      <c r="E611" s="86"/>
      <c r="F611" s="86"/>
      <c r="G611" s="86"/>
      <c r="H611" s="86"/>
      <c r="I611" s="86"/>
      <c r="J611" s="86"/>
      <c r="K611" s="86"/>
      <c r="L611" s="86"/>
      <c r="M611" s="86"/>
      <c r="N611" s="86"/>
      <c r="O611" s="86"/>
      <c r="P611" s="86"/>
      <c r="Q611" s="86"/>
      <c r="R611" s="86"/>
    </row>
    <row r="612" spans="1:18">
      <c r="A612" s="86"/>
      <c r="B612" s="86"/>
      <c r="C612" s="86"/>
      <c r="D612" s="86"/>
      <c r="E612" s="86"/>
      <c r="F612" s="86"/>
      <c r="G612" s="86"/>
      <c r="H612" s="86"/>
      <c r="I612" s="86"/>
      <c r="J612" s="86"/>
      <c r="K612" s="86"/>
      <c r="L612" s="86"/>
      <c r="M612" s="86"/>
      <c r="N612" s="86"/>
      <c r="O612" s="86"/>
      <c r="P612" s="86"/>
      <c r="Q612" s="86"/>
      <c r="R612" s="86"/>
    </row>
    <row r="613" spans="1:18">
      <c r="A613" s="86"/>
      <c r="B613" s="86"/>
      <c r="C613" s="86"/>
      <c r="D613" s="86"/>
      <c r="E613" s="86"/>
      <c r="F613" s="86"/>
      <c r="G613" s="86"/>
      <c r="H613" s="86"/>
      <c r="I613" s="86"/>
      <c r="J613" s="86"/>
      <c r="K613" s="86"/>
      <c r="L613" s="86"/>
      <c r="M613" s="86"/>
      <c r="N613" s="86"/>
      <c r="O613" s="86"/>
      <c r="P613" s="86"/>
      <c r="Q613" s="86"/>
      <c r="R613" s="86"/>
    </row>
    <row r="614" spans="1:18">
      <c r="A614" s="86"/>
      <c r="B614" s="86"/>
      <c r="C614" s="86"/>
      <c r="D614" s="86"/>
      <c r="E614" s="86"/>
      <c r="F614" s="86"/>
      <c r="G614" s="86"/>
      <c r="H614" s="86"/>
      <c r="I614" s="86"/>
      <c r="J614" s="86"/>
      <c r="K614" s="86"/>
      <c r="L614" s="86"/>
      <c r="M614" s="86"/>
      <c r="N614" s="86"/>
      <c r="O614" s="86"/>
      <c r="P614" s="86"/>
      <c r="Q614" s="86"/>
      <c r="R614" s="86"/>
    </row>
    <row r="615" spans="1:18">
      <c r="A615" s="86"/>
      <c r="B615" s="86"/>
      <c r="C615" s="86"/>
      <c r="D615" s="86"/>
      <c r="E615" s="86"/>
      <c r="F615" s="86"/>
      <c r="G615" s="86"/>
      <c r="H615" s="86"/>
      <c r="I615" s="86"/>
      <c r="J615" s="86"/>
      <c r="K615" s="86"/>
      <c r="L615" s="86"/>
      <c r="M615" s="86"/>
      <c r="N615" s="86"/>
      <c r="O615" s="86"/>
      <c r="P615" s="86"/>
      <c r="Q615" s="86"/>
      <c r="R615" s="86"/>
    </row>
    <row r="616" spans="1:18">
      <c r="A616" s="86"/>
      <c r="B616" s="86"/>
      <c r="C616" s="86"/>
      <c r="D616" s="86"/>
      <c r="E616" s="86"/>
      <c r="F616" s="86"/>
      <c r="G616" s="86"/>
      <c r="H616" s="86"/>
      <c r="I616" s="86"/>
      <c r="J616" s="86"/>
      <c r="K616" s="86"/>
      <c r="L616" s="86"/>
      <c r="M616" s="86"/>
      <c r="N616" s="86"/>
      <c r="O616" s="86"/>
      <c r="P616" s="86"/>
      <c r="Q616" s="86"/>
      <c r="R616" s="86"/>
    </row>
    <row r="617" spans="1:18">
      <c r="A617" s="86"/>
      <c r="B617" s="86"/>
      <c r="C617" s="86"/>
      <c r="D617" s="86"/>
      <c r="E617" s="86"/>
      <c r="F617" s="86"/>
      <c r="G617" s="86"/>
      <c r="H617" s="86"/>
      <c r="I617" s="86"/>
      <c r="J617" s="86"/>
      <c r="K617" s="86"/>
      <c r="L617" s="86"/>
      <c r="M617" s="86"/>
      <c r="N617" s="86"/>
      <c r="O617" s="86"/>
      <c r="P617" s="86"/>
      <c r="Q617" s="86"/>
      <c r="R617" s="86"/>
    </row>
    <row r="618" spans="1:18">
      <c r="A618" s="86"/>
      <c r="B618" s="86"/>
      <c r="C618" s="86"/>
      <c r="D618" s="86"/>
      <c r="E618" s="86"/>
      <c r="F618" s="86"/>
      <c r="G618" s="86"/>
      <c r="H618" s="86"/>
      <c r="I618" s="86"/>
      <c r="J618" s="86"/>
      <c r="K618" s="86"/>
      <c r="L618" s="86"/>
      <c r="M618" s="86"/>
      <c r="N618" s="86"/>
      <c r="O618" s="86"/>
      <c r="P618" s="86"/>
      <c r="Q618" s="86"/>
      <c r="R618" s="86"/>
    </row>
    <row r="619" spans="1:18">
      <c r="A619" s="86"/>
      <c r="B619" s="86"/>
      <c r="C619" s="86"/>
      <c r="D619" s="86"/>
      <c r="E619" s="86"/>
      <c r="F619" s="86"/>
      <c r="G619" s="86"/>
      <c r="H619" s="86"/>
      <c r="I619" s="86"/>
      <c r="J619" s="86"/>
      <c r="K619" s="86"/>
      <c r="L619" s="86"/>
      <c r="M619" s="86"/>
      <c r="N619" s="86"/>
      <c r="O619" s="86"/>
      <c r="P619" s="86"/>
      <c r="Q619" s="86"/>
      <c r="R619" s="86"/>
    </row>
    <row r="620" spans="1:18">
      <c r="A620" s="86"/>
      <c r="B620" s="86"/>
      <c r="C620" s="86"/>
      <c r="D620" s="86"/>
      <c r="E620" s="86"/>
      <c r="F620" s="86"/>
      <c r="G620" s="86"/>
      <c r="H620" s="86"/>
      <c r="I620" s="86"/>
      <c r="J620" s="86"/>
      <c r="K620" s="86"/>
      <c r="L620" s="86"/>
      <c r="M620" s="86"/>
      <c r="N620" s="86"/>
      <c r="O620" s="86"/>
      <c r="P620" s="86"/>
      <c r="Q620" s="86"/>
      <c r="R620" s="86"/>
    </row>
    <row r="621" spans="1:18">
      <c r="A621" s="86"/>
      <c r="B621" s="86"/>
      <c r="C621" s="86"/>
      <c r="D621" s="86"/>
      <c r="E621" s="86"/>
      <c r="F621" s="86"/>
      <c r="G621" s="86"/>
      <c r="H621" s="86"/>
      <c r="I621" s="86"/>
      <c r="J621" s="86"/>
      <c r="K621" s="86"/>
      <c r="L621" s="86"/>
      <c r="M621" s="86"/>
      <c r="N621" s="86"/>
      <c r="O621" s="86"/>
      <c r="P621" s="86"/>
      <c r="Q621" s="86"/>
      <c r="R621" s="86"/>
    </row>
    <row r="622" spans="1:18">
      <c r="A622" s="86"/>
      <c r="B622" s="86"/>
      <c r="C622" s="86"/>
      <c r="D622" s="86"/>
      <c r="E622" s="86"/>
      <c r="F622" s="86"/>
      <c r="G622" s="86"/>
      <c r="H622" s="86"/>
      <c r="I622" s="86"/>
      <c r="J622" s="86"/>
      <c r="K622" s="86"/>
      <c r="L622" s="86"/>
      <c r="M622" s="86"/>
      <c r="N622" s="86"/>
      <c r="O622" s="86"/>
      <c r="P622" s="86"/>
      <c r="Q622" s="86"/>
      <c r="R622" s="86"/>
    </row>
    <row r="623" spans="1:18">
      <c r="A623" s="86"/>
      <c r="B623" s="86"/>
      <c r="C623" s="86"/>
      <c r="D623" s="86"/>
      <c r="E623" s="86"/>
      <c r="F623" s="86"/>
      <c r="G623" s="86"/>
      <c r="H623" s="86"/>
      <c r="I623" s="86"/>
      <c r="J623" s="86"/>
      <c r="K623" s="86"/>
      <c r="L623" s="86"/>
      <c r="M623" s="86"/>
      <c r="N623" s="86"/>
      <c r="O623" s="86"/>
      <c r="P623" s="86"/>
      <c r="Q623" s="86"/>
      <c r="R623" s="86"/>
    </row>
    <row r="624" spans="1:18">
      <c r="A624" s="86"/>
      <c r="B624" s="86"/>
      <c r="C624" s="86"/>
      <c r="D624" s="86"/>
      <c r="E624" s="86"/>
      <c r="F624" s="86"/>
      <c r="G624" s="86"/>
      <c r="H624" s="86"/>
      <c r="I624" s="86"/>
      <c r="J624" s="86"/>
      <c r="K624" s="86"/>
      <c r="L624" s="86"/>
      <c r="M624" s="86"/>
      <c r="N624" s="86"/>
      <c r="O624" s="86"/>
      <c r="P624" s="86"/>
      <c r="Q624" s="86"/>
      <c r="R624" s="86"/>
    </row>
    <row r="625" spans="1:18">
      <c r="A625" s="86"/>
      <c r="B625" s="86"/>
      <c r="C625" s="86"/>
      <c r="D625" s="86"/>
      <c r="E625" s="86"/>
      <c r="F625" s="86"/>
      <c r="G625" s="86"/>
      <c r="H625" s="86"/>
      <c r="I625" s="86"/>
      <c r="J625" s="86"/>
      <c r="K625" s="86"/>
      <c r="L625" s="86"/>
      <c r="M625" s="86"/>
      <c r="N625" s="86"/>
      <c r="O625" s="86"/>
      <c r="P625" s="86"/>
      <c r="Q625" s="86"/>
      <c r="R625" s="86"/>
    </row>
    <row r="626" spans="1:18">
      <c r="A626" s="86"/>
      <c r="B626" s="86"/>
      <c r="C626" s="86"/>
      <c r="D626" s="86"/>
      <c r="E626" s="86"/>
      <c r="F626" s="86"/>
      <c r="G626" s="86"/>
      <c r="H626" s="86"/>
      <c r="I626" s="86"/>
      <c r="J626" s="86"/>
      <c r="K626" s="86"/>
      <c r="L626" s="86"/>
      <c r="M626" s="86"/>
      <c r="N626" s="86"/>
      <c r="O626" s="86"/>
      <c r="P626" s="86"/>
      <c r="Q626" s="86"/>
      <c r="R626" s="86"/>
    </row>
    <row r="627" spans="1:18">
      <c r="A627" s="86"/>
      <c r="B627" s="86"/>
      <c r="C627" s="86"/>
      <c r="D627" s="86"/>
      <c r="E627" s="86"/>
      <c r="F627" s="86"/>
      <c r="G627" s="86"/>
      <c r="H627" s="86"/>
      <c r="I627" s="86"/>
      <c r="J627" s="86"/>
      <c r="K627" s="86"/>
      <c r="L627" s="86"/>
      <c r="M627" s="86"/>
      <c r="N627" s="86"/>
      <c r="O627" s="86"/>
      <c r="P627" s="86"/>
      <c r="Q627" s="86"/>
      <c r="R627" s="86"/>
    </row>
    <row r="628" spans="1:18">
      <c r="A628" s="86"/>
      <c r="B628" s="86"/>
      <c r="C628" s="86"/>
      <c r="D628" s="86"/>
      <c r="E628" s="86"/>
      <c r="F628" s="86"/>
      <c r="G628" s="86"/>
      <c r="H628" s="86"/>
      <c r="I628" s="86"/>
      <c r="J628" s="86"/>
      <c r="K628" s="86"/>
      <c r="L628" s="86"/>
      <c r="M628" s="86"/>
      <c r="N628" s="86"/>
      <c r="O628" s="86"/>
      <c r="P628" s="86"/>
      <c r="Q628" s="86"/>
      <c r="R628" s="86"/>
    </row>
    <row r="629" spans="1:18">
      <c r="A629" s="86"/>
      <c r="B629" s="86"/>
      <c r="C629" s="86"/>
      <c r="D629" s="86"/>
      <c r="E629" s="86"/>
      <c r="F629" s="86"/>
      <c r="G629" s="86"/>
      <c r="H629" s="86"/>
      <c r="I629" s="86"/>
      <c r="J629" s="86"/>
      <c r="K629" s="86"/>
      <c r="L629" s="86"/>
      <c r="M629" s="86"/>
      <c r="N629" s="86"/>
      <c r="O629" s="86"/>
      <c r="P629" s="86"/>
      <c r="Q629" s="86"/>
      <c r="R629" s="86"/>
    </row>
    <row r="630" spans="1:18">
      <c r="A630" s="86"/>
      <c r="B630" s="86"/>
      <c r="C630" s="86"/>
      <c r="D630" s="86"/>
      <c r="E630" s="86"/>
      <c r="F630" s="86"/>
      <c r="G630" s="86"/>
      <c r="H630" s="86"/>
      <c r="I630" s="86"/>
      <c r="J630" s="86"/>
      <c r="K630" s="86"/>
      <c r="L630" s="86"/>
      <c r="M630" s="86"/>
      <c r="N630" s="86"/>
      <c r="O630" s="86"/>
      <c r="P630" s="86"/>
      <c r="Q630" s="86"/>
      <c r="R630" s="86"/>
    </row>
    <row r="631" spans="1:18">
      <c r="A631" s="86"/>
      <c r="B631" s="86"/>
      <c r="C631" s="86"/>
      <c r="D631" s="86"/>
      <c r="E631" s="86"/>
      <c r="F631" s="86"/>
      <c r="G631" s="86"/>
      <c r="H631" s="86"/>
      <c r="I631" s="86"/>
      <c r="J631" s="86"/>
      <c r="K631" s="86"/>
      <c r="L631" s="86"/>
      <c r="M631" s="86"/>
      <c r="N631" s="86"/>
      <c r="O631" s="86"/>
      <c r="P631" s="86"/>
      <c r="Q631" s="86"/>
      <c r="R631" s="86"/>
    </row>
    <row r="632" spans="1:18">
      <c r="A632" s="86"/>
      <c r="B632" s="86"/>
      <c r="C632" s="86"/>
      <c r="D632" s="86"/>
      <c r="E632" s="86"/>
      <c r="F632" s="86"/>
      <c r="G632" s="86"/>
      <c r="H632" s="86"/>
      <c r="I632" s="86"/>
      <c r="J632" s="86"/>
      <c r="K632" s="86"/>
      <c r="L632" s="86"/>
      <c r="M632" s="86"/>
      <c r="N632" s="86"/>
      <c r="O632" s="86"/>
      <c r="P632" s="86"/>
      <c r="Q632" s="86"/>
      <c r="R632" s="86"/>
    </row>
    <row r="633" spans="1:18">
      <c r="A633" s="86"/>
      <c r="B633" s="86"/>
      <c r="C633" s="86"/>
      <c r="D633" s="86"/>
      <c r="E633" s="86"/>
      <c r="F633" s="86"/>
      <c r="G633" s="86"/>
      <c r="H633" s="86"/>
      <c r="I633" s="86"/>
      <c r="J633" s="86"/>
      <c r="K633" s="86"/>
      <c r="L633" s="86"/>
      <c r="M633" s="86"/>
      <c r="N633" s="86"/>
      <c r="O633" s="86"/>
      <c r="P633" s="86"/>
      <c r="Q633" s="86"/>
      <c r="R633" s="86"/>
    </row>
    <row r="634" spans="1:18">
      <c r="A634" s="86"/>
      <c r="B634" s="86"/>
      <c r="C634" s="86"/>
      <c r="D634" s="86"/>
      <c r="E634" s="86"/>
      <c r="F634" s="86"/>
      <c r="G634" s="86"/>
      <c r="H634" s="86"/>
      <c r="I634" s="86"/>
      <c r="J634" s="86"/>
      <c r="K634" s="86"/>
      <c r="L634" s="86"/>
      <c r="M634" s="86"/>
      <c r="N634" s="86"/>
      <c r="O634" s="86"/>
      <c r="P634" s="86"/>
      <c r="Q634" s="86"/>
      <c r="R634" s="86"/>
    </row>
    <row r="635" spans="1:18">
      <c r="A635" s="86"/>
      <c r="B635" s="86"/>
      <c r="C635" s="86"/>
      <c r="D635" s="86"/>
      <c r="E635" s="86"/>
      <c r="F635" s="86"/>
      <c r="G635" s="86"/>
      <c r="H635" s="86"/>
      <c r="I635" s="86"/>
      <c r="J635" s="86"/>
      <c r="K635" s="86"/>
      <c r="L635" s="86"/>
      <c r="M635" s="86"/>
      <c r="N635" s="86"/>
      <c r="O635" s="86"/>
      <c r="P635" s="86"/>
      <c r="Q635" s="86"/>
      <c r="R635" s="86"/>
    </row>
    <row r="636" spans="1:18">
      <c r="A636" s="86"/>
      <c r="B636" s="86"/>
      <c r="C636" s="86"/>
      <c r="D636" s="86"/>
      <c r="E636" s="86"/>
      <c r="F636" s="86"/>
      <c r="G636" s="86"/>
      <c r="H636" s="86"/>
      <c r="I636" s="86"/>
      <c r="J636" s="86"/>
      <c r="K636" s="86"/>
      <c r="L636" s="86"/>
      <c r="M636" s="86"/>
      <c r="N636" s="86"/>
      <c r="O636" s="86"/>
      <c r="P636" s="86"/>
      <c r="Q636" s="86"/>
      <c r="R636" s="86"/>
    </row>
    <row r="637" spans="1:18">
      <c r="A637" s="86"/>
      <c r="B637" s="86"/>
      <c r="C637" s="86"/>
      <c r="D637" s="86"/>
      <c r="E637" s="86"/>
      <c r="F637" s="86"/>
      <c r="G637" s="86"/>
      <c r="H637" s="86"/>
      <c r="I637" s="86"/>
      <c r="J637" s="86"/>
      <c r="K637" s="86"/>
      <c r="L637" s="86"/>
      <c r="M637" s="86"/>
      <c r="N637" s="86"/>
      <c r="O637" s="86"/>
      <c r="P637" s="86"/>
      <c r="Q637" s="86"/>
      <c r="R637" s="86"/>
    </row>
    <row r="638" spans="1:18">
      <c r="A638" s="86"/>
      <c r="B638" s="86"/>
      <c r="C638" s="86"/>
      <c r="D638" s="86"/>
      <c r="E638" s="86"/>
      <c r="F638" s="86"/>
      <c r="G638" s="86"/>
      <c r="H638" s="86"/>
      <c r="I638" s="86"/>
      <c r="J638" s="86"/>
      <c r="K638" s="86"/>
      <c r="L638" s="86"/>
      <c r="M638" s="86"/>
      <c r="N638" s="86"/>
      <c r="O638" s="86"/>
      <c r="P638" s="86"/>
      <c r="Q638" s="86"/>
      <c r="R638" s="86"/>
    </row>
    <row r="639" spans="1:18">
      <c r="A639" s="86"/>
      <c r="B639" s="86"/>
      <c r="C639" s="86"/>
      <c r="D639" s="86"/>
      <c r="E639" s="86"/>
      <c r="F639" s="86"/>
      <c r="G639" s="86"/>
      <c r="H639" s="86"/>
      <c r="I639" s="86"/>
      <c r="J639" s="86"/>
      <c r="K639" s="86"/>
      <c r="L639" s="86"/>
      <c r="M639" s="86"/>
      <c r="N639" s="86"/>
      <c r="O639" s="86"/>
      <c r="P639" s="86"/>
      <c r="Q639" s="86"/>
      <c r="R639" s="86"/>
    </row>
    <row r="640" spans="1:18">
      <c r="A640" s="86"/>
      <c r="B640" s="86"/>
      <c r="C640" s="86"/>
      <c r="D640" s="86"/>
      <c r="E640" s="86"/>
      <c r="F640" s="86"/>
      <c r="G640" s="86"/>
      <c r="H640" s="86"/>
      <c r="I640" s="86"/>
      <c r="J640" s="86"/>
      <c r="K640" s="86"/>
      <c r="L640" s="86"/>
      <c r="M640" s="86"/>
      <c r="N640" s="86"/>
      <c r="O640" s="86"/>
      <c r="P640" s="86"/>
      <c r="Q640" s="86"/>
      <c r="R640" s="86"/>
    </row>
    <row r="641" spans="1:18">
      <c r="A641" s="86"/>
      <c r="B641" s="86"/>
      <c r="C641" s="86"/>
      <c r="D641" s="86"/>
      <c r="E641" s="86"/>
      <c r="F641" s="86"/>
      <c r="G641" s="86"/>
      <c r="H641" s="86"/>
      <c r="I641" s="86"/>
      <c r="J641" s="86"/>
      <c r="K641" s="86"/>
      <c r="L641" s="86"/>
      <c r="M641" s="86"/>
      <c r="N641" s="86"/>
      <c r="O641" s="86"/>
      <c r="P641" s="86"/>
      <c r="Q641" s="86"/>
      <c r="R641" s="86"/>
    </row>
    <row r="642" spans="1:18">
      <c r="A642" s="86"/>
      <c r="B642" s="86"/>
      <c r="C642" s="86"/>
      <c r="D642" s="86"/>
      <c r="E642" s="86"/>
      <c r="F642" s="86"/>
      <c r="G642" s="86"/>
      <c r="H642" s="86"/>
      <c r="I642" s="86"/>
      <c r="J642" s="86"/>
      <c r="K642" s="86"/>
      <c r="L642" s="86"/>
      <c r="M642" s="86"/>
      <c r="N642" s="86"/>
      <c r="O642" s="86"/>
      <c r="P642" s="86"/>
      <c r="Q642" s="86"/>
      <c r="R642" s="86"/>
    </row>
    <row r="643" spans="1:18">
      <c r="A643" s="86"/>
      <c r="B643" s="86"/>
      <c r="C643" s="86"/>
      <c r="D643" s="86"/>
      <c r="E643" s="86"/>
      <c r="F643" s="86"/>
      <c r="G643" s="86"/>
      <c r="H643" s="86"/>
      <c r="I643" s="86"/>
      <c r="J643" s="86"/>
      <c r="K643" s="86"/>
      <c r="L643" s="86"/>
      <c r="M643" s="86"/>
      <c r="N643" s="86"/>
      <c r="O643" s="86"/>
      <c r="P643" s="86"/>
      <c r="Q643" s="86"/>
      <c r="R643" s="86"/>
    </row>
    <row r="644" spans="1:18">
      <c r="A644" s="86"/>
      <c r="B644" s="86"/>
      <c r="C644" s="86"/>
      <c r="D644" s="86"/>
      <c r="E644" s="86"/>
      <c r="F644" s="86"/>
      <c r="G644" s="86"/>
      <c r="H644" s="86"/>
      <c r="I644" s="86"/>
      <c r="J644" s="86"/>
      <c r="K644" s="86"/>
      <c r="L644" s="86"/>
      <c r="M644" s="86"/>
      <c r="N644" s="86"/>
      <c r="O644" s="86"/>
      <c r="P644" s="86"/>
      <c r="Q644" s="86"/>
      <c r="R644" s="86"/>
    </row>
    <row r="645" spans="1:18">
      <c r="A645" s="86"/>
      <c r="B645" s="86"/>
      <c r="C645" s="86"/>
      <c r="D645" s="86"/>
      <c r="E645" s="86"/>
      <c r="F645" s="86"/>
      <c r="G645" s="86"/>
      <c r="H645" s="86"/>
      <c r="I645" s="86"/>
      <c r="J645" s="86"/>
      <c r="K645" s="86"/>
      <c r="L645" s="86"/>
      <c r="M645" s="86"/>
      <c r="N645" s="86"/>
      <c r="O645" s="86"/>
      <c r="P645" s="86"/>
      <c r="Q645" s="86"/>
      <c r="R645" s="86"/>
    </row>
    <row r="646" spans="1:18">
      <c r="A646" s="86"/>
      <c r="B646" s="86"/>
      <c r="C646" s="86"/>
      <c r="D646" s="86"/>
      <c r="E646" s="86"/>
      <c r="F646" s="86"/>
      <c r="G646" s="86"/>
      <c r="H646" s="86"/>
      <c r="I646" s="86"/>
      <c r="J646" s="86"/>
      <c r="K646" s="86"/>
      <c r="L646" s="86"/>
      <c r="M646" s="86"/>
      <c r="N646" s="86"/>
      <c r="O646" s="86"/>
      <c r="P646" s="86"/>
      <c r="Q646" s="86"/>
      <c r="R646" s="86"/>
    </row>
    <row r="647" spans="1:18">
      <c r="A647" s="86"/>
      <c r="B647" s="86"/>
      <c r="C647" s="86"/>
      <c r="D647" s="86"/>
      <c r="E647" s="86"/>
      <c r="F647" s="86"/>
      <c r="G647" s="86"/>
      <c r="H647" s="86"/>
      <c r="I647" s="86"/>
      <c r="J647" s="86"/>
      <c r="K647" s="86"/>
      <c r="L647" s="86"/>
      <c r="M647" s="86"/>
      <c r="N647" s="86"/>
      <c r="O647" s="86"/>
      <c r="P647" s="86"/>
      <c r="Q647" s="86"/>
      <c r="R647" s="86"/>
    </row>
    <row r="648" spans="1:18">
      <c r="A648" s="86"/>
      <c r="B648" s="86"/>
      <c r="C648" s="86"/>
      <c r="D648" s="86"/>
      <c r="E648" s="86"/>
      <c r="F648" s="86"/>
      <c r="G648" s="86"/>
      <c r="H648" s="86"/>
      <c r="I648" s="86"/>
      <c r="J648" s="86"/>
      <c r="K648" s="86"/>
      <c r="L648" s="86"/>
      <c r="M648" s="86"/>
      <c r="N648" s="86"/>
      <c r="O648" s="86"/>
      <c r="P648" s="86"/>
      <c r="Q648" s="86"/>
      <c r="R648" s="86"/>
    </row>
    <row r="649" spans="1:18">
      <c r="A649" s="86"/>
      <c r="B649" s="86"/>
      <c r="C649" s="86"/>
      <c r="D649" s="86"/>
      <c r="E649" s="86"/>
      <c r="F649" s="86"/>
      <c r="G649" s="86"/>
      <c r="H649" s="86"/>
      <c r="I649" s="86"/>
      <c r="J649" s="86"/>
      <c r="K649" s="86"/>
      <c r="L649" s="86"/>
      <c r="M649" s="86"/>
      <c r="N649" s="86"/>
      <c r="O649" s="86"/>
      <c r="P649" s="86"/>
      <c r="Q649" s="86"/>
      <c r="R649" s="86"/>
    </row>
    <row r="650" spans="1:18">
      <c r="A650" s="86"/>
      <c r="B650" s="86"/>
      <c r="C650" s="86"/>
      <c r="D650" s="86"/>
      <c r="E650" s="86"/>
      <c r="F650" s="86"/>
      <c r="G650" s="86"/>
      <c r="H650" s="86"/>
      <c r="I650" s="86"/>
      <c r="J650" s="86"/>
      <c r="K650" s="86"/>
      <c r="L650" s="86"/>
      <c r="M650" s="86"/>
      <c r="N650" s="86"/>
      <c r="O650" s="86"/>
      <c r="P650" s="86"/>
      <c r="Q650" s="86"/>
      <c r="R650" s="86"/>
    </row>
    <row r="651" spans="1:18">
      <c r="A651" s="86"/>
      <c r="B651" s="86"/>
      <c r="C651" s="86"/>
      <c r="D651" s="86"/>
      <c r="E651" s="86"/>
      <c r="F651" s="86"/>
      <c r="G651" s="86"/>
      <c r="H651" s="86"/>
      <c r="I651" s="86"/>
      <c r="J651" s="86"/>
      <c r="K651" s="86"/>
      <c r="L651" s="86"/>
      <c r="M651" s="86"/>
      <c r="N651" s="86"/>
      <c r="O651" s="86"/>
      <c r="P651" s="86"/>
      <c r="Q651" s="86"/>
      <c r="R651" s="86"/>
    </row>
    <row r="652" spans="1:18">
      <c r="A652" s="86"/>
      <c r="B652" s="86"/>
      <c r="C652" s="86"/>
      <c r="D652" s="86"/>
      <c r="E652" s="86"/>
      <c r="F652" s="86"/>
      <c r="G652" s="86"/>
      <c r="H652" s="86"/>
      <c r="I652" s="86"/>
      <c r="J652" s="86"/>
      <c r="K652" s="86"/>
      <c r="L652" s="86"/>
      <c r="M652" s="86"/>
      <c r="N652" s="86"/>
      <c r="O652" s="86"/>
      <c r="P652" s="86"/>
      <c r="Q652" s="86"/>
      <c r="R652" s="86"/>
    </row>
    <row r="653" spans="1:18">
      <c r="A653" s="86"/>
      <c r="B653" s="86"/>
      <c r="C653" s="86"/>
      <c r="D653" s="86"/>
      <c r="E653" s="86"/>
      <c r="F653" s="86"/>
      <c r="G653" s="86"/>
      <c r="H653" s="86"/>
      <c r="I653" s="86"/>
      <c r="J653" s="86"/>
      <c r="K653" s="86"/>
      <c r="L653" s="86"/>
      <c r="M653" s="86"/>
      <c r="N653" s="86"/>
      <c r="O653" s="86"/>
      <c r="P653" s="86"/>
      <c r="Q653" s="86"/>
      <c r="R653" s="86"/>
    </row>
    <row r="654" spans="1:18">
      <c r="A654" s="86"/>
      <c r="B654" s="86"/>
      <c r="C654" s="86"/>
      <c r="D654" s="86"/>
      <c r="E654" s="86"/>
      <c r="F654" s="86"/>
      <c r="G654" s="86"/>
      <c r="H654" s="86"/>
      <c r="I654" s="86"/>
      <c r="J654" s="86"/>
      <c r="K654" s="86"/>
      <c r="L654" s="86"/>
      <c r="M654" s="86"/>
      <c r="N654" s="86"/>
      <c r="O654" s="86"/>
      <c r="P654" s="86"/>
      <c r="Q654" s="86"/>
      <c r="R654" s="86"/>
    </row>
    <row r="655" spans="1:18">
      <c r="A655" s="86"/>
      <c r="B655" s="86"/>
      <c r="C655" s="86"/>
      <c r="D655" s="86"/>
      <c r="E655" s="86"/>
      <c r="F655" s="86"/>
      <c r="G655" s="86"/>
      <c r="H655" s="86"/>
      <c r="I655" s="86"/>
      <c r="J655" s="86"/>
      <c r="K655" s="86"/>
      <c r="L655" s="86"/>
      <c r="M655" s="86"/>
      <c r="N655" s="86"/>
      <c r="O655" s="86"/>
      <c r="P655" s="86"/>
      <c r="Q655" s="86"/>
      <c r="R655" s="86"/>
    </row>
    <row r="656" spans="1:18">
      <c r="A656" s="86"/>
      <c r="B656" s="86"/>
      <c r="C656" s="86"/>
      <c r="D656" s="86"/>
      <c r="E656" s="86"/>
      <c r="F656" s="86"/>
      <c r="G656" s="86"/>
      <c r="H656" s="86"/>
      <c r="I656" s="86"/>
      <c r="J656" s="86"/>
      <c r="K656" s="86"/>
      <c r="L656" s="86"/>
      <c r="M656" s="86"/>
      <c r="N656" s="86"/>
      <c r="O656" s="86"/>
      <c r="P656" s="86"/>
      <c r="Q656" s="86"/>
      <c r="R656" s="86"/>
    </row>
    <row r="657" spans="1:18">
      <c r="A657" s="86"/>
      <c r="B657" s="86"/>
      <c r="C657" s="86"/>
      <c r="D657" s="86"/>
      <c r="E657" s="86"/>
      <c r="F657" s="86"/>
      <c r="G657" s="86"/>
      <c r="H657" s="86"/>
      <c r="I657" s="86"/>
      <c r="J657" s="86"/>
      <c r="K657" s="86"/>
      <c r="L657" s="86"/>
      <c r="M657" s="86"/>
      <c r="N657" s="86"/>
      <c r="O657" s="86"/>
      <c r="P657" s="86"/>
      <c r="Q657" s="86"/>
      <c r="R657" s="86"/>
    </row>
    <row r="658" spans="1:18">
      <c r="A658" s="86"/>
      <c r="B658" s="86"/>
      <c r="C658" s="86"/>
      <c r="D658" s="86"/>
      <c r="E658" s="86"/>
      <c r="F658" s="86"/>
      <c r="G658" s="86"/>
      <c r="H658" s="86"/>
      <c r="I658" s="86"/>
      <c r="J658" s="86"/>
      <c r="K658" s="86"/>
      <c r="L658" s="86"/>
      <c r="M658" s="86"/>
      <c r="N658" s="86"/>
      <c r="O658" s="86"/>
      <c r="P658" s="86"/>
      <c r="Q658" s="86"/>
      <c r="R658" s="86"/>
    </row>
    <row r="659" spans="1:18">
      <c r="A659" s="86"/>
      <c r="B659" s="86"/>
      <c r="C659" s="86"/>
      <c r="D659" s="86"/>
      <c r="E659" s="86"/>
      <c r="F659" s="86"/>
      <c r="G659" s="86"/>
      <c r="H659" s="86"/>
      <c r="I659" s="86"/>
      <c r="J659" s="86"/>
      <c r="K659" s="86"/>
      <c r="L659" s="86"/>
      <c r="M659" s="86"/>
      <c r="N659" s="86"/>
      <c r="O659" s="86"/>
      <c r="P659" s="86"/>
      <c r="Q659" s="86"/>
      <c r="R659" s="86"/>
    </row>
    <row r="660" spans="1:18">
      <c r="A660" s="86"/>
      <c r="B660" s="86"/>
      <c r="C660" s="86"/>
      <c r="D660" s="86"/>
      <c r="E660" s="86"/>
      <c r="F660" s="86"/>
      <c r="G660" s="86"/>
      <c r="H660" s="86"/>
      <c r="I660" s="86"/>
      <c r="J660" s="86"/>
      <c r="K660" s="86"/>
      <c r="L660" s="86"/>
      <c r="M660" s="86"/>
      <c r="N660" s="86"/>
      <c r="O660" s="86"/>
      <c r="P660" s="86"/>
      <c r="Q660" s="86"/>
      <c r="R660" s="86"/>
    </row>
    <row r="661" spans="1:18">
      <c r="A661" s="86"/>
      <c r="B661" s="86"/>
      <c r="C661" s="86"/>
      <c r="D661" s="86"/>
      <c r="E661" s="86"/>
      <c r="F661" s="86"/>
      <c r="G661" s="86"/>
      <c r="H661" s="86"/>
      <c r="I661" s="86"/>
      <c r="J661" s="86"/>
      <c r="K661" s="86"/>
      <c r="L661" s="86"/>
      <c r="M661" s="86"/>
      <c r="N661" s="86"/>
      <c r="O661" s="86"/>
      <c r="P661" s="86"/>
      <c r="Q661" s="86"/>
      <c r="R661" s="86"/>
    </row>
    <row r="662" spans="1:18">
      <c r="A662" s="86"/>
      <c r="B662" s="86"/>
      <c r="C662" s="86"/>
      <c r="D662" s="86"/>
      <c r="E662" s="86"/>
      <c r="F662" s="86"/>
      <c r="G662" s="86"/>
      <c r="H662" s="86"/>
      <c r="I662" s="86"/>
      <c r="J662" s="86"/>
      <c r="K662" s="86"/>
      <c r="L662" s="86"/>
      <c r="M662" s="86"/>
      <c r="N662" s="86"/>
      <c r="O662" s="86"/>
      <c r="P662" s="86"/>
      <c r="Q662" s="86"/>
      <c r="R662" s="86"/>
    </row>
    <row r="663" spans="1:18">
      <c r="A663" s="86"/>
      <c r="B663" s="86"/>
      <c r="C663" s="86"/>
      <c r="D663" s="86"/>
      <c r="E663" s="86"/>
      <c r="F663" s="86"/>
      <c r="G663" s="86"/>
      <c r="H663" s="86"/>
      <c r="I663" s="86"/>
      <c r="J663" s="86"/>
      <c r="K663" s="86"/>
      <c r="L663" s="86"/>
      <c r="M663" s="86"/>
      <c r="N663" s="86"/>
      <c r="O663" s="86"/>
      <c r="P663" s="86"/>
      <c r="Q663" s="86"/>
      <c r="R663" s="86"/>
    </row>
    <row r="664" spans="1:18">
      <c r="A664" s="86"/>
      <c r="B664" s="86"/>
      <c r="C664" s="86"/>
      <c r="D664" s="86"/>
      <c r="E664" s="86"/>
      <c r="F664" s="86"/>
      <c r="G664" s="86"/>
      <c r="H664" s="86"/>
      <c r="I664" s="86"/>
      <c r="J664" s="86"/>
      <c r="K664" s="86"/>
      <c r="L664" s="86"/>
      <c r="M664" s="86"/>
      <c r="N664" s="86"/>
      <c r="O664" s="86"/>
      <c r="P664" s="86"/>
      <c r="Q664" s="86"/>
      <c r="R664" s="86"/>
    </row>
    <row r="665" spans="1:18">
      <c r="A665" s="86"/>
      <c r="B665" s="86"/>
      <c r="C665" s="86"/>
      <c r="D665" s="86"/>
      <c r="E665" s="86"/>
      <c r="F665" s="86"/>
      <c r="G665" s="86"/>
      <c r="H665" s="86"/>
      <c r="I665" s="86"/>
      <c r="J665" s="86"/>
      <c r="K665" s="86"/>
      <c r="L665" s="86"/>
      <c r="M665" s="86"/>
      <c r="N665" s="86"/>
      <c r="O665" s="86"/>
      <c r="P665" s="86"/>
      <c r="Q665" s="86"/>
      <c r="R665" s="86"/>
    </row>
    <row r="666" spans="1:18">
      <c r="A666" s="86"/>
      <c r="B666" s="86"/>
      <c r="C666" s="86"/>
      <c r="D666" s="86"/>
      <c r="E666" s="86"/>
      <c r="F666" s="86"/>
      <c r="G666" s="86"/>
      <c r="H666" s="86"/>
      <c r="I666" s="86"/>
      <c r="J666" s="86"/>
      <c r="K666" s="86"/>
      <c r="L666" s="86"/>
      <c r="M666" s="86"/>
      <c r="N666" s="86"/>
      <c r="O666" s="86"/>
      <c r="P666" s="86"/>
      <c r="Q666" s="86"/>
      <c r="R666" s="86"/>
    </row>
    <row r="667" spans="1:18">
      <c r="A667" s="86"/>
      <c r="B667" s="86"/>
      <c r="C667" s="86"/>
      <c r="D667" s="86"/>
      <c r="E667" s="86"/>
      <c r="F667" s="86"/>
      <c r="G667" s="86"/>
      <c r="H667" s="86"/>
      <c r="I667" s="86"/>
      <c r="J667" s="86"/>
      <c r="K667" s="86"/>
      <c r="L667" s="86"/>
      <c r="M667" s="86"/>
      <c r="N667" s="86"/>
      <c r="O667" s="86"/>
      <c r="P667" s="86"/>
      <c r="Q667" s="86"/>
      <c r="R667" s="86"/>
    </row>
    <row r="668" spans="1:18">
      <c r="A668" s="86"/>
      <c r="B668" s="86"/>
      <c r="C668" s="86"/>
      <c r="D668" s="86"/>
      <c r="E668" s="86"/>
      <c r="F668" s="86"/>
      <c r="G668" s="86"/>
      <c r="H668" s="86"/>
      <c r="I668" s="86"/>
      <c r="J668" s="86"/>
      <c r="K668" s="86"/>
      <c r="L668" s="86"/>
      <c r="M668" s="86"/>
      <c r="N668" s="86"/>
      <c r="O668" s="86"/>
      <c r="P668" s="86"/>
      <c r="Q668" s="86"/>
      <c r="R668" s="86"/>
    </row>
    <row r="669" spans="1:18">
      <c r="A669" s="86"/>
      <c r="B669" s="86"/>
      <c r="C669" s="86"/>
      <c r="D669" s="86"/>
      <c r="E669" s="86"/>
      <c r="F669" s="86"/>
      <c r="G669" s="86"/>
      <c r="H669" s="86"/>
      <c r="I669" s="86"/>
      <c r="J669" s="86"/>
      <c r="K669" s="86"/>
      <c r="L669" s="86"/>
      <c r="M669" s="86"/>
      <c r="N669" s="86"/>
      <c r="O669" s="86"/>
      <c r="P669" s="86"/>
      <c r="Q669" s="86"/>
      <c r="R669" s="86"/>
    </row>
    <row r="670" spans="1:18">
      <c r="A670" s="86"/>
      <c r="B670" s="86"/>
      <c r="C670" s="86"/>
      <c r="D670" s="86"/>
      <c r="E670" s="86"/>
      <c r="F670" s="86"/>
      <c r="G670" s="86"/>
      <c r="H670" s="86"/>
      <c r="I670" s="86"/>
      <c r="J670" s="86"/>
      <c r="K670" s="86"/>
      <c r="L670" s="86"/>
      <c r="M670" s="86"/>
      <c r="N670" s="86"/>
      <c r="O670" s="86"/>
      <c r="P670" s="86"/>
      <c r="Q670" s="86"/>
      <c r="R670" s="86"/>
    </row>
    <row r="671" spans="1:18">
      <c r="A671" s="86"/>
      <c r="B671" s="86"/>
      <c r="C671" s="86"/>
      <c r="D671" s="86"/>
      <c r="E671" s="86"/>
      <c r="F671" s="86"/>
      <c r="G671" s="86"/>
      <c r="H671" s="86"/>
      <c r="I671" s="86"/>
      <c r="J671" s="86"/>
      <c r="K671" s="86"/>
      <c r="L671" s="86"/>
      <c r="M671" s="86"/>
      <c r="N671" s="86"/>
      <c r="O671" s="86"/>
      <c r="P671" s="86"/>
      <c r="Q671" s="86"/>
      <c r="R671" s="86"/>
    </row>
    <row r="672" spans="1:18">
      <c r="A672" s="86"/>
      <c r="B672" s="86"/>
      <c r="C672" s="86"/>
      <c r="D672" s="86"/>
      <c r="E672" s="86"/>
      <c r="F672" s="86"/>
      <c r="G672" s="86"/>
      <c r="H672" s="86"/>
      <c r="I672" s="86"/>
      <c r="J672" s="86"/>
      <c r="K672" s="86"/>
      <c r="L672" s="86"/>
      <c r="M672" s="86"/>
      <c r="N672" s="86"/>
      <c r="O672" s="86"/>
      <c r="P672" s="86"/>
      <c r="Q672" s="86"/>
      <c r="R672" s="86"/>
    </row>
    <row r="673" spans="1:18">
      <c r="A673" s="86"/>
      <c r="B673" s="86"/>
      <c r="C673" s="86"/>
      <c r="D673" s="86"/>
      <c r="E673" s="86"/>
      <c r="F673" s="86"/>
      <c r="G673" s="86"/>
      <c r="H673" s="86"/>
      <c r="I673" s="86"/>
      <c r="J673" s="86"/>
      <c r="K673" s="86"/>
      <c r="L673" s="86"/>
      <c r="M673" s="86"/>
      <c r="N673" s="86"/>
      <c r="O673" s="86"/>
      <c r="P673" s="86"/>
      <c r="Q673" s="86"/>
      <c r="R673" s="86"/>
    </row>
    <row r="674" spans="1:18">
      <c r="A674" s="86"/>
      <c r="B674" s="86"/>
      <c r="C674" s="86"/>
      <c r="D674" s="86"/>
      <c r="E674" s="86"/>
      <c r="F674" s="86"/>
      <c r="G674" s="86"/>
      <c r="H674" s="86"/>
      <c r="I674" s="86"/>
      <c r="J674" s="86"/>
      <c r="K674" s="86"/>
      <c r="L674" s="86"/>
      <c r="M674" s="86"/>
      <c r="N674" s="86"/>
      <c r="O674" s="86"/>
      <c r="P674" s="86"/>
      <c r="Q674" s="86"/>
      <c r="R674" s="86"/>
    </row>
    <row r="675" spans="1:18">
      <c r="A675" s="86"/>
      <c r="B675" s="86"/>
      <c r="C675" s="86"/>
      <c r="D675" s="86"/>
      <c r="E675" s="86"/>
      <c r="F675" s="86"/>
      <c r="G675" s="86"/>
      <c r="H675" s="86"/>
      <c r="I675" s="86"/>
      <c r="J675" s="86"/>
      <c r="K675" s="86"/>
      <c r="L675" s="86"/>
      <c r="M675" s="86"/>
      <c r="N675" s="86"/>
      <c r="O675" s="86"/>
      <c r="P675" s="86"/>
      <c r="Q675" s="86"/>
      <c r="R675" s="86"/>
    </row>
    <row r="676" spans="1:18">
      <c r="A676" s="86"/>
      <c r="B676" s="86"/>
      <c r="C676" s="86"/>
      <c r="D676" s="86"/>
      <c r="E676" s="86"/>
      <c r="F676" s="86"/>
      <c r="G676" s="86"/>
      <c r="H676" s="86"/>
      <c r="I676" s="86"/>
      <c r="J676" s="86"/>
      <c r="K676" s="86"/>
      <c r="L676" s="86"/>
      <c r="M676" s="86"/>
      <c r="N676" s="86"/>
      <c r="O676" s="86"/>
      <c r="P676" s="86"/>
      <c r="Q676" s="86"/>
      <c r="R676" s="86"/>
    </row>
    <row r="677" spans="1:18">
      <c r="A677" s="86"/>
      <c r="B677" s="86"/>
      <c r="C677" s="86"/>
      <c r="D677" s="86"/>
      <c r="E677" s="86"/>
      <c r="F677" s="86"/>
      <c r="G677" s="86"/>
      <c r="H677" s="86"/>
      <c r="I677" s="86"/>
      <c r="J677" s="86"/>
      <c r="K677" s="86"/>
      <c r="L677" s="86"/>
      <c r="M677" s="86"/>
      <c r="N677" s="86"/>
      <c r="O677" s="86"/>
      <c r="P677" s="86"/>
      <c r="Q677" s="86"/>
      <c r="R677" s="86"/>
    </row>
    <row r="678" spans="1:18">
      <c r="A678" s="86"/>
      <c r="B678" s="86"/>
      <c r="C678" s="86"/>
      <c r="D678" s="86"/>
      <c r="E678" s="86"/>
      <c r="F678" s="86"/>
      <c r="G678" s="86"/>
      <c r="H678" s="86"/>
      <c r="I678" s="86"/>
      <c r="J678" s="86"/>
      <c r="K678" s="86"/>
      <c r="L678" s="86"/>
      <c r="M678" s="86"/>
      <c r="N678" s="86"/>
      <c r="O678" s="86"/>
      <c r="P678" s="86"/>
      <c r="Q678" s="86"/>
      <c r="R678" s="86"/>
    </row>
    <row r="679" spans="1:18">
      <c r="A679" s="86"/>
      <c r="B679" s="86"/>
      <c r="C679" s="86"/>
      <c r="D679" s="86"/>
      <c r="E679" s="86"/>
      <c r="F679" s="86"/>
      <c r="G679" s="86"/>
      <c r="H679" s="86"/>
      <c r="I679" s="86"/>
      <c r="J679" s="86"/>
      <c r="K679" s="86"/>
      <c r="L679" s="86"/>
      <c r="M679" s="86"/>
      <c r="N679" s="86"/>
      <c r="O679" s="86"/>
      <c r="P679" s="86"/>
      <c r="Q679" s="86"/>
      <c r="R679" s="86"/>
    </row>
    <row r="680" spans="1:18">
      <c r="A680" s="86"/>
      <c r="B680" s="86"/>
      <c r="C680" s="86"/>
      <c r="D680" s="86"/>
      <c r="E680" s="86"/>
      <c r="F680" s="86"/>
      <c r="G680" s="86"/>
      <c r="H680" s="86"/>
      <c r="I680" s="86"/>
      <c r="J680" s="86"/>
      <c r="K680" s="86"/>
      <c r="L680" s="86"/>
      <c r="M680" s="86"/>
      <c r="N680" s="86"/>
      <c r="O680" s="86"/>
      <c r="P680" s="86"/>
      <c r="Q680" s="86"/>
      <c r="R680" s="86"/>
    </row>
    <row r="681" spans="1:18">
      <c r="A681" s="86"/>
      <c r="B681" s="86"/>
      <c r="C681" s="86"/>
      <c r="D681" s="86"/>
      <c r="E681" s="86"/>
      <c r="F681" s="86"/>
      <c r="G681" s="86"/>
      <c r="H681" s="86"/>
      <c r="I681" s="86"/>
      <c r="J681" s="86"/>
      <c r="K681" s="86"/>
      <c r="L681" s="86"/>
      <c r="M681" s="86"/>
      <c r="N681" s="86"/>
      <c r="O681" s="86"/>
      <c r="P681" s="86"/>
      <c r="Q681" s="86"/>
      <c r="R681" s="86"/>
    </row>
    <row r="682" spans="1:18">
      <c r="A682" s="86"/>
      <c r="B682" s="86"/>
      <c r="C682" s="86"/>
      <c r="D682" s="86"/>
      <c r="E682" s="86"/>
      <c r="F682" s="86"/>
      <c r="G682" s="86"/>
      <c r="H682" s="86"/>
      <c r="I682" s="86"/>
      <c r="J682" s="86"/>
      <c r="K682" s="86"/>
      <c r="L682" s="86"/>
      <c r="M682" s="86"/>
      <c r="N682" s="86"/>
      <c r="O682" s="86"/>
      <c r="P682" s="86"/>
      <c r="Q682" s="86"/>
      <c r="R682" s="86"/>
    </row>
    <row r="683" spans="1:18">
      <c r="A683" s="86"/>
      <c r="B683" s="86"/>
      <c r="C683" s="86"/>
      <c r="D683" s="86"/>
      <c r="E683" s="86"/>
      <c r="F683" s="86"/>
      <c r="G683" s="86"/>
      <c r="H683" s="86"/>
      <c r="I683" s="86"/>
      <c r="J683" s="86"/>
      <c r="K683" s="86"/>
      <c r="L683" s="86"/>
      <c r="M683" s="86"/>
      <c r="N683" s="86"/>
      <c r="O683" s="86"/>
      <c r="P683" s="86"/>
      <c r="Q683" s="86"/>
      <c r="R683" s="86"/>
    </row>
    <row r="684" spans="1:18">
      <c r="A684" s="86"/>
      <c r="B684" s="86"/>
      <c r="C684" s="86"/>
      <c r="D684" s="86"/>
      <c r="E684" s="86"/>
      <c r="F684" s="86"/>
      <c r="G684" s="86"/>
      <c r="H684" s="86"/>
      <c r="I684" s="86"/>
      <c r="J684" s="86"/>
      <c r="K684" s="86"/>
      <c r="L684" s="86"/>
      <c r="M684" s="86"/>
      <c r="N684" s="86"/>
      <c r="O684" s="86"/>
      <c r="P684" s="86"/>
      <c r="Q684" s="86"/>
      <c r="R684" s="86"/>
    </row>
    <row r="685" spans="1:18">
      <c r="A685" s="86"/>
      <c r="B685" s="86"/>
      <c r="C685" s="86"/>
      <c r="D685" s="86"/>
      <c r="E685" s="86"/>
      <c r="F685" s="86"/>
      <c r="G685" s="86"/>
      <c r="H685" s="86"/>
      <c r="I685" s="86"/>
      <c r="J685" s="86"/>
      <c r="K685" s="86"/>
      <c r="L685" s="86"/>
      <c r="M685" s="86"/>
      <c r="N685" s="86"/>
      <c r="O685" s="86"/>
      <c r="P685" s="86"/>
      <c r="Q685" s="86"/>
      <c r="R685" s="86"/>
    </row>
    <row r="686" spans="1:18">
      <c r="A686" s="86"/>
      <c r="B686" s="86"/>
      <c r="C686" s="86"/>
      <c r="D686" s="86"/>
      <c r="E686" s="86"/>
      <c r="F686" s="86"/>
      <c r="G686" s="86"/>
      <c r="H686" s="86"/>
      <c r="I686" s="86"/>
      <c r="J686" s="86"/>
      <c r="K686" s="86"/>
      <c r="L686" s="86"/>
      <c r="M686" s="86"/>
      <c r="N686" s="86"/>
      <c r="O686" s="86"/>
      <c r="P686" s="86"/>
      <c r="Q686" s="86"/>
      <c r="R686" s="86"/>
    </row>
    <row r="687" spans="1:18">
      <c r="A687" s="86"/>
      <c r="B687" s="86"/>
      <c r="C687" s="86"/>
      <c r="D687" s="86"/>
      <c r="E687" s="86"/>
      <c r="F687" s="86"/>
      <c r="G687" s="86"/>
      <c r="H687" s="86"/>
      <c r="I687" s="86"/>
      <c r="J687" s="86"/>
      <c r="K687" s="86"/>
      <c r="L687" s="86"/>
      <c r="M687" s="86"/>
      <c r="N687" s="86"/>
      <c r="O687" s="86"/>
      <c r="P687" s="86"/>
      <c r="Q687" s="86"/>
      <c r="R687" s="86"/>
    </row>
    <row r="688" spans="1:18">
      <c r="A688" s="86"/>
      <c r="B688" s="86"/>
      <c r="C688" s="86"/>
      <c r="D688" s="86"/>
      <c r="E688" s="86"/>
      <c r="F688" s="86"/>
      <c r="G688" s="86"/>
      <c r="H688" s="86"/>
      <c r="I688" s="86"/>
      <c r="J688" s="86"/>
      <c r="K688" s="86"/>
      <c r="L688" s="86"/>
      <c r="M688" s="86"/>
      <c r="N688" s="86"/>
      <c r="O688" s="86"/>
      <c r="P688" s="86"/>
      <c r="Q688" s="86"/>
      <c r="R688" s="86"/>
    </row>
    <row r="689" spans="1:18">
      <c r="A689" s="86"/>
      <c r="B689" s="86"/>
      <c r="C689" s="86"/>
      <c r="D689" s="86"/>
      <c r="E689" s="86"/>
      <c r="F689" s="86"/>
      <c r="G689" s="86"/>
      <c r="H689" s="86"/>
      <c r="I689" s="86"/>
      <c r="J689" s="86"/>
      <c r="K689" s="86"/>
      <c r="L689" s="86"/>
      <c r="M689" s="86"/>
      <c r="N689" s="86"/>
      <c r="O689" s="86"/>
      <c r="P689" s="86"/>
      <c r="Q689" s="86"/>
      <c r="R689" s="86"/>
    </row>
    <row r="690" spans="1:18">
      <c r="A690" s="86"/>
      <c r="B690" s="86"/>
      <c r="C690" s="86"/>
      <c r="D690" s="86"/>
      <c r="E690" s="86"/>
      <c r="F690" s="86"/>
      <c r="G690" s="86"/>
      <c r="H690" s="86"/>
      <c r="I690" s="86"/>
      <c r="J690" s="86"/>
      <c r="K690" s="86"/>
      <c r="L690" s="86"/>
      <c r="M690" s="86"/>
      <c r="N690" s="86"/>
      <c r="O690" s="86"/>
      <c r="P690" s="86"/>
      <c r="Q690" s="86"/>
      <c r="R690" s="86"/>
    </row>
    <row r="691" spans="1:18">
      <c r="A691" s="86"/>
      <c r="B691" s="86"/>
      <c r="C691" s="86"/>
      <c r="D691" s="86"/>
      <c r="E691" s="86"/>
      <c r="F691" s="86"/>
      <c r="G691" s="86"/>
      <c r="H691" s="86"/>
      <c r="I691" s="86"/>
      <c r="J691" s="86"/>
      <c r="K691" s="86"/>
      <c r="L691" s="86"/>
      <c r="M691" s="86"/>
      <c r="N691" s="86"/>
      <c r="O691" s="86"/>
      <c r="P691" s="86"/>
      <c r="Q691" s="86"/>
      <c r="R691" s="86"/>
    </row>
    <row r="692" spans="1:18">
      <c r="A692" s="86"/>
      <c r="B692" s="86"/>
      <c r="C692" s="86"/>
      <c r="D692" s="86"/>
      <c r="E692" s="86"/>
      <c r="F692" s="86"/>
      <c r="G692" s="86"/>
      <c r="H692" s="86"/>
      <c r="I692" s="86"/>
      <c r="J692" s="86"/>
      <c r="K692" s="86"/>
      <c r="L692" s="86"/>
      <c r="M692" s="86"/>
      <c r="N692" s="86"/>
      <c r="O692" s="86"/>
      <c r="P692" s="86"/>
      <c r="Q692" s="86"/>
      <c r="R692" s="86"/>
    </row>
    <row r="693" spans="1:18">
      <c r="A693" s="86"/>
      <c r="B693" s="86"/>
      <c r="C693" s="86"/>
      <c r="D693" s="86"/>
      <c r="E693" s="86"/>
      <c r="F693" s="86"/>
      <c r="G693" s="86"/>
      <c r="H693" s="86"/>
      <c r="I693" s="86"/>
      <c r="J693" s="86"/>
      <c r="K693" s="86"/>
      <c r="L693" s="86"/>
      <c r="M693" s="86"/>
      <c r="N693" s="86"/>
      <c r="O693" s="86"/>
      <c r="P693" s="86"/>
      <c r="Q693" s="86"/>
      <c r="R693" s="86"/>
    </row>
    <row r="694" spans="1:18">
      <c r="A694" s="86"/>
      <c r="B694" s="86"/>
      <c r="C694" s="86"/>
      <c r="D694" s="86"/>
      <c r="E694" s="86"/>
      <c r="F694" s="86"/>
      <c r="G694" s="86"/>
      <c r="H694" s="86"/>
      <c r="I694" s="86"/>
      <c r="J694" s="86"/>
      <c r="K694" s="86"/>
      <c r="L694" s="86"/>
      <c r="M694" s="86"/>
      <c r="N694" s="86"/>
      <c r="O694" s="86"/>
      <c r="P694" s="86"/>
      <c r="Q694" s="86"/>
      <c r="R694" s="86"/>
    </row>
    <row r="695" spans="1:18">
      <c r="A695" s="86"/>
      <c r="B695" s="86"/>
      <c r="C695" s="86"/>
      <c r="D695" s="86"/>
      <c r="E695" s="86"/>
      <c r="F695" s="86"/>
      <c r="G695" s="86"/>
      <c r="H695" s="86"/>
      <c r="I695" s="86"/>
      <c r="J695" s="86"/>
      <c r="K695" s="86"/>
      <c r="L695" s="86"/>
      <c r="M695" s="86"/>
      <c r="N695" s="86"/>
      <c r="O695" s="86"/>
      <c r="P695" s="86"/>
      <c r="Q695" s="86"/>
      <c r="R695" s="86"/>
    </row>
    <row r="696" spans="1:18">
      <c r="A696" s="86"/>
      <c r="B696" s="86"/>
      <c r="C696" s="86"/>
      <c r="D696" s="86"/>
      <c r="E696" s="86"/>
      <c r="F696" s="86"/>
      <c r="G696" s="86"/>
      <c r="H696" s="86"/>
      <c r="I696" s="86"/>
      <c r="J696" s="86"/>
      <c r="K696" s="86"/>
      <c r="L696" s="86"/>
      <c r="M696" s="86"/>
      <c r="N696" s="86"/>
      <c r="O696" s="86"/>
      <c r="P696" s="86"/>
      <c r="Q696" s="86"/>
      <c r="R696" s="86"/>
    </row>
    <row r="697" spans="1:18">
      <c r="A697" s="86"/>
      <c r="B697" s="86"/>
      <c r="C697" s="86"/>
      <c r="D697" s="86"/>
      <c r="E697" s="86"/>
      <c r="F697" s="86"/>
      <c r="G697" s="86"/>
      <c r="H697" s="86"/>
      <c r="I697" s="86"/>
      <c r="J697" s="86"/>
      <c r="K697" s="86"/>
      <c r="L697" s="86"/>
      <c r="M697" s="86"/>
      <c r="N697" s="86"/>
      <c r="O697" s="86"/>
      <c r="P697" s="86"/>
      <c r="Q697" s="86"/>
      <c r="R697" s="86"/>
    </row>
    <row r="698" spans="1:18">
      <c r="A698" s="86"/>
      <c r="B698" s="86"/>
      <c r="C698" s="86"/>
      <c r="D698" s="86"/>
      <c r="E698" s="86"/>
      <c r="F698" s="86"/>
      <c r="G698" s="86"/>
      <c r="H698" s="86"/>
      <c r="I698" s="86"/>
      <c r="J698" s="86"/>
      <c r="K698" s="86"/>
      <c r="L698" s="86"/>
      <c r="M698" s="86"/>
      <c r="N698" s="86"/>
      <c r="O698" s="86"/>
      <c r="P698" s="86"/>
      <c r="Q698" s="86"/>
      <c r="R698" s="86"/>
    </row>
    <row r="699" spans="1:18">
      <c r="A699" s="86"/>
      <c r="B699" s="86"/>
      <c r="C699" s="86"/>
      <c r="D699" s="86"/>
      <c r="E699" s="86"/>
      <c r="F699" s="86"/>
      <c r="G699" s="86"/>
      <c r="H699" s="86"/>
      <c r="I699" s="86"/>
      <c r="J699" s="86"/>
      <c r="K699" s="86"/>
      <c r="L699" s="86"/>
      <c r="M699" s="86"/>
      <c r="N699" s="86"/>
      <c r="O699" s="86"/>
      <c r="P699" s="86"/>
      <c r="Q699" s="86"/>
      <c r="R699" s="86"/>
    </row>
    <row r="700" spans="1:18">
      <c r="A700" s="86"/>
      <c r="B700" s="86"/>
      <c r="C700" s="86"/>
      <c r="D700" s="86"/>
      <c r="E700" s="86"/>
      <c r="F700" s="86"/>
      <c r="G700" s="86"/>
      <c r="H700" s="86"/>
      <c r="I700" s="86"/>
      <c r="J700" s="86"/>
      <c r="K700" s="86"/>
      <c r="L700" s="86"/>
      <c r="M700" s="86"/>
      <c r="N700" s="86"/>
      <c r="O700" s="86"/>
      <c r="P700" s="86"/>
      <c r="Q700" s="86"/>
      <c r="R700" s="86"/>
    </row>
    <row r="701" spans="1:18">
      <c r="A701" s="86"/>
      <c r="B701" s="86"/>
      <c r="C701" s="86"/>
      <c r="D701" s="86"/>
      <c r="E701" s="86"/>
      <c r="F701" s="86"/>
      <c r="G701" s="86"/>
      <c r="H701" s="86"/>
      <c r="I701" s="86"/>
      <c r="J701" s="86"/>
      <c r="K701" s="86"/>
      <c r="L701" s="86"/>
      <c r="M701" s="86"/>
      <c r="N701" s="86"/>
      <c r="O701" s="86"/>
      <c r="P701" s="86"/>
      <c r="Q701" s="86"/>
      <c r="R701" s="86"/>
    </row>
    <row r="702" spans="1:18">
      <c r="A702" s="86"/>
      <c r="B702" s="86"/>
      <c r="C702" s="86"/>
      <c r="D702" s="86"/>
      <c r="E702" s="86"/>
      <c r="F702" s="86"/>
      <c r="G702" s="86"/>
      <c r="H702" s="86"/>
      <c r="I702" s="86"/>
      <c r="J702" s="86"/>
      <c r="K702" s="86"/>
      <c r="L702" s="86"/>
      <c r="M702" s="86"/>
      <c r="N702" s="86"/>
      <c r="O702" s="86"/>
      <c r="P702" s="86"/>
      <c r="Q702" s="86"/>
      <c r="R702" s="86"/>
    </row>
    <row r="703" spans="1:18">
      <c r="A703" s="86"/>
      <c r="B703" s="86"/>
      <c r="C703" s="86"/>
      <c r="D703" s="86"/>
      <c r="E703" s="86"/>
      <c r="F703" s="86"/>
      <c r="G703" s="86"/>
      <c r="H703" s="86"/>
      <c r="I703" s="86"/>
      <c r="J703" s="86"/>
      <c r="K703" s="86"/>
      <c r="L703" s="86"/>
      <c r="M703" s="86"/>
      <c r="N703" s="86"/>
      <c r="O703" s="86"/>
      <c r="P703" s="86"/>
      <c r="Q703" s="86"/>
      <c r="R703" s="86"/>
    </row>
    <row r="704" spans="1:18">
      <c r="A704" s="86"/>
      <c r="B704" s="86"/>
      <c r="C704" s="86"/>
      <c r="D704" s="86"/>
      <c r="E704" s="86"/>
      <c r="F704" s="86"/>
      <c r="G704" s="86"/>
      <c r="H704" s="86"/>
      <c r="I704" s="86"/>
      <c r="J704" s="86"/>
      <c r="K704" s="86"/>
      <c r="L704" s="86"/>
      <c r="M704" s="86"/>
      <c r="N704" s="86"/>
      <c r="O704" s="86"/>
      <c r="P704" s="86"/>
      <c r="Q704" s="86"/>
      <c r="R704" s="86"/>
    </row>
    <row r="705" spans="1:18">
      <c r="A705" s="86"/>
      <c r="B705" s="86"/>
      <c r="C705" s="86"/>
      <c r="D705" s="86"/>
      <c r="E705" s="86"/>
      <c r="F705" s="86"/>
      <c r="G705" s="86"/>
      <c r="H705" s="86"/>
      <c r="I705" s="86"/>
      <c r="J705" s="86"/>
      <c r="K705" s="86"/>
      <c r="L705" s="86"/>
      <c r="M705" s="86"/>
      <c r="N705" s="86"/>
      <c r="O705" s="86"/>
      <c r="P705" s="86"/>
      <c r="Q705" s="86"/>
      <c r="R705" s="86"/>
    </row>
    <row r="706" spans="1:18">
      <c r="A706" s="86"/>
      <c r="B706" s="86"/>
      <c r="C706" s="86"/>
      <c r="D706" s="86"/>
      <c r="E706" s="86"/>
      <c r="F706" s="86"/>
      <c r="G706" s="86"/>
      <c r="H706" s="86"/>
      <c r="I706" s="86"/>
      <c r="J706" s="86"/>
      <c r="K706" s="86"/>
      <c r="L706" s="86"/>
      <c r="M706" s="86"/>
      <c r="N706" s="86"/>
      <c r="O706" s="86"/>
      <c r="P706" s="86"/>
      <c r="Q706" s="86"/>
      <c r="R706" s="86"/>
    </row>
    <row r="707" spans="1:18">
      <c r="A707" s="86"/>
      <c r="B707" s="86"/>
      <c r="C707" s="86"/>
      <c r="D707" s="86"/>
      <c r="E707" s="86"/>
      <c r="F707" s="86"/>
      <c r="G707" s="86"/>
      <c r="H707" s="86"/>
      <c r="I707" s="86"/>
      <c r="J707" s="86"/>
      <c r="K707" s="86"/>
      <c r="L707" s="86"/>
      <c r="M707" s="86"/>
      <c r="N707" s="86"/>
      <c r="O707" s="86"/>
      <c r="P707" s="86"/>
      <c r="Q707" s="86"/>
      <c r="R707" s="86"/>
    </row>
    <row r="708" spans="1:18">
      <c r="A708" s="86"/>
      <c r="B708" s="86"/>
      <c r="C708" s="86"/>
      <c r="D708" s="86"/>
      <c r="E708" s="86"/>
      <c r="F708" s="86"/>
      <c r="G708" s="86"/>
      <c r="H708" s="86"/>
      <c r="I708" s="86"/>
      <c r="J708" s="86"/>
      <c r="K708" s="86"/>
      <c r="L708" s="86"/>
      <c r="M708" s="86"/>
      <c r="N708" s="86"/>
      <c r="O708" s="86"/>
      <c r="P708" s="86"/>
      <c r="Q708" s="86"/>
      <c r="R708" s="86"/>
    </row>
    <row r="709" spans="1:18">
      <c r="A709" s="86"/>
      <c r="B709" s="86"/>
      <c r="C709" s="86"/>
      <c r="D709" s="86"/>
      <c r="E709" s="86"/>
      <c r="F709" s="86"/>
      <c r="G709" s="86"/>
      <c r="H709" s="86"/>
      <c r="I709" s="86"/>
      <c r="J709" s="86"/>
      <c r="K709" s="86"/>
      <c r="L709" s="86"/>
      <c r="M709" s="86"/>
      <c r="N709" s="86"/>
      <c r="O709" s="86"/>
      <c r="P709" s="86"/>
      <c r="Q709" s="86"/>
      <c r="R709" s="86"/>
    </row>
    <row r="710" spans="1:18">
      <c r="A710" s="86"/>
      <c r="B710" s="86"/>
      <c r="C710" s="86"/>
      <c r="D710" s="86"/>
      <c r="E710" s="86"/>
      <c r="F710" s="86"/>
      <c r="G710" s="86"/>
      <c r="H710" s="86"/>
      <c r="I710" s="86"/>
      <c r="J710" s="86"/>
      <c r="K710" s="86"/>
      <c r="L710" s="86"/>
      <c r="M710" s="86"/>
      <c r="N710" s="86"/>
      <c r="O710" s="86"/>
      <c r="P710" s="86"/>
      <c r="Q710" s="86"/>
      <c r="R710" s="86"/>
    </row>
    <row r="711" spans="1:18">
      <c r="A711" s="86"/>
      <c r="B711" s="86"/>
      <c r="C711" s="86"/>
      <c r="D711" s="86"/>
      <c r="E711" s="86"/>
      <c r="F711" s="86"/>
      <c r="G711" s="86"/>
      <c r="H711" s="86"/>
      <c r="I711" s="86"/>
      <c r="J711" s="86"/>
      <c r="K711" s="86"/>
      <c r="L711" s="86"/>
      <c r="M711" s="86"/>
      <c r="N711" s="86"/>
      <c r="O711" s="86"/>
      <c r="P711" s="86"/>
      <c r="Q711" s="86"/>
      <c r="R711" s="86"/>
    </row>
    <row r="712" spans="1:18">
      <c r="A712" s="86"/>
      <c r="B712" s="86"/>
      <c r="C712" s="86"/>
      <c r="D712" s="86"/>
      <c r="E712" s="86"/>
      <c r="F712" s="86"/>
      <c r="G712" s="86"/>
      <c r="H712" s="86"/>
      <c r="I712" s="86"/>
      <c r="J712" s="86"/>
      <c r="K712" s="86"/>
      <c r="L712" s="86"/>
      <c r="M712" s="86"/>
      <c r="N712" s="86"/>
      <c r="O712" s="86"/>
      <c r="P712" s="86"/>
      <c r="Q712" s="86"/>
      <c r="R712" s="86"/>
    </row>
    <row r="713" spans="1:18">
      <c r="A713" s="86"/>
      <c r="B713" s="86"/>
      <c r="C713" s="86"/>
      <c r="D713" s="86"/>
      <c r="E713" s="86"/>
      <c r="F713" s="86"/>
      <c r="G713" s="86"/>
      <c r="H713" s="86"/>
      <c r="I713" s="86"/>
      <c r="J713" s="86"/>
      <c r="K713" s="86"/>
      <c r="L713" s="86"/>
      <c r="M713" s="86"/>
      <c r="N713" s="86"/>
      <c r="O713" s="86"/>
      <c r="P713" s="86"/>
      <c r="Q713" s="86"/>
      <c r="R713" s="86"/>
    </row>
    <row r="714" spans="1:18">
      <c r="A714" s="86"/>
      <c r="B714" s="86"/>
      <c r="C714" s="86"/>
      <c r="D714" s="86"/>
      <c r="E714" s="86"/>
      <c r="F714" s="86"/>
      <c r="G714" s="86"/>
      <c r="H714" s="86"/>
      <c r="I714" s="86"/>
      <c r="J714" s="86"/>
      <c r="K714" s="86"/>
      <c r="L714" s="86"/>
      <c r="M714" s="86"/>
      <c r="N714" s="86"/>
      <c r="O714" s="86"/>
      <c r="P714" s="86"/>
      <c r="Q714" s="86"/>
      <c r="R714" s="86"/>
    </row>
    <row r="715" spans="1:18">
      <c r="A715" s="86"/>
      <c r="B715" s="86"/>
      <c r="C715" s="86"/>
      <c r="D715" s="86"/>
      <c r="E715" s="86"/>
      <c r="F715" s="86"/>
      <c r="G715" s="86"/>
      <c r="H715" s="86"/>
      <c r="I715" s="86"/>
      <c r="J715" s="86"/>
      <c r="K715" s="86"/>
      <c r="L715" s="86"/>
      <c r="M715" s="86"/>
      <c r="N715" s="86"/>
      <c r="O715" s="86"/>
      <c r="P715" s="86"/>
      <c r="Q715" s="86"/>
      <c r="R715" s="86"/>
    </row>
    <row r="716" spans="1:18">
      <c r="A716" s="86"/>
      <c r="B716" s="86"/>
      <c r="C716" s="86"/>
      <c r="D716" s="86"/>
      <c r="E716" s="86"/>
      <c r="F716" s="86"/>
      <c r="G716" s="86"/>
      <c r="H716" s="86"/>
      <c r="I716" s="86"/>
      <c r="J716" s="86"/>
      <c r="K716" s="86"/>
      <c r="L716" s="86"/>
      <c r="M716" s="86"/>
      <c r="N716" s="86"/>
      <c r="O716" s="86"/>
      <c r="P716" s="86"/>
      <c r="Q716" s="86"/>
      <c r="R716" s="86"/>
    </row>
    <row r="717" spans="1:18">
      <c r="A717" s="86"/>
      <c r="B717" s="86"/>
      <c r="C717" s="86"/>
      <c r="D717" s="86"/>
      <c r="E717" s="86"/>
      <c r="F717" s="86"/>
      <c r="G717" s="86"/>
      <c r="H717" s="86"/>
      <c r="I717" s="86"/>
      <c r="J717" s="86"/>
      <c r="K717" s="86"/>
      <c r="L717" s="86"/>
      <c r="M717" s="86"/>
      <c r="N717" s="86"/>
      <c r="O717" s="86"/>
      <c r="P717" s="86"/>
      <c r="Q717" s="86"/>
      <c r="R717" s="86"/>
    </row>
    <row r="718" spans="1:18">
      <c r="A718" s="86"/>
      <c r="B718" s="86"/>
      <c r="C718" s="86"/>
      <c r="D718" s="86"/>
      <c r="E718" s="86"/>
      <c r="F718" s="86"/>
      <c r="G718" s="86"/>
      <c r="H718" s="86"/>
      <c r="I718" s="86"/>
      <c r="J718" s="86"/>
      <c r="K718" s="86"/>
      <c r="L718" s="86"/>
      <c r="M718" s="86"/>
      <c r="N718" s="86"/>
      <c r="O718" s="86"/>
      <c r="P718" s="86"/>
      <c r="Q718" s="86"/>
      <c r="R718" s="86"/>
    </row>
    <row r="719" spans="1:18">
      <c r="A719" s="86"/>
      <c r="B719" s="86"/>
      <c r="C719" s="86"/>
      <c r="D719" s="86"/>
      <c r="E719" s="86"/>
      <c r="F719" s="86"/>
      <c r="G719" s="86"/>
      <c r="H719" s="86"/>
      <c r="I719" s="86"/>
      <c r="J719" s="86"/>
      <c r="K719" s="86"/>
      <c r="L719" s="86"/>
      <c r="M719" s="86"/>
      <c r="N719" s="86"/>
      <c r="O719" s="86"/>
      <c r="P719" s="86"/>
      <c r="Q719" s="86"/>
      <c r="R719" s="86"/>
    </row>
    <row r="720" spans="1:18">
      <c r="A720" s="86"/>
      <c r="B720" s="86"/>
      <c r="C720" s="86"/>
      <c r="D720" s="86"/>
      <c r="E720" s="86"/>
      <c r="F720" s="86"/>
      <c r="G720" s="86"/>
      <c r="H720" s="86"/>
      <c r="I720" s="86"/>
      <c r="J720" s="86"/>
      <c r="K720" s="86"/>
      <c r="L720" s="86"/>
      <c r="M720" s="86"/>
      <c r="N720" s="86"/>
      <c r="O720" s="86"/>
      <c r="P720" s="86"/>
      <c r="Q720" s="86"/>
      <c r="R720" s="86"/>
    </row>
    <row r="721" spans="1:18">
      <c r="A721" s="86"/>
      <c r="B721" s="86"/>
      <c r="C721" s="86"/>
      <c r="D721" s="86"/>
      <c r="E721" s="86"/>
      <c r="F721" s="86"/>
      <c r="G721" s="86"/>
      <c r="H721" s="86"/>
      <c r="I721" s="86"/>
      <c r="J721" s="86"/>
      <c r="K721" s="86"/>
      <c r="L721" s="86"/>
      <c r="M721" s="86"/>
      <c r="N721" s="86"/>
      <c r="O721" s="86"/>
      <c r="P721" s="86"/>
      <c r="Q721" s="86"/>
      <c r="R721" s="86"/>
    </row>
    <row r="722" spans="1:18">
      <c r="A722" s="86"/>
      <c r="B722" s="86"/>
      <c r="C722" s="86"/>
      <c r="D722" s="86"/>
      <c r="E722" s="86"/>
      <c r="F722" s="86"/>
      <c r="G722" s="86"/>
      <c r="H722" s="86"/>
      <c r="I722" s="86"/>
      <c r="J722" s="86"/>
      <c r="K722" s="86"/>
      <c r="L722" s="86"/>
      <c r="M722" s="86"/>
      <c r="N722" s="86"/>
      <c r="O722" s="86"/>
      <c r="P722" s="86"/>
      <c r="Q722" s="86"/>
      <c r="R722" s="86"/>
    </row>
    <row r="723" spans="1:18">
      <c r="A723" s="86"/>
      <c r="B723" s="86"/>
      <c r="C723" s="86"/>
      <c r="D723" s="86"/>
      <c r="E723" s="86"/>
      <c r="F723" s="86"/>
      <c r="G723" s="86"/>
      <c r="H723" s="86"/>
      <c r="I723" s="86"/>
      <c r="J723" s="86"/>
      <c r="K723" s="86"/>
      <c r="L723" s="86"/>
      <c r="M723" s="86"/>
      <c r="N723" s="86"/>
      <c r="O723" s="86"/>
      <c r="P723" s="86"/>
      <c r="Q723" s="86"/>
      <c r="R723" s="86"/>
    </row>
    <row r="724" spans="1:18">
      <c r="A724" s="86"/>
      <c r="B724" s="86"/>
      <c r="C724" s="86"/>
      <c r="D724" s="86"/>
      <c r="E724" s="86"/>
      <c r="F724" s="86"/>
      <c r="G724" s="86"/>
      <c r="H724" s="86"/>
      <c r="I724" s="86"/>
      <c r="J724" s="86"/>
      <c r="K724" s="86"/>
      <c r="L724" s="86"/>
      <c r="M724" s="86"/>
      <c r="N724" s="86"/>
      <c r="O724" s="86"/>
      <c r="P724" s="86"/>
      <c r="Q724" s="86"/>
      <c r="R724" s="86"/>
    </row>
    <row r="725" spans="1:18">
      <c r="A725" s="86"/>
      <c r="B725" s="86"/>
      <c r="C725" s="86"/>
      <c r="D725" s="86"/>
      <c r="E725" s="86"/>
      <c r="F725" s="86"/>
      <c r="G725" s="86"/>
      <c r="H725" s="86"/>
      <c r="I725" s="86"/>
      <c r="J725" s="86"/>
      <c r="K725" s="86"/>
      <c r="L725" s="86"/>
      <c r="M725" s="86"/>
      <c r="N725" s="86"/>
      <c r="O725" s="86"/>
      <c r="P725" s="86"/>
      <c r="Q725" s="86"/>
      <c r="R725" s="86"/>
    </row>
    <row r="726" spans="1:18">
      <c r="A726" s="86"/>
      <c r="B726" s="86"/>
      <c r="C726" s="86"/>
      <c r="D726" s="86"/>
      <c r="E726" s="86"/>
      <c r="F726" s="86"/>
      <c r="G726" s="86"/>
      <c r="H726" s="86"/>
      <c r="I726" s="86"/>
      <c r="J726" s="86"/>
      <c r="K726" s="86"/>
      <c r="L726" s="86"/>
      <c r="M726" s="86"/>
      <c r="N726" s="86"/>
      <c r="O726" s="86"/>
      <c r="P726" s="86"/>
      <c r="Q726" s="86"/>
      <c r="R726" s="86"/>
    </row>
    <row r="727" spans="1:18">
      <c r="A727" s="86"/>
      <c r="B727" s="86"/>
      <c r="C727" s="86"/>
      <c r="D727" s="86"/>
      <c r="E727" s="86"/>
      <c r="F727" s="86"/>
      <c r="G727" s="86"/>
      <c r="H727" s="86"/>
      <c r="I727" s="86"/>
      <c r="J727" s="86"/>
      <c r="K727" s="86"/>
      <c r="L727" s="86"/>
      <c r="M727" s="86"/>
      <c r="N727" s="86"/>
      <c r="O727" s="86"/>
      <c r="P727" s="86"/>
      <c r="Q727" s="86"/>
      <c r="R727" s="86"/>
    </row>
    <row r="728" spans="1:18">
      <c r="A728" s="86"/>
      <c r="B728" s="86"/>
      <c r="C728" s="86"/>
      <c r="D728" s="86"/>
      <c r="E728" s="86"/>
      <c r="F728" s="86"/>
      <c r="G728" s="86"/>
      <c r="H728" s="86"/>
      <c r="I728" s="86"/>
      <c r="J728" s="86"/>
      <c r="K728" s="86"/>
      <c r="L728" s="86"/>
      <c r="M728" s="86"/>
      <c r="N728" s="86"/>
      <c r="O728" s="86"/>
      <c r="P728" s="86"/>
      <c r="Q728" s="86"/>
      <c r="R728" s="86"/>
    </row>
    <row r="729" spans="1:18">
      <c r="A729" s="86"/>
      <c r="B729" s="86"/>
      <c r="C729" s="86"/>
      <c r="D729" s="86"/>
      <c r="E729" s="86"/>
      <c r="F729" s="86"/>
      <c r="G729" s="86"/>
      <c r="H729" s="86"/>
      <c r="I729" s="86"/>
      <c r="J729" s="86"/>
      <c r="K729" s="86"/>
      <c r="L729" s="86"/>
      <c r="M729" s="86"/>
      <c r="N729" s="86"/>
      <c r="O729" s="86"/>
      <c r="P729" s="86"/>
      <c r="Q729" s="86"/>
      <c r="R729" s="86"/>
    </row>
    <row r="730" spans="1:18">
      <c r="A730" s="86"/>
      <c r="B730" s="86"/>
      <c r="C730" s="86"/>
      <c r="D730" s="86"/>
      <c r="E730" s="86"/>
      <c r="F730" s="86"/>
      <c r="G730" s="86"/>
      <c r="H730" s="86"/>
      <c r="I730" s="86"/>
      <c r="J730" s="86"/>
      <c r="K730" s="86"/>
      <c r="L730" s="86"/>
      <c r="M730" s="86"/>
      <c r="N730" s="86"/>
      <c r="O730" s="86"/>
      <c r="P730" s="86"/>
      <c r="Q730" s="86"/>
      <c r="R730" s="86"/>
    </row>
    <row r="731" spans="1:18">
      <c r="A731" s="86"/>
      <c r="B731" s="86"/>
      <c r="C731" s="86"/>
      <c r="D731" s="86"/>
      <c r="E731" s="86"/>
      <c r="F731" s="86"/>
      <c r="G731" s="86"/>
      <c r="H731" s="86"/>
      <c r="I731" s="86"/>
      <c r="J731" s="86"/>
      <c r="K731" s="86"/>
      <c r="L731" s="86"/>
      <c r="M731" s="86"/>
      <c r="N731" s="86"/>
      <c r="O731" s="86"/>
      <c r="P731" s="86"/>
      <c r="Q731" s="86"/>
      <c r="R731" s="86"/>
    </row>
    <row r="732" spans="1:18">
      <c r="A732" s="86"/>
      <c r="B732" s="86"/>
      <c r="C732" s="86"/>
      <c r="D732" s="86"/>
      <c r="E732" s="86"/>
      <c r="F732" s="86"/>
      <c r="G732" s="86"/>
      <c r="H732" s="86"/>
      <c r="I732" s="86"/>
      <c r="J732" s="86"/>
      <c r="K732" s="86"/>
      <c r="L732" s="86"/>
      <c r="M732" s="86"/>
      <c r="N732" s="86"/>
      <c r="O732" s="86"/>
      <c r="P732" s="86"/>
      <c r="Q732" s="86"/>
      <c r="R732" s="86"/>
    </row>
    <row r="733" spans="1:18">
      <c r="A733" s="86"/>
      <c r="B733" s="86"/>
      <c r="C733" s="86"/>
      <c r="D733" s="86"/>
      <c r="E733" s="86"/>
      <c r="F733" s="86"/>
      <c r="G733" s="86"/>
      <c r="H733" s="86"/>
      <c r="I733" s="86"/>
      <c r="J733" s="86"/>
      <c r="K733" s="86"/>
      <c r="L733" s="86"/>
      <c r="M733" s="86"/>
      <c r="N733" s="86"/>
      <c r="O733" s="86"/>
      <c r="P733" s="86"/>
      <c r="Q733" s="86"/>
      <c r="R733" s="86"/>
    </row>
    <row r="734" spans="1:18">
      <c r="A734" s="86"/>
      <c r="B734" s="86"/>
      <c r="C734" s="86"/>
      <c r="D734" s="86"/>
      <c r="E734" s="86"/>
      <c r="F734" s="86"/>
      <c r="G734" s="86"/>
      <c r="H734" s="86"/>
      <c r="I734" s="86"/>
      <c r="J734" s="86"/>
      <c r="K734" s="86"/>
      <c r="L734" s="86"/>
      <c r="M734" s="86"/>
      <c r="N734" s="86"/>
      <c r="O734" s="86"/>
      <c r="P734" s="86"/>
      <c r="Q734" s="86"/>
      <c r="R734" s="86"/>
    </row>
    <row r="735" spans="1:18">
      <c r="A735" s="86"/>
      <c r="B735" s="86"/>
      <c r="C735" s="86"/>
      <c r="D735" s="86"/>
      <c r="E735" s="86"/>
      <c r="F735" s="86"/>
      <c r="G735" s="86"/>
      <c r="H735" s="86"/>
      <c r="I735" s="86"/>
      <c r="J735" s="86"/>
      <c r="K735" s="86"/>
      <c r="L735" s="86"/>
      <c r="M735" s="86"/>
      <c r="N735" s="86"/>
      <c r="O735" s="86"/>
      <c r="P735" s="86"/>
      <c r="Q735" s="86"/>
      <c r="R735" s="86"/>
    </row>
    <row r="736" spans="1:18">
      <c r="A736" s="86"/>
      <c r="B736" s="86"/>
      <c r="C736" s="86"/>
      <c r="D736" s="86"/>
      <c r="E736" s="86"/>
      <c r="F736" s="86"/>
      <c r="G736" s="86"/>
      <c r="H736" s="86"/>
      <c r="I736" s="86"/>
      <c r="J736" s="86"/>
      <c r="K736" s="86"/>
      <c r="L736" s="86"/>
      <c r="M736" s="86"/>
      <c r="N736" s="86"/>
      <c r="O736" s="86"/>
      <c r="P736" s="86"/>
      <c r="Q736" s="86"/>
      <c r="R736" s="86"/>
    </row>
    <row r="737" spans="1:18">
      <c r="A737" s="86"/>
      <c r="B737" s="86"/>
      <c r="C737" s="86"/>
      <c r="D737" s="86"/>
      <c r="E737" s="86"/>
      <c r="F737" s="86"/>
      <c r="G737" s="86"/>
      <c r="H737" s="86"/>
      <c r="I737" s="86"/>
      <c r="J737" s="86"/>
      <c r="K737" s="86"/>
      <c r="L737" s="86"/>
      <c r="M737" s="86"/>
      <c r="N737" s="86"/>
      <c r="O737" s="86"/>
      <c r="P737" s="86"/>
      <c r="Q737" s="86"/>
      <c r="R737" s="86"/>
    </row>
    <row r="738" spans="1:18">
      <c r="A738" s="86"/>
      <c r="B738" s="86"/>
      <c r="C738" s="86"/>
      <c r="D738" s="86"/>
      <c r="E738" s="86"/>
      <c r="F738" s="86"/>
      <c r="G738" s="86"/>
      <c r="H738" s="86"/>
      <c r="I738" s="86"/>
      <c r="J738" s="86"/>
      <c r="K738" s="86"/>
      <c r="L738" s="86"/>
      <c r="M738" s="86"/>
      <c r="N738" s="86"/>
      <c r="O738" s="86"/>
      <c r="P738" s="86"/>
      <c r="Q738" s="86"/>
      <c r="R738" s="86"/>
    </row>
    <row r="739" spans="1:18">
      <c r="A739" s="86"/>
      <c r="B739" s="86"/>
      <c r="C739" s="86"/>
      <c r="D739" s="86"/>
      <c r="E739" s="86"/>
      <c r="F739" s="86"/>
      <c r="G739" s="86"/>
      <c r="H739" s="86"/>
      <c r="I739" s="86"/>
      <c r="J739" s="86"/>
      <c r="K739" s="86"/>
      <c r="L739" s="86"/>
      <c r="M739" s="86"/>
      <c r="N739" s="86"/>
      <c r="O739" s="86"/>
      <c r="P739" s="86"/>
      <c r="Q739" s="86"/>
      <c r="R739" s="86"/>
    </row>
    <row r="740" spans="1:18">
      <c r="A740" s="86"/>
      <c r="B740" s="86"/>
      <c r="C740" s="86"/>
      <c r="D740" s="86"/>
      <c r="E740" s="86"/>
      <c r="F740" s="86"/>
      <c r="G740" s="86"/>
      <c r="H740" s="86"/>
      <c r="I740" s="86"/>
      <c r="J740" s="86"/>
      <c r="K740" s="86"/>
      <c r="L740" s="86"/>
      <c r="M740" s="86"/>
      <c r="N740" s="86"/>
      <c r="O740" s="86"/>
      <c r="P740" s="86"/>
      <c r="Q740" s="86"/>
      <c r="R740" s="86"/>
    </row>
    <row r="741" spans="1:18">
      <c r="A741" s="86"/>
      <c r="B741" s="86"/>
      <c r="C741" s="86"/>
      <c r="D741" s="86"/>
      <c r="E741" s="86"/>
      <c r="F741" s="86"/>
      <c r="G741" s="86"/>
      <c r="H741" s="86"/>
      <c r="I741" s="86"/>
      <c r="J741" s="86"/>
      <c r="K741" s="86"/>
      <c r="L741" s="86"/>
      <c r="M741" s="86"/>
      <c r="N741" s="86"/>
      <c r="O741" s="86"/>
      <c r="P741" s="86"/>
      <c r="Q741" s="86"/>
      <c r="R741" s="86"/>
    </row>
    <row r="742" spans="1:18">
      <c r="A742" s="86"/>
      <c r="B742" s="86"/>
      <c r="C742" s="86"/>
      <c r="D742" s="86"/>
      <c r="E742" s="86"/>
      <c r="F742" s="86"/>
      <c r="G742" s="86"/>
      <c r="H742" s="86"/>
      <c r="I742" s="86"/>
      <c r="J742" s="86"/>
      <c r="K742" s="86"/>
      <c r="L742" s="86"/>
      <c r="M742" s="86"/>
      <c r="N742" s="86"/>
      <c r="O742" s="86"/>
      <c r="P742" s="86"/>
      <c r="Q742" s="86"/>
      <c r="R742" s="86"/>
    </row>
    <row r="743" spans="1:18">
      <c r="A743" s="86"/>
      <c r="B743" s="86"/>
      <c r="C743" s="86"/>
      <c r="D743" s="86"/>
      <c r="E743" s="86"/>
      <c r="F743" s="86"/>
      <c r="G743" s="86"/>
      <c r="H743" s="86"/>
      <c r="I743" s="86"/>
      <c r="J743" s="86"/>
      <c r="K743" s="86"/>
      <c r="L743" s="86"/>
      <c r="M743" s="86"/>
      <c r="N743" s="86"/>
      <c r="O743" s="86"/>
      <c r="P743" s="86"/>
      <c r="Q743" s="86"/>
      <c r="R743" s="86"/>
    </row>
    <row r="744" spans="1:18">
      <c r="A744" s="86"/>
      <c r="B744" s="86"/>
      <c r="C744" s="86"/>
      <c r="D744" s="86"/>
      <c r="E744" s="86"/>
      <c r="F744" s="86"/>
      <c r="G744" s="86"/>
      <c r="H744" s="86"/>
      <c r="I744" s="86"/>
      <c r="J744" s="86"/>
      <c r="K744" s="86"/>
      <c r="L744" s="86"/>
      <c r="M744" s="86"/>
      <c r="N744" s="86"/>
      <c r="O744" s="86"/>
      <c r="P744" s="86"/>
      <c r="Q744" s="86"/>
      <c r="R744" s="86"/>
    </row>
    <row r="745" spans="1:18">
      <c r="A745" s="86"/>
      <c r="B745" s="86"/>
      <c r="C745" s="86"/>
      <c r="D745" s="86"/>
      <c r="E745" s="86"/>
      <c r="F745" s="86"/>
      <c r="G745" s="86"/>
      <c r="H745" s="86"/>
      <c r="I745" s="86"/>
      <c r="J745" s="86"/>
      <c r="K745" s="86"/>
      <c r="L745" s="86"/>
      <c r="M745" s="86"/>
      <c r="N745" s="86"/>
      <c r="O745" s="86"/>
      <c r="P745" s="86"/>
      <c r="Q745" s="86"/>
      <c r="R745" s="86"/>
    </row>
    <row r="746" spans="1:18">
      <c r="A746" s="86"/>
      <c r="B746" s="86"/>
      <c r="C746" s="86"/>
      <c r="D746" s="86"/>
      <c r="E746" s="86"/>
      <c r="F746" s="86"/>
      <c r="G746" s="86"/>
      <c r="H746" s="86"/>
      <c r="I746" s="86"/>
      <c r="J746" s="86"/>
      <c r="K746" s="86"/>
      <c r="L746" s="86"/>
      <c r="M746" s="86"/>
      <c r="N746" s="86"/>
      <c r="O746" s="86"/>
      <c r="P746" s="86"/>
      <c r="Q746" s="86"/>
      <c r="R746" s="86"/>
    </row>
    <row r="747" spans="1:18">
      <c r="A747" s="86"/>
      <c r="B747" s="86"/>
      <c r="C747" s="86"/>
      <c r="D747" s="86"/>
      <c r="E747" s="86"/>
      <c r="F747" s="86"/>
      <c r="G747" s="86"/>
      <c r="H747" s="86"/>
      <c r="I747" s="86"/>
      <c r="J747" s="86"/>
      <c r="K747" s="86"/>
      <c r="L747" s="86"/>
      <c r="M747" s="86"/>
      <c r="N747" s="86"/>
      <c r="O747" s="86"/>
      <c r="P747" s="86"/>
      <c r="Q747" s="86"/>
      <c r="R747" s="86"/>
    </row>
    <row r="748" spans="1:18">
      <c r="A748" s="86"/>
      <c r="B748" s="86"/>
      <c r="C748" s="86"/>
      <c r="D748" s="86"/>
      <c r="E748" s="86"/>
      <c r="F748" s="86"/>
      <c r="G748" s="86"/>
      <c r="H748" s="86"/>
      <c r="I748" s="86"/>
      <c r="J748" s="86"/>
      <c r="K748" s="86"/>
      <c r="L748" s="86"/>
      <c r="M748" s="86"/>
      <c r="N748" s="86"/>
      <c r="O748" s="86"/>
      <c r="P748" s="86"/>
      <c r="Q748" s="86"/>
      <c r="R748" s="86"/>
    </row>
    <row r="749" spans="1:18">
      <c r="A749" s="86"/>
      <c r="B749" s="86"/>
      <c r="C749" s="86"/>
      <c r="D749" s="86"/>
      <c r="E749" s="86"/>
      <c r="F749" s="86"/>
      <c r="G749" s="86"/>
      <c r="H749" s="86"/>
      <c r="I749" s="86"/>
      <c r="J749" s="86"/>
      <c r="K749" s="86"/>
      <c r="L749" s="86"/>
      <c r="M749" s="86"/>
      <c r="N749" s="86"/>
      <c r="O749" s="86"/>
      <c r="P749" s="86"/>
      <c r="Q749" s="86"/>
      <c r="R749" s="86"/>
    </row>
    <row r="750" spans="1:18">
      <c r="A750" s="86"/>
      <c r="B750" s="86"/>
      <c r="C750" s="86"/>
      <c r="D750" s="86"/>
      <c r="E750" s="86"/>
      <c r="F750" s="86"/>
      <c r="G750" s="86"/>
      <c r="H750" s="86"/>
      <c r="I750" s="86"/>
      <c r="J750" s="86"/>
      <c r="K750" s="86"/>
      <c r="L750" s="86"/>
      <c r="M750" s="86"/>
      <c r="N750" s="86"/>
      <c r="O750" s="86"/>
      <c r="P750" s="86"/>
      <c r="Q750" s="86"/>
      <c r="R750" s="86"/>
    </row>
    <row r="751" spans="1:18">
      <c r="A751" s="86"/>
      <c r="B751" s="86"/>
      <c r="C751" s="86"/>
      <c r="D751" s="86"/>
      <c r="E751" s="86"/>
      <c r="F751" s="86"/>
      <c r="G751" s="86"/>
      <c r="H751" s="86"/>
      <c r="I751" s="86"/>
      <c r="J751" s="86"/>
      <c r="K751" s="86"/>
      <c r="L751" s="86"/>
      <c r="M751" s="86"/>
      <c r="N751" s="86"/>
      <c r="O751" s="86"/>
      <c r="P751" s="86"/>
      <c r="Q751" s="86"/>
      <c r="R751" s="86"/>
    </row>
    <row r="752" spans="1:18">
      <c r="A752" s="86"/>
      <c r="B752" s="86"/>
      <c r="C752" s="86"/>
      <c r="D752" s="86"/>
      <c r="E752" s="86"/>
      <c r="F752" s="86"/>
      <c r="G752" s="86"/>
      <c r="H752" s="86"/>
      <c r="I752" s="86"/>
      <c r="J752" s="86"/>
      <c r="K752" s="86"/>
      <c r="L752" s="86"/>
      <c r="M752" s="86"/>
      <c r="N752" s="86"/>
      <c r="O752" s="86"/>
      <c r="P752" s="86"/>
      <c r="Q752" s="86"/>
      <c r="R752" s="86"/>
    </row>
    <row r="753" spans="1:18">
      <c r="A753" s="86"/>
      <c r="B753" s="86"/>
      <c r="C753" s="86"/>
      <c r="D753" s="86"/>
      <c r="E753" s="86"/>
      <c r="F753" s="86"/>
      <c r="G753" s="86"/>
      <c r="H753" s="86"/>
      <c r="I753" s="86"/>
      <c r="J753" s="86"/>
      <c r="K753" s="86"/>
      <c r="L753" s="86"/>
      <c r="M753" s="86"/>
      <c r="N753" s="86"/>
      <c r="O753" s="86"/>
      <c r="P753" s="86"/>
      <c r="Q753" s="86"/>
      <c r="R753" s="86"/>
    </row>
    <row r="754" spans="1:18">
      <c r="A754" s="86"/>
      <c r="B754" s="86"/>
      <c r="C754" s="86"/>
      <c r="D754" s="86"/>
      <c r="E754" s="86"/>
      <c r="F754" s="86"/>
      <c r="G754" s="86"/>
      <c r="H754" s="86"/>
      <c r="I754" s="86"/>
      <c r="J754" s="86"/>
      <c r="K754" s="86"/>
      <c r="L754" s="86"/>
      <c r="M754" s="86"/>
      <c r="N754" s="86"/>
      <c r="O754" s="86"/>
      <c r="P754" s="86"/>
      <c r="Q754" s="86"/>
      <c r="R754" s="86"/>
    </row>
    <row r="755" spans="1:18">
      <c r="A755" s="86"/>
      <c r="B755" s="86"/>
      <c r="C755" s="86"/>
      <c r="D755" s="86"/>
      <c r="E755" s="86"/>
      <c r="F755" s="86"/>
      <c r="G755" s="86"/>
      <c r="H755" s="86"/>
      <c r="I755" s="86"/>
      <c r="J755" s="86"/>
      <c r="K755" s="86"/>
      <c r="L755" s="86"/>
      <c r="M755" s="86"/>
      <c r="N755" s="86"/>
      <c r="O755" s="86"/>
      <c r="P755" s="86"/>
      <c r="Q755" s="86"/>
      <c r="R755" s="86"/>
    </row>
    <row r="756" spans="1:18">
      <c r="A756" s="86"/>
      <c r="B756" s="86"/>
      <c r="C756" s="86"/>
      <c r="D756" s="86"/>
      <c r="E756" s="86"/>
      <c r="F756" s="86"/>
      <c r="G756" s="86"/>
      <c r="H756" s="86"/>
      <c r="I756" s="86"/>
      <c r="J756" s="86"/>
      <c r="K756" s="86"/>
      <c r="L756" s="86"/>
      <c r="M756" s="86"/>
      <c r="N756" s="86"/>
      <c r="O756" s="86"/>
      <c r="P756" s="86"/>
      <c r="Q756" s="86"/>
      <c r="R756" s="86"/>
    </row>
    <row r="757" spans="1:18">
      <c r="A757" s="86"/>
      <c r="B757" s="86"/>
      <c r="C757" s="86"/>
      <c r="D757" s="86"/>
      <c r="E757" s="86"/>
      <c r="F757" s="86"/>
      <c r="G757" s="86"/>
      <c r="H757" s="86"/>
      <c r="I757" s="86"/>
      <c r="J757" s="86"/>
      <c r="K757" s="86"/>
      <c r="L757" s="86"/>
      <c r="M757" s="86"/>
      <c r="N757" s="86"/>
      <c r="O757" s="86"/>
      <c r="P757" s="86"/>
      <c r="Q757" s="86"/>
      <c r="R757" s="86"/>
    </row>
    <row r="758" spans="1:18">
      <c r="A758" s="86"/>
      <c r="B758" s="86"/>
      <c r="C758" s="86"/>
      <c r="D758" s="86"/>
      <c r="E758" s="86"/>
      <c r="F758" s="86"/>
      <c r="G758" s="86"/>
      <c r="H758" s="86"/>
      <c r="I758" s="86"/>
      <c r="J758" s="86"/>
      <c r="K758" s="86"/>
      <c r="L758" s="86"/>
      <c r="M758" s="86"/>
      <c r="N758" s="86"/>
      <c r="O758" s="86"/>
      <c r="P758" s="86"/>
      <c r="Q758" s="86"/>
      <c r="R758" s="86"/>
    </row>
    <row r="759" spans="1:18">
      <c r="A759" s="86"/>
      <c r="B759" s="86"/>
      <c r="C759" s="86"/>
      <c r="D759" s="86"/>
      <c r="E759" s="86"/>
      <c r="F759" s="86"/>
      <c r="G759" s="86"/>
      <c r="H759" s="86"/>
      <c r="I759" s="86"/>
      <c r="J759" s="86"/>
      <c r="K759" s="86"/>
      <c r="L759" s="86"/>
      <c r="M759" s="86"/>
      <c r="N759" s="86"/>
      <c r="O759" s="86"/>
      <c r="P759" s="86"/>
      <c r="Q759" s="86"/>
      <c r="R759" s="86"/>
    </row>
    <row r="760" spans="1:18">
      <c r="A760" s="86"/>
      <c r="B760" s="86"/>
      <c r="C760" s="86"/>
      <c r="D760" s="86"/>
      <c r="E760" s="86"/>
      <c r="F760" s="86"/>
      <c r="G760" s="86"/>
      <c r="H760" s="86"/>
      <c r="I760" s="86"/>
      <c r="J760" s="86"/>
      <c r="K760" s="86"/>
      <c r="L760" s="86"/>
      <c r="M760" s="86"/>
      <c r="N760" s="86"/>
      <c r="O760" s="86"/>
      <c r="P760" s="86"/>
      <c r="Q760" s="86"/>
      <c r="R760" s="86"/>
    </row>
    <row r="761" spans="1:18">
      <c r="A761" s="86"/>
      <c r="B761" s="86"/>
      <c r="C761" s="86"/>
      <c r="D761" s="86"/>
      <c r="E761" s="86"/>
      <c r="F761" s="86"/>
      <c r="G761" s="86"/>
      <c r="H761" s="86"/>
      <c r="I761" s="86"/>
      <c r="J761" s="86"/>
      <c r="K761" s="86"/>
      <c r="L761" s="86"/>
      <c r="M761" s="86"/>
      <c r="N761" s="86"/>
      <c r="O761" s="86"/>
      <c r="P761" s="86"/>
      <c r="Q761" s="86"/>
      <c r="R761" s="86"/>
    </row>
    <row r="762" spans="1:18">
      <c r="A762" s="86"/>
      <c r="B762" s="86"/>
      <c r="C762" s="86"/>
      <c r="D762" s="86"/>
      <c r="E762" s="86"/>
      <c r="F762" s="86"/>
      <c r="G762" s="86"/>
      <c r="H762" s="86"/>
      <c r="I762" s="86"/>
      <c r="J762" s="86"/>
      <c r="K762" s="86"/>
      <c r="L762" s="86"/>
      <c r="M762" s="86"/>
      <c r="N762" s="86"/>
      <c r="O762" s="86"/>
      <c r="P762" s="86"/>
      <c r="Q762" s="86"/>
      <c r="R762" s="86"/>
    </row>
    <row r="763" spans="1:18">
      <c r="A763" s="86"/>
      <c r="B763" s="86"/>
      <c r="C763" s="86"/>
      <c r="D763" s="86"/>
      <c r="E763" s="86"/>
      <c r="F763" s="86"/>
      <c r="G763" s="86"/>
      <c r="H763" s="86"/>
      <c r="I763" s="86"/>
      <c r="J763" s="86"/>
      <c r="K763" s="86"/>
      <c r="L763" s="86"/>
      <c r="M763" s="86"/>
      <c r="N763" s="86"/>
      <c r="O763" s="86"/>
      <c r="P763" s="86"/>
      <c r="Q763" s="86"/>
      <c r="R763" s="86"/>
    </row>
    <row r="764" spans="1:18">
      <c r="A764" s="86"/>
      <c r="B764" s="86"/>
      <c r="C764" s="86"/>
      <c r="D764" s="86"/>
      <c r="E764" s="86"/>
      <c r="F764" s="86"/>
      <c r="G764" s="86"/>
      <c r="H764" s="86"/>
      <c r="I764" s="86"/>
      <c r="J764" s="86"/>
      <c r="K764" s="86"/>
      <c r="L764" s="86"/>
      <c r="M764" s="86"/>
      <c r="N764" s="86"/>
      <c r="O764" s="86"/>
      <c r="P764" s="86"/>
      <c r="Q764" s="86"/>
      <c r="R764" s="86"/>
    </row>
    <row r="765" spans="1:18">
      <c r="A765" s="86"/>
      <c r="B765" s="86"/>
      <c r="C765" s="86"/>
      <c r="D765" s="86"/>
      <c r="E765" s="86"/>
      <c r="F765" s="86"/>
      <c r="G765" s="86"/>
      <c r="H765" s="86"/>
      <c r="I765" s="86"/>
      <c r="J765" s="86"/>
      <c r="K765" s="86"/>
      <c r="L765" s="86"/>
      <c r="M765" s="86"/>
      <c r="N765" s="86"/>
      <c r="O765" s="86"/>
      <c r="P765" s="86"/>
      <c r="Q765" s="86"/>
      <c r="R765" s="86"/>
    </row>
    <row r="766" spans="1:18">
      <c r="A766" s="86"/>
      <c r="B766" s="86"/>
      <c r="C766" s="86"/>
      <c r="D766" s="86"/>
      <c r="E766" s="86"/>
      <c r="F766" s="86"/>
      <c r="G766" s="86"/>
      <c r="H766" s="86"/>
      <c r="I766" s="86"/>
      <c r="J766" s="86"/>
      <c r="K766" s="86"/>
      <c r="L766" s="86"/>
      <c r="M766" s="86"/>
      <c r="N766" s="86"/>
      <c r="O766" s="86"/>
      <c r="P766" s="86"/>
      <c r="Q766" s="86"/>
      <c r="R766" s="86"/>
    </row>
    <row r="767" spans="1:18">
      <c r="A767" s="86"/>
      <c r="B767" s="86"/>
      <c r="C767" s="86"/>
      <c r="D767" s="86"/>
      <c r="E767" s="86"/>
      <c r="F767" s="86"/>
      <c r="G767" s="86"/>
      <c r="H767" s="86"/>
      <c r="I767" s="86"/>
      <c r="J767" s="86"/>
      <c r="K767" s="86"/>
      <c r="L767" s="86"/>
      <c r="M767" s="86"/>
      <c r="N767" s="86"/>
      <c r="O767" s="86"/>
      <c r="P767" s="86"/>
      <c r="Q767" s="86"/>
      <c r="R767" s="86"/>
    </row>
    <row r="768" spans="1:18">
      <c r="A768" s="86"/>
      <c r="B768" s="86"/>
      <c r="C768" s="86"/>
      <c r="D768" s="86"/>
      <c r="E768" s="86"/>
      <c r="F768" s="86"/>
      <c r="G768" s="86"/>
      <c r="H768" s="86"/>
      <c r="I768" s="86"/>
      <c r="J768" s="86"/>
      <c r="K768" s="86"/>
      <c r="L768" s="86"/>
      <c r="M768" s="86"/>
      <c r="N768" s="86"/>
      <c r="O768" s="86"/>
      <c r="P768" s="86"/>
      <c r="Q768" s="86"/>
      <c r="R768" s="86"/>
    </row>
    <row r="769" spans="1:18">
      <c r="A769" s="86"/>
      <c r="B769" s="86"/>
      <c r="C769" s="86"/>
      <c r="D769" s="86"/>
      <c r="E769" s="86"/>
      <c r="F769" s="86"/>
      <c r="G769" s="86"/>
      <c r="H769" s="86"/>
      <c r="I769" s="86"/>
      <c r="J769" s="86"/>
      <c r="K769" s="86"/>
      <c r="L769" s="86"/>
      <c r="M769" s="86"/>
      <c r="N769" s="86"/>
      <c r="O769" s="86"/>
      <c r="P769" s="86"/>
      <c r="Q769" s="86"/>
      <c r="R769" s="86"/>
    </row>
    <row r="770" spans="1:18">
      <c r="A770" s="86"/>
      <c r="B770" s="86"/>
      <c r="C770" s="86"/>
      <c r="D770" s="86"/>
      <c r="E770" s="86"/>
      <c r="F770" s="86"/>
      <c r="G770" s="86"/>
      <c r="H770" s="86"/>
      <c r="I770" s="86"/>
      <c r="J770" s="86"/>
      <c r="K770" s="86"/>
      <c r="L770" s="86"/>
      <c r="M770" s="86"/>
      <c r="N770" s="86"/>
      <c r="O770" s="86"/>
      <c r="P770" s="86"/>
      <c r="Q770" s="86"/>
      <c r="R770" s="86"/>
    </row>
    <row r="771" spans="1:18">
      <c r="A771" s="86"/>
      <c r="B771" s="86"/>
      <c r="C771" s="86"/>
      <c r="D771" s="86"/>
      <c r="E771" s="86"/>
      <c r="F771" s="86"/>
      <c r="G771" s="86"/>
      <c r="H771" s="86"/>
      <c r="I771" s="86"/>
      <c r="J771" s="86"/>
      <c r="K771" s="86"/>
      <c r="L771" s="86"/>
      <c r="M771" s="86"/>
      <c r="N771" s="86"/>
      <c r="O771" s="86"/>
      <c r="P771" s="86"/>
      <c r="Q771" s="86"/>
      <c r="R771" s="86"/>
    </row>
    <row r="772" spans="1:18">
      <c r="A772" s="86"/>
      <c r="B772" s="86"/>
      <c r="C772" s="86"/>
      <c r="D772" s="86"/>
      <c r="E772" s="86"/>
      <c r="F772" s="86"/>
      <c r="G772" s="86"/>
      <c r="H772" s="86"/>
      <c r="I772" s="86"/>
      <c r="J772" s="86"/>
      <c r="K772" s="86"/>
      <c r="L772" s="86"/>
      <c r="M772" s="86"/>
      <c r="N772" s="86"/>
      <c r="O772" s="86"/>
      <c r="P772" s="86"/>
      <c r="Q772" s="86"/>
      <c r="R772" s="86"/>
    </row>
    <row r="773" spans="1:18">
      <c r="A773" s="86"/>
      <c r="B773" s="86"/>
      <c r="C773" s="86"/>
      <c r="D773" s="86"/>
      <c r="E773" s="86"/>
      <c r="F773" s="86"/>
      <c r="G773" s="86"/>
      <c r="H773" s="86"/>
      <c r="I773" s="86"/>
      <c r="J773" s="86"/>
      <c r="K773" s="86"/>
      <c r="L773" s="86"/>
      <c r="M773" s="86"/>
      <c r="N773" s="86"/>
      <c r="O773" s="86"/>
      <c r="P773" s="86"/>
      <c r="Q773" s="86"/>
      <c r="R773" s="86"/>
    </row>
    <row r="774" spans="1:18">
      <c r="A774" s="86"/>
      <c r="B774" s="86"/>
      <c r="C774" s="86"/>
      <c r="D774" s="86"/>
      <c r="E774" s="86"/>
      <c r="F774" s="86"/>
      <c r="G774" s="86"/>
      <c r="H774" s="86"/>
      <c r="I774" s="86"/>
      <c r="J774" s="86"/>
      <c r="K774" s="86"/>
      <c r="L774" s="86"/>
      <c r="M774" s="86"/>
      <c r="N774" s="86"/>
      <c r="O774" s="86"/>
      <c r="P774" s="86"/>
      <c r="Q774" s="86"/>
      <c r="R774" s="86"/>
    </row>
    <row r="775" spans="1:18">
      <c r="A775" s="86"/>
      <c r="B775" s="86"/>
      <c r="C775" s="86"/>
      <c r="D775" s="86"/>
      <c r="E775" s="86"/>
      <c r="F775" s="86"/>
      <c r="G775" s="86"/>
      <c r="H775" s="86"/>
      <c r="I775" s="86"/>
      <c r="J775" s="86"/>
      <c r="K775" s="86"/>
      <c r="L775" s="86"/>
      <c r="M775" s="86"/>
      <c r="N775" s="86"/>
      <c r="O775" s="86"/>
      <c r="P775" s="86"/>
      <c r="Q775" s="86"/>
      <c r="R775" s="86"/>
    </row>
    <row r="776" spans="1:18">
      <c r="A776" s="86"/>
      <c r="B776" s="86"/>
      <c r="C776" s="86"/>
      <c r="D776" s="86"/>
      <c r="E776" s="86"/>
      <c r="F776" s="86"/>
      <c r="G776" s="86"/>
      <c r="H776" s="86"/>
      <c r="I776" s="86"/>
      <c r="J776" s="86"/>
      <c r="K776" s="86"/>
      <c r="L776" s="86"/>
      <c r="M776" s="86"/>
      <c r="N776" s="86"/>
      <c r="O776" s="86"/>
      <c r="P776" s="86"/>
      <c r="Q776" s="86"/>
      <c r="R776" s="86"/>
    </row>
    <row r="777" spans="1:18">
      <c r="A777" s="86"/>
      <c r="B777" s="86"/>
      <c r="C777" s="86"/>
      <c r="D777" s="86"/>
      <c r="E777" s="86"/>
      <c r="F777" s="86"/>
      <c r="G777" s="86"/>
      <c r="H777" s="86"/>
      <c r="I777" s="86"/>
      <c r="J777" s="86"/>
      <c r="K777" s="86"/>
      <c r="L777" s="86"/>
      <c r="M777" s="86"/>
      <c r="N777" s="86"/>
      <c r="O777" s="86"/>
      <c r="P777" s="86"/>
      <c r="Q777" s="86"/>
      <c r="R777" s="86"/>
    </row>
    <row r="778" spans="1:18">
      <c r="A778" s="86"/>
      <c r="B778" s="86"/>
      <c r="C778" s="86"/>
      <c r="D778" s="86"/>
      <c r="E778" s="86"/>
      <c r="F778" s="86"/>
      <c r="G778" s="86"/>
      <c r="H778" s="86"/>
      <c r="I778" s="86"/>
      <c r="J778" s="86"/>
      <c r="K778" s="86"/>
      <c r="L778" s="86"/>
      <c r="M778" s="86"/>
      <c r="N778" s="86"/>
      <c r="O778" s="86"/>
      <c r="P778" s="86"/>
      <c r="Q778" s="86"/>
      <c r="R778" s="86"/>
    </row>
    <row r="779" spans="1:18">
      <c r="A779" s="86"/>
      <c r="B779" s="86"/>
      <c r="C779" s="86"/>
      <c r="D779" s="86"/>
      <c r="E779" s="86"/>
      <c r="F779" s="86"/>
      <c r="G779" s="86"/>
      <c r="H779" s="86"/>
      <c r="I779" s="86"/>
      <c r="J779" s="86"/>
      <c r="K779" s="86"/>
      <c r="L779" s="86"/>
      <c r="M779" s="86"/>
      <c r="N779" s="86"/>
      <c r="O779" s="86"/>
      <c r="P779" s="86"/>
      <c r="Q779" s="86"/>
      <c r="R779" s="86"/>
    </row>
    <row r="780" spans="1:18">
      <c r="A780" s="86"/>
      <c r="B780" s="86"/>
      <c r="C780" s="86"/>
      <c r="D780" s="86"/>
      <c r="E780" s="86"/>
      <c r="F780" s="86"/>
      <c r="G780" s="86"/>
      <c r="H780" s="86"/>
      <c r="I780" s="86"/>
      <c r="J780" s="86"/>
      <c r="K780" s="86"/>
      <c r="L780" s="86"/>
      <c r="M780" s="86"/>
      <c r="N780" s="86"/>
      <c r="O780" s="86"/>
      <c r="P780" s="86"/>
      <c r="Q780" s="86"/>
      <c r="R780" s="86"/>
    </row>
    <row r="781" spans="1:18">
      <c r="A781" s="86"/>
      <c r="B781" s="86"/>
      <c r="C781" s="86"/>
      <c r="D781" s="86"/>
      <c r="E781" s="86"/>
      <c r="F781" s="86"/>
      <c r="G781" s="86"/>
      <c r="H781" s="86"/>
      <c r="I781" s="86"/>
      <c r="J781" s="86"/>
      <c r="K781" s="86"/>
      <c r="L781" s="86"/>
      <c r="M781" s="86"/>
      <c r="N781" s="86"/>
      <c r="O781" s="86"/>
      <c r="P781" s="86"/>
      <c r="Q781" s="86"/>
      <c r="R781" s="86"/>
    </row>
    <row r="782" spans="1:18">
      <c r="A782" s="86"/>
      <c r="B782" s="86"/>
      <c r="C782" s="86"/>
      <c r="D782" s="86"/>
      <c r="E782" s="86"/>
      <c r="F782" s="86"/>
      <c r="G782" s="86"/>
      <c r="H782" s="86"/>
      <c r="I782" s="86"/>
      <c r="J782" s="86"/>
      <c r="K782" s="86"/>
      <c r="L782" s="86"/>
      <c r="M782" s="86"/>
      <c r="N782" s="86"/>
      <c r="O782" s="86"/>
      <c r="P782" s="86"/>
      <c r="Q782" s="86"/>
      <c r="R782" s="86"/>
    </row>
    <row r="783" spans="1:18">
      <c r="A783" s="86"/>
      <c r="B783" s="86"/>
      <c r="C783" s="86"/>
      <c r="D783" s="86"/>
      <c r="E783" s="86"/>
      <c r="F783" s="86"/>
      <c r="G783" s="86"/>
      <c r="H783" s="86"/>
      <c r="I783" s="86"/>
      <c r="J783" s="86"/>
      <c r="K783" s="86"/>
      <c r="L783" s="86"/>
      <c r="M783" s="86"/>
      <c r="N783" s="86"/>
      <c r="O783" s="86"/>
      <c r="P783" s="86"/>
      <c r="Q783" s="86"/>
      <c r="R783" s="86"/>
    </row>
    <row r="784" spans="1:18">
      <c r="A784" s="86"/>
      <c r="B784" s="86"/>
      <c r="C784" s="86"/>
      <c r="D784" s="86"/>
      <c r="E784" s="86"/>
      <c r="F784" s="86"/>
      <c r="G784" s="86"/>
      <c r="H784" s="86"/>
      <c r="I784" s="86"/>
      <c r="J784" s="86"/>
      <c r="K784" s="86"/>
      <c r="L784" s="86"/>
      <c r="M784" s="86"/>
      <c r="N784" s="86"/>
      <c r="O784" s="86"/>
      <c r="P784" s="86"/>
      <c r="Q784" s="86"/>
      <c r="R784" s="86"/>
    </row>
    <row r="785" spans="1:18">
      <c r="A785" s="86"/>
      <c r="B785" s="86"/>
      <c r="C785" s="86"/>
      <c r="D785" s="86"/>
      <c r="E785" s="86"/>
      <c r="F785" s="86"/>
      <c r="G785" s="86"/>
      <c r="H785" s="86"/>
      <c r="I785" s="86"/>
      <c r="J785" s="86"/>
      <c r="K785" s="86"/>
      <c r="L785" s="86"/>
      <c r="M785" s="86"/>
      <c r="N785" s="86"/>
      <c r="O785" s="86"/>
      <c r="P785" s="86"/>
      <c r="Q785" s="86"/>
      <c r="R785" s="86"/>
    </row>
    <row r="786" spans="1:18">
      <c r="A786" s="86"/>
      <c r="B786" s="86"/>
      <c r="C786" s="86"/>
      <c r="D786" s="86"/>
      <c r="E786" s="86"/>
      <c r="F786" s="86"/>
      <c r="G786" s="86"/>
      <c r="H786" s="86"/>
      <c r="I786" s="86"/>
      <c r="J786" s="86"/>
      <c r="K786" s="86"/>
      <c r="L786" s="86"/>
      <c r="M786" s="86"/>
      <c r="N786" s="86"/>
      <c r="O786" s="86"/>
      <c r="P786" s="86"/>
      <c r="Q786" s="86"/>
      <c r="R786" s="86"/>
    </row>
    <row r="787" spans="1:18">
      <c r="A787" s="86"/>
      <c r="B787" s="86"/>
      <c r="C787" s="86"/>
      <c r="D787" s="86"/>
      <c r="E787" s="86"/>
      <c r="F787" s="86"/>
      <c r="G787" s="86"/>
      <c r="H787" s="86"/>
      <c r="I787" s="86"/>
      <c r="J787" s="86"/>
      <c r="K787" s="86"/>
      <c r="L787" s="86"/>
      <c r="M787" s="86"/>
      <c r="N787" s="86"/>
      <c r="O787" s="86"/>
      <c r="P787" s="86"/>
      <c r="Q787" s="86"/>
      <c r="R787" s="86"/>
    </row>
    <row r="788" spans="1:18">
      <c r="A788" s="86"/>
      <c r="B788" s="86"/>
      <c r="C788" s="86"/>
      <c r="D788" s="86"/>
      <c r="E788" s="86"/>
      <c r="F788" s="86"/>
      <c r="G788" s="86"/>
      <c r="H788" s="86"/>
      <c r="I788" s="86"/>
      <c r="J788" s="86"/>
      <c r="K788" s="86"/>
      <c r="L788" s="86"/>
      <c r="M788" s="86"/>
      <c r="N788" s="86"/>
      <c r="O788" s="86"/>
      <c r="P788" s="86"/>
      <c r="Q788" s="86"/>
      <c r="R788" s="86"/>
    </row>
    <row r="789" spans="1:18">
      <c r="A789" s="86"/>
      <c r="B789" s="86"/>
      <c r="C789" s="86"/>
      <c r="D789" s="86"/>
      <c r="E789" s="86"/>
      <c r="F789" s="86"/>
      <c r="G789" s="86"/>
      <c r="H789" s="86"/>
      <c r="I789" s="86"/>
      <c r="J789" s="86"/>
      <c r="K789" s="86"/>
      <c r="L789" s="86"/>
      <c r="M789" s="86"/>
      <c r="N789" s="86"/>
      <c r="O789" s="86"/>
      <c r="P789" s="86"/>
      <c r="Q789" s="86"/>
      <c r="R789" s="86"/>
    </row>
    <row r="790" spans="1:18">
      <c r="A790" s="86"/>
      <c r="B790" s="86"/>
      <c r="C790" s="86"/>
      <c r="D790" s="86"/>
      <c r="E790" s="86"/>
      <c r="F790" s="86"/>
      <c r="G790" s="86"/>
      <c r="H790" s="86"/>
      <c r="I790" s="86"/>
      <c r="J790" s="86"/>
      <c r="K790" s="86"/>
      <c r="L790" s="86"/>
      <c r="M790" s="86"/>
      <c r="N790" s="86"/>
      <c r="O790" s="86"/>
      <c r="P790" s="86"/>
      <c r="Q790" s="86"/>
      <c r="R790" s="86"/>
    </row>
    <row r="791" spans="1:18">
      <c r="A791" s="86"/>
      <c r="B791" s="86"/>
      <c r="C791" s="86"/>
      <c r="D791" s="86"/>
      <c r="E791" s="86"/>
      <c r="F791" s="86"/>
      <c r="G791" s="86"/>
      <c r="H791" s="86"/>
      <c r="I791" s="86"/>
      <c r="J791" s="86"/>
      <c r="K791" s="86"/>
      <c r="L791" s="86"/>
      <c r="M791" s="86"/>
      <c r="N791" s="86"/>
      <c r="O791" s="86"/>
      <c r="P791" s="86"/>
      <c r="Q791" s="86"/>
      <c r="R791" s="86"/>
    </row>
    <row r="792" spans="1:18">
      <c r="A792" s="86"/>
      <c r="B792" s="86"/>
      <c r="C792" s="86"/>
      <c r="D792" s="86"/>
      <c r="E792" s="86"/>
      <c r="F792" s="86"/>
      <c r="G792" s="86"/>
      <c r="H792" s="86"/>
      <c r="I792" s="86"/>
      <c r="J792" s="86"/>
      <c r="K792" s="86"/>
      <c r="L792" s="86"/>
      <c r="M792" s="86"/>
      <c r="N792" s="86"/>
      <c r="O792" s="86"/>
      <c r="P792" s="86"/>
      <c r="Q792" s="86"/>
      <c r="R792" s="86"/>
    </row>
    <row r="793" spans="1:18">
      <c r="A793" s="86"/>
      <c r="B793" s="86"/>
      <c r="C793" s="86"/>
      <c r="D793" s="86"/>
      <c r="E793" s="86"/>
      <c r="F793" s="86"/>
      <c r="G793" s="86"/>
      <c r="H793" s="86"/>
      <c r="I793" s="86"/>
      <c r="J793" s="86"/>
      <c r="K793" s="86"/>
      <c r="L793" s="86"/>
      <c r="M793" s="86"/>
      <c r="N793" s="86"/>
      <c r="O793" s="86"/>
      <c r="P793" s="86"/>
      <c r="Q793" s="86"/>
      <c r="R793" s="86"/>
    </row>
    <row r="794" spans="1:18">
      <c r="A794" s="86"/>
      <c r="B794" s="86"/>
      <c r="C794" s="86"/>
      <c r="D794" s="86"/>
      <c r="E794" s="86"/>
      <c r="F794" s="86"/>
      <c r="G794" s="86"/>
      <c r="H794" s="86"/>
      <c r="I794" s="86"/>
      <c r="J794" s="86"/>
      <c r="K794" s="86"/>
      <c r="L794" s="86"/>
      <c r="M794" s="86"/>
      <c r="N794" s="86"/>
      <c r="O794" s="86"/>
      <c r="P794" s="86"/>
      <c r="Q794" s="86"/>
      <c r="R794" s="86"/>
    </row>
    <row r="795" spans="1:18">
      <c r="A795" s="86"/>
      <c r="B795" s="86"/>
      <c r="C795" s="86"/>
      <c r="D795" s="86"/>
      <c r="E795" s="86"/>
      <c r="F795" s="86"/>
      <c r="G795" s="86"/>
      <c r="H795" s="86"/>
      <c r="I795" s="86"/>
      <c r="J795" s="86"/>
      <c r="K795" s="86"/>
      <c r="L795" s="86"/>
      <c r="M795" s="86"/>
      <c r="N795" s="86"/>
      <c r="O795" s="86"/>
      <c r="P795" s="86"/>
      <c r="Q795" s="86"/>
      <c r="R795" s="86"/>
    </row>
    <row r="796" spans="1:18">
      <c r="A796" s="86"/>
      <c r="B796" s="86"/>
      <c r="C796" s="86"/>
      <c r="D796" s="86"/>
      <c r="E796" s="86"/>
      <c r="F796" s="86"/>
      <c r="G796" s="86"/>
      <c r="H796" s="86"/>
      <c r="I796" s="86"/>
      <c r="J796" s="86"/>
      <c r="K796" s="86"/>
      <c r="L796" s="86"/>
      <c r="M796" s="86"/>
      <c r="N796" s="86"/>
      <c r="O796" s="86"/>
      <c r="P796" s="86"/>
      <c r="Q796" s="86"/>
      <c r="R796" s="86"/>
    </row>
    <row r="797" spans="1:18">
      <c r="A797" s="86"/>
      <c r="B797" s="86"/>
      <c r="C797" s="86"/>
      <c r="D797" s="86"/>
      <c r="E797" s="86"/>
      <c r="F797" s="86"/>
      <c r="G797" s="86"/>
      <c r="H797" s="86"/>
      <c r="I797" s="86"/>
      <c r="J797" s="86"/>
      <c r="K797" s="86"/>
      <c r="L797" s="86"/>
      <c r="M797" s="86"/>
      <c r="N797" s="86"/>
      <c r="O797" s="86"/>
      <c r="P797" s="86"/>
      <c r="Q797" s="86"/>
      <c r="R797" s="86"/>
    </row>
    <row r="798" spans="1:18">
      <c r="A798" s="86"/>
      <c r="B798" s="86"/>
      <c r="C798" s="86"/>
      <c r="D798" s="86"/>
      <c r="E798" s="86"/>
      <c r="F798" s="86"/>
      <c r="G798" s="86"/>
      <c r="H798" s="86"/>
      <c r="I798" s="86"/>
      <c r="J798" s="86"/>
      <c r="K798" s="86"/>
      <c r="L798" s="86"/>
      <c r="M798" s="86"/>
      <c r="N798" s="86"/>
      <c r="O798" s="86"/>
      <c r="P798" s="86"/>
      <c r="Q798" s="86"/>
      <c r="R798" s="86"/>
    </row>
    <row r="799" spans="1:18">
      <c r="A799" s="86"/>
      <c r="B799" s="86"/>
      <c r="C799" s="86"/>
      <c r="D799" s="86"/>
      <c r="E799" s="86"/>
      <c r="F799" s="86"/>
      <c r="G799" s="86"/>
      <c r="H799" s="86"/>
      <c r="I799" s="86"/>
      <c r="J799" s="86"/>
      <c r="K799" s="86"/>
      <c r="L799" s="86"/>
      <c r="M799" s="86"/>
      <c r="N799" s="86"/>
      <c r="O799" s="86"/>
      <c r="P799" s="86"/>
      <c r="Q799" s="86"/>
      <c r="R799" s="86"/>
    </row>
    <row r="800" spans="1:18">
      <c r="A800" s="86"/>
      <c r="B800" s="86"/>
      <c r="C800" s="86"/>
      <c r="D800" s="86"/>
      <c r="E800" s="86"/>
      <c r="F800" s="86"/>
      <c r="G800" s="86"/>
      <c r="H800" s="86"/>
      <c r="I800" s="86"/>
      <c r="J800" s="86"/>
      <c r="K800" s="86"/>
      <c r="L800" s="86"/>
      <c r="M800" s="86"/>
      <c r="N800" s="86"/>
      <c r="O800" s="86"/>
      <c r="P800" s="86"/>
      <c r="Q800" s="86"/>
      <c r="R800" s="86"/>
    </row>
    <row r="801" spans="1:18">
      <c r="A801" s="86"/>
      <c r="B801" s="86"/>
      <c r="C801" s="86"/>
      <c r="D801" s="86"/>
      <c r="E801" s="86"/>
      <c r="F801" s="86"/>
      <c r="G801" s="86"/>
      <c r="H801" s="86"/>
      <c r="I801" s="86"/>
      <c r="J801" s="86"/>
      <c r="K801" s="86"/>
      <c r="L801" s="86"/>
      <c r="M801" s="86"/>
      <c r="N801" s="86"/>
      <c r="O801" s="86"/>
      <c r="P801" s="86"/>
      <c r="Q801" s="86"/>
      <c r="R801" s="86"/>
    </row>
    <row r="802" spans="1:18">
      <c r="A802" s="86"/>
      <c r="B802" s="86"/>
      <c r="C802" s="86"/>
      <c r="D802" s="86"/>
      <c r="E802" s="86"/>
      <c r="F802" s="86"/>
      <c r="G802" s="86"/>
      <c r="H802" s="86"/>
      <c r="I802" s="86"/>
      <c r="J802" s="86"/>
      <c r="K802" s="86"/>
      <c r="L802" s="86"/>
      <c r="M802" s="86"/>
      <c r="N802" s="86"/>
      <c r="O802" s="86"/>
      <c r="P802" s="86"/>
      <c r="Q802" s="86"/>
      <c r="R802" s="86"/>
    </row>
    <row r="803" spans="1:18">
      <c r="A803" s="86"/>
      <c r="B803" s="86"/>
      <c r="C803" s="86"/>
      <c r="D803" s="86"/>
      <c r="E803" s="86"/>
      <c r="F803" s="86"/>
      <c r="G803" s="86"/>
      <c r="H803" s="86"/>
      <c r="I803" s="86"/>
      <c r="J803" s="86"/>
      <c r="K803" s="86"/>
      <c r="L803" s="86"/>
      <c r="M803" s="86"/>
      <c r="N803" s="86"/>
      <c r="O803" s="86"/>
      <c r="P803" s="86"/>
      <c r="Q803" s="86"/>
      <c r="R803" s="86"/>
    </row>
    <row r="804" spans="1:18">
      <c r="A804" s="86"/>
      <c r="B804" s="86"/>
      <c r="C804" s="86"/>
      <c r="D804" s="86"/>
      <c r="E804" s="86"/>
      <c r="F804" s="86"/>
      <c r="G804" s="86"/>
      <c r="H804" s="86"/>
      <c r="I804" s="86"/>
      <c r="J804" s="86"/>
      <c r="K804" s="86"/>
      <c r="L804" s="86"/>
      <c r="M804" s="86"/>
      <c r="N804" s="86"/>
      <c r="O804" s="86"/>
      <c r="P804" s="86"/>
      <c r="Q804" s="86"/>
      <c r="R804" s="86"/>
    </row>
    <row r="805" spans="1:18">
      <c r="A805" s="86"/>
      <c r="B805" s="86"/>
      <c r="C805" s="86"/>
      <c r="D805" s="86"/>
      <c r="E805" s="86"/>
      <c r="F805" s="86"/>
      <c r="G805" s="86"/>
      <c r="H805" s="86"/>
      <c r="I805" s="86"/>
      <c r="J805" s="86"/>
      <c r="K805" s="86"/>
      <c r="L805" s="86"/>
      <c r="M805" s="86"/>
      <c r="N805" s="86"/>
      <c r="O805" s="86"/>
      <c r="P805" s="86"/>
      <c r="Q805" s="86"/>
      <c r="R805" s="86"/>
    </row>
    <row r="806" spans="1:18">
      <c r="A806" s="86"/>
      <c r="B806" s="86"/>
      <c r="C806" s="86"/>
      <c r="D806" s="86"/>
      <c r="E806" s="86"/>
      <c r="F806" s="86"/>
      <c r="G806" s="86"/>
      <c r="H806" s="86"/>
      <c r="I806" s="86"/>
      <c r="J806" s="86"/>
      <c r="K806" s="86"/>
      <c r="L806" s="86"/>
      <c r="M806" s="86"/>
      <c r="N806" s="86"/>
      <c r="O806" s="86"/>
      <c r="P806" s="86"/>
      <c r="Q806" s="86"/>
      <c r="R806" s="86"/>
    </row>
    <row r="807" spans="1:18">
      <c r="A807" s="86"/>
      <c r="B807" s="86"/>
      <c r="C807" s="86"/>
      <c r="D807" s="86"/>
      <c r="E807" s="86"/>
      <c r="F807" s="86"/>
      <c r="G807" s="86"/>
      <c r="H807" s="86"/>
      <c r="I807" s="86"/>
      <c r="J807" s="86"/>
      <c r="K807" s="86"/>
      <c r="L807" s="86"/>
      <c r="M807" s="86"/>
      <c r="N807" s="86"/>
      <c r="O807" s="86"/>
      <c r="P807" s="86"/>
      <c r="Q807" s="86"/>
      <c r="R807" s="86"/>
    </row>
    <row r="808" spans="1:18">
      <c r="A808" s="86"/>
      <c r="B808" s="86"/>
      <c r="C808" s="86"/>
      <c r="D808" s="86"/>
      <c r="E808" s="86"/>
      <c r="F808" s="86"/>
      <c r="G808" s="86"/>
      <c r="H808" s="86"/>
      <c r="I808" s="86"/>
      <c r="J808" s="86"/>
      <c r="K808" s="86"/>
      <c r="L808" s="86"/>
      <c r="M808" s="86"/>
      <c r="N808" s="86"/>
      <c r="O808" s="86"/>
      <c r="P808" s="86"/>
      <c r="Q808" s="86"/>
      <c r="R808" s="86"/>
    </row>
    <row r="809" spans="1:18">
      <c r="A809" s="86"/>
      <c r="B809" s="86"/>
      <c r="C809" s="86"/>
      <c r="D809" s="86"/>
      <c r="E809" s="86"/>
      <c r="F809" s="86"/>
      <c r="G809" s="86"/>
      <c r="H809" s="86"/>
      <c r="I809" s="86"/>
      <c r="J809" s="86"/>
      <c r="K809" s="86"/>
      <c r="L809" s="86"/>
      <c r="M809" s="86"/>
      <c r="N809" s="86"/>
      <c r="O809" s="86"/>
      <c r="P809" s="86"/>
      <c r="Q809" s="86"/>
      <c r="R809" s="86"/>
    </row>
    <row r="810" spans="1:18">
      <c r="A810" s="86"/>
      <c r="B810" s="86"/>
      <c r="C810" s="86"/>
      <c r="D810" s="86"/>
      <c r="E810" s="86"/>
      <c r="F810" s="86"/>
      <c r="G810" s="86"/>
      <c r="H810" s="86"/>
      <c r="I810" s="86"/>
      <c r="J810" s="86"/>
      <c r="K810" s="86"/>
      <c r="L810" s="86"/>
      <c r="M810" s="86"/>
      <c r="N810" s="86"/>
      <c r="O810" s="86"/>
      <c r="P810" s="86"/>
      <c r="Q810" s="86"/>
      <c r="R810" s="86"/>
    </row>
    <row r="811" spans="1:18">
      <c r="A811" s="86"/>
      <c r="B811" s="86"/>
      <c r="C811" s="86"/>
      <c r="D811" s="86"/>
      <c r="E811" s="86"/>
      <c r="F811" s="86"/>
      <c r="G811" s="86"/>
      <c r="H811" s="86"/>
      <c r="I811" s="86"/>
      <c r="J811" s="86"/>
      <c r="K811" s="86"/>
      <c r="L811" s="86"/>
      <c r="M811" s="86"/>
      <c r="N811" s="86"/>
      <c r="O811" s="86"/>
      <c r="P811" s="86"/>
      <c r="Q811" s="86"/>
      <c r="R811" s="86"/>
    </row>
    <row r="812" spans="1:18">
      <c r="A812" s="86"/>
      <c r="B812" s="86"/>
      <c r="C812" s="86"/>
      <c r="D812" s="86"/>
      <c r="E812" s="86"/>
      <c r="F812" s="86"/>
      <c r="G812" s="86"/>
      <c r="H812" s="86"/>
      <c r="I812" s="86"/>
      <c r="J812" s="86"/>
      <c r="K812" s="86"/>
      <c r="L812" s="86"/>
      <c r="M812" s="86"/>
      <c r="N812" s="86"/>
      <c r="O812" s="86"/>
      <c r="P812" s="86"/>
      <c r="Q812" s="86"/>
      <c r="R812" s="86"/>
    </row>
    <row r="813" spans="1:18">
      <c r="A813" s="86"/>
      <c r="B813" s="86"/>
      <c r="C813" s="86"/>
      <c r="D813" s="86"/>
      <c r="E813" s="86"/>
      <c r="F813" s="86"/>
      <c r="G813" s="86"/>
      <c r="H813" s="86"/>
      <c r="I813" s="86"/>
      <c r="J813" s="86"/>
      <c r="K813" s="86"/>
      <c r="L813" s="86"/>
      <c r="M813" s="86"/>
      <c r="N813" s="86"/>
      <c r="O813" s="86"/>
      <c r="P813" s="86"/>
      <c r="Q813" s="86"/>
      <c r="R813" s="86"/>
    </row>
    <row r="814" spans="1:18">
      <c r="A814" s="86"/>
      <c r="B814" s="86"/>
      <c r="C814" s="86"/>
      <c r="D814" s="86"/>
      <c r="E814" s="86"/>
      <c r="F814" s="86"/>
      <c r="G814" s="86"/>
      <c r="H814" s="86"/>
      <c r="I814" s="86"/>
      <c r="J814" s="86"/>
      <c r="K814" s="86"/>
      <c r="L814" s="86"/>
      <c r="M814" s="86"/>
      <c r="N814" s="86"/>
      <c r="O814" s="86"/>
      <c r="P814" s="86"/>
      <c r="Q814" s="86"/>
      <c r="R814" s="86"/>
    </row>
    <row r="815" spans="1:18">
      <c r="A815" s="86"/>
      <c r="B815" s="86"/>
      <c r="C815" s="86"/>
      <c r="D815" s="86"/>
      <c r="E815" s="86"/>
      <c r="F815" s="86"/>
      <c r="G815" s="86"/>
      <c r="H815" s="86"/>
      <c r="I815" s="86"/>
      <c r="J815" s="86"/>
      <c r="K815" s="86"/>
      <c r="L815" s="86"/>
      <c r="M815" s="86"/>
      <c r="N815" s="86"/>
      <c r="O815" s="86"/>
      <c r="P815" s="86"/>
      <c r="Q815" s="86"/>
      <c r="R815" s="86"/>
    </row>
    <row r="816" spans="1:18">
      <c r="A816" s="86"/>
      <c r="B816" s="86"/>
      <c r="C816" s="86"/>
      <c r="D816" s="86"/>
      <c r="E816" s="86"/>
      <c r="F816" s="86"/>
      <c r="G816" s="86"/>
      <c r="H816" s="86"/>
      <c r="I816" s="86"/>
      <c r="J816" s="86"/>
      <c r="K816" s="86"/>
      <c r="L816" s="86"/>
      <c r="M816" s="86"/>
      <c r="N816" s="86"/>
      <c r="O816" s="86"/>
      <c r="P816" s="86"/>
      <c r="Q816" s="86"/>
      <c r="R816" s="86"/>
    </row>
    <row r="817" spans="1:18">
      <c r="A817" s="86"/>
      <c r="B817" s="86"/>
      <c r="C817" s="86"/>
      <c r="D817" s="86"/>
      <c r="E817" s="86"/>
      <c r="F817" s="86"/>
      <c r="G817" s="86"/>
      <c r="H817" s="86"/>
      <c r="I817" s="86"/>
      <c r="J817" s="86"/>
      <c r="K817" s="86"/>
      <c r="L817" s="86"/>
      <c r="M817" s="86"/>
      <c r="N817" s="86"/>
      <c r="O817" s="86"/>
      <c r="P817" s="86"/>
      <c r="Q817" s="86"/>
      <c r="R817" s="86"/>
    </row>
    <row r="818" spans="1:18">
      <c r="A818" s="86"/>
      <c r="B818" s="86"/>
      <c r="C818" s="86"/>
      <c r="D818" s="86"/>
      <c r="E818" s="86"/>
      <c r="F818" s="86"/>
      <c r="G818" s="86"/>
      <c r="H818" s="86"/>
      <c r="I818" s="86"/>
      <c r="J818" s="86"/>
      <c r="K818" s="86"/>
      <c r="L818" s="86"/>
      <c r="M818" s="86"/>
      <c r="N818" s="86"/>
      <c r="O818" s="86"/>
      <c r="P818" s="86"/>
      <c r="Q818" s="86"/>
      <c r="R818" s="86"/>
    </row>
    <row r="819" spans="1:18">
      <c r="A819" s="86"/>
      <c r="B819" s="86"/>
      <c r="C819" s="86"/>
      <c r="D819" s="86"/>
      <c r="E819" s="86"/>
      <c r="F819" s="86"/>
      <c r="G819" s="86"/>
      <c r="H819" s="86"/>
      <c r="I819" s="86"/>
      <c r="J819" s="86"/>
      <c r="K819" s="86"/>
      <c r="L819" s="86"/>
      <c r="M819" s="86"/>
      <c r="N819" s="86"/>
      <c r="O819" s="86"/>
      <c r="P819" s="86"/>
      <c r="Q819" s="86"/>
      <c r="R819" s="86"/>
    </row>
    <row r="820" spans="1:18">
      <c r="A820" s="86"/>
      <c r="B820" s="86"/>
      <c r="C820" s="86"/>
      <c r="D820" s="86"/>
      <c r="E820" s="86"/>
      <c r="F820" s="86"/>
      <c r="G820" s="86"/>
      <c r="H820" s="86"/>
      <c r="I820" s="86"/>
      <c r="J820" s="86"/>
      <c r="K820" s="86"/>
      <c r="L820" s="86"/>
      <c r="M820" s="86"/>
      <c r="N820" s="86"/>
      <c r="O820" s="86"/>
      <c r="P820" s="86"/>
      <c r="Q820" s="86"/>
      <c r="R820" s="86"/>
    </row>
    <row r="821" spans="1:18">
      <c r="A821" s="86"/>
      <c r="B821" s="86"/>
      <c r="C821" s="86"/>
      <c r="D821" s="86"/>
      <c r="E821" s="86"/>
      <c r="F821" s="86"/>
      <c r="G821" s="86"/>
      <c r="H821" s="86"/>
      <c r="I821" s="86"/>
      <c r="J821" s="86"/>
      <c r="K821" s="86"/>
      <c r="L821" s="86"/>
      <c r="M821" s="86"/>
      <c r="N821" s="86"/>
      <c r="O821" s="86"/>
      <c r="P821" s="86"/>
      <c r="Q821" s="86"/>
      <c r="R821" s="86"/>
    </row>
    <row r="822" spans="1:18">
      <c r="A822" s="86"/>
      <c r="B822" s="86"/>
      <c r="C822" s="86"/>
      <c r="D822" s="86"/>
      <c r="E822" s="86"/>
      <c r="F822" s="86"/>
      <c r="G822" s="86"/>
      <c r="H822" s="86"/>
      <c r="I822" s="86"/>
      <c r="J822" s="86"/>
      <c r="K822" s="86"/>
      <c r="L822" s="86"/>
      <c r="M822" s="86"/>
      <c r="N822" s="86"/>
      <c r="O822" s="86"/>
      <c r="P822" s="86"/>
      <c r="Q822" s="86"/>
      <c r="R822" s="86"/>
    </row>
    <row r="823" spans="1:18">
      <c r="A823" s="86"/>
      <c r="B823" s="86"/>
      <c r="C823" s="86"/>
      <c r="D823" s="86"/>
      <c r="E823" s="86"/>
      <c r="F823" s="86"/>
      <c r="G823" s="86"/>
      <c r="H823" s="86"/>
      <c r="I823" s="86"/>
      <c r="J823" s="86"/>
      <c r="K823" s="86"/>
      <c r="L823" s="86"/>
      <c r="M823" s="86"/>
      <c r="N823" s="86"/>
      <c r="O823" s="86"/>
      <c r="P823" s="86"/>
      <c r="Q823" s="86"/>
      <c r="R823" s="86"/>
    </row>
    <row r="824" spans="1:18">
      <c r="A824" s="86"/>
      <c r="B824" s="86"/>
      <c r="C824" s="86"/>
      <c r="D824" s="86"/>
      <c r="E824" s="86"/>
      <c r="F824" s="86"/>
      <c r="G824" s="86"/>
      <c r="H824" s="86"/>
      <c r="I824" s="86"/>
      <c r="J824" s="86"/>
      <c r="K824" s="86"/>
      <c r="L824" s="86"/>
      <c r="M824" s="86"/>
      <c r="N824" s="86"/>
      <c r="O824" s="86"/>
      <c r="P824" s="86"/>
      <c r="Q824" s="86"/>
      <c r="R824" s="86"/>
    </row>
    <row r="825" spans="1:18">
      <c r="A825" s="86"/>
      <c r="B825" s="86"/>
      <c r="C825" s="86"/>
      <c r="D825" s="86"/>
      <c r="E825" s="86"/>
      <c r="F825" s="86"/>
      <c r="G825" s="86"/>
      <c r="H825" s="86"/>
      <c r="I825" s="86"/>
      <c r="J825" s="86"/>
      <c r="K825" s="86"/>
      <c r="L825" s="86"/>
      <c r="M825" s="86"/>
      <c r="N825" s="86"/>
      <c r="O825" s="86"/>
      <c r="P825" s="86"/>
      <c r="Q825" s="86"/>
      <c r="R825" s="86"/>
    </row>
    <row r="826" spans="1:18">
      <c r="A826" s="86"/>
      <c r="B826" s="86"/>
      <c r="C826" s="86"/>
      <c r="D826" s="86"/>
      <c r="E826" s="86"/>
      <c r="F826" s="86"/>
      <c r="G826" s="86"/>
      <c r="H826" s="86"/>
      <c r="I826" s="86"/>
      <c r="J826" s="86"/>
      <c r="K826" s="86"/>
      <c r="L826" s="86"/>
      <c r="M826" s="86"/>
      <c r="N826" s="86"/>
      <c r="O826" s="86"/>
      <c r="P826" s="86"/>
      <c r="Q826" s="86"/>
      <c r="R826" s="86"/>
    </row>
    <row r="827" spans="1:18">
      <c r="A827" s="86"/>
      <c r="B827" s="86"/>
      <c r="C827" s="86"/>
      <c r="D827" s="86"/>
      <c r="E827" s="86"/>
      <c r="F827" s="86"/>
      <c r="G827" s="86"/>
      <c r="H827" s="86"/>
      <c r="I827" s="86"/>
      <c r="J827" s="86"/>
      <c r="K827" s="86"/>
      <c r="L827" s="86"/>
      <c r="M827" s="86"/>
      <c r="N827" s="86"/>
      <c r="O827" s="86"/>
      <c r="P827" s="86"/>
      <c r="Q827" s="86"/>
      <c r="R827" s="86"/>
    </row>
    <row r="828" spans="1:18">
      <c r="A828" s="86"/>
      <c r="B828" s="86"/>
      <c r="C828" s="86"/>
      <c r="D828" s="86"/>
      <c r="E828" s="86"/>
      <c r="F828" s="86"/>
      <c r="G828" s="86"/>
      <c r="H828" s="86"/>
      <c r="I828" s="86"/>
      <c r="J828" s="86"/>
      <c r="K828" s="86"/>
      <c r="L828" s="86"/>
      <c r="M828" s="86"/>
      <c r="N828" s="86"/>
      <c r="O828" s="86"/>
      <c r="P828" s="86"/>
      <c r="Q828" s="86"/>
      <c r="R828" s="86"/>
    </row>
    <row r="829" spans="1:18">
      <c r="A829" s="86"/>
      <c r="B829" s="86"/>
      <c r="C829" s="86"/>
      <c r="D829" s="86"/>
      <c r="E829" s="86"/>
      <c r="F829" s="86"/>
      <c r="G829" s="86"/>
      <c r="H829" s="86"/>
      <c r="I829" s="86"/>
      <c r="J829" s="86"/>
      <c r="K829" s="86"/>
      <c r="L829" s="86"/>
      <c r="M829" s="86"/>
      <c r="N829" s="86"/>
      <c r="O829" s="86"/>
      <c r="P829" s="86"/>
      <c r="Q829" s="86"/>
      <c r="R829" s="86"/>
    </row>
    <row r="830" spans="1:18">
      <c r="A830" s="86"/>
      <c r="B830" s="86"/>
      <c r="C830" s="86"/>
      <c r="D830" s="86"/>
      <c r="E830" s="86"/>
      <c r="F830" s="86"/>
      <c r="G830" s="86"/>
      <c r="H830" s="86"/>
      <c r="I830" s="86"/>
      <c r="J830" s="86"/>
      <c r="K830" s="86"/>
      <c r="L830" s="86"/>
      <c r="M830" s="86"/>
      <c r="N830" s="86"/>
      <c r="O830" s="86"/>
      <c r="P830" s="86"/>
      <c r="Q830" s="86"/>
      <c r="R830" s="86"/>
    </row>
    <row r="831" spans="1:18">
      <c r="A831" s="86"/>
      <c r="B831" s="86"/>
      <c r="C831" s="86"/>
      <c r="D831" s="86"/>
      <c r="E831" s="86"/>
      <c r="F831" s="86"/>
      <c r="G831" s="86"/>
      <c r="H831" s="86"/>
      <c r="I831" s="86"/>
      <c r="J831" s="86"/>
      <c r="K831" s="86"/>
      <c r="L831" s="86"/>
      <c r="M831" s="86"/>
      <c r="N831" s="86"/>
      <c r="O831" s="86"/>
      <c r="P831" s="86"/>
      <c r="Q831" s="86"/>
      <c r="R831" s="86"/>
    </row>
    <row r="832" spans="1:18">
      <c r="A832" s="86"/>
      <c r="B832" s="86"/>
      <c r="C832" s="86"/>
      <c r="D832" s="86"/>
      <c r="E832" s="86"/>
      <c r="F832" s="86"/>
      <c r="G832" s="86"/>
      <c r="H832" s="86"/>
      <c r="I832" s="86"/>
      <c r="J832" s="86"/>
      <c r="K832" s="86"/>
      <c r="L832" s="86"/>
      <c r="M832" s="86"/>
      <c r="N832" s="86"/>
      <c r="O832" s="86"/>
      <c r="P832" s="86"/>
      <c r="Q832" s="86"/>
      <c r="R832" s="86"/>
    </row>
    <row r="833" spans="1:18">
      <c r="A833" s="86"/>
      <c r="B833" s="86"/>
      <c r="C833" s="86"/>
      <c r="D833" s="86"/>
      <c r="E833" s="86"/>
      <c r="F833" s="86"/>
      <c r="G833" s="86"/>
      <c r="H833" s="86"/>
      <c r="I833" s="86"/>
      <c r="J833" s="86"/>
      <c r="K833" s="86"/>
      <c r="L833" s="86"/>
      <c r="M833" s="86"/>
      <c r="N833" s="86"/>
      <c r="O833" s="86"/>
      <c r="P833" s="86"/>
      <c r="Q833" s="86"/>
      <c r="R833" s="86"/>
    </row>
  </sheetData>
  <mergeCells count="3">
    <mergeCell ref="G68:H68"/>
    <mergeCell ref="M68:N68"/>
    <mergeCell ref="B44:F45"/>
  </mergeCells>
  <phoneticPr fontId="0" type="noConversion"/>
  <pageMargins left="0.4" right="0.4" top="0.3" bottom="0.3" header="0.5" footer="0.5"/>
  <pageSetup scale="72" orientation="portrait" r:id="rId1"/>
  <headerFooter alignWithMargins="0"/>
  <colBreaks count="1" manualBreakCount="1">
    <brk id="6"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ransitionEvaluation="1" codeName="Sheet61">
    <pageSetUpPr fitToPage="1"/>
  </sheetPr>
  <dimension ref="A1:F123"/>
  <sheetViews>
    <sheetView defaultGridColor="0" colorId="22" zoomScale="85" zoomScaleNormal="85" workbookViewId="0">
      <selection activeCell="F23" sqref="F23"/>
    </sheetView>
  </sheetViews>
  <sheetFormatPr defaultColWidth="9.77734375" defaultRowHeight="15"/>
  <cols>
    <col min="1" max="1" width="4.77734375" customWidth="1"/>
    <col min="2" max="2" width="47.77734375" customWidth="1"/>
    <col min="3" max="3" width="23.5546875" customWidth="1"/>
    <col min="4" max="4" width="14.5546875" customWidth="1"/>
    <col min="5" max="5" width="16.77734375" customWidth="1"/>
    <col min="7" max="7" width="11.21875" bestFit="1" customWidth="1"/>
    <col min="8" max="8" width="9.6640625" bestFit="1" customWidth="1"/>
  </cols>
  <sheetData>
    <row r="1" spans="1:5" ht="15.75" thickBot="1">
      <c r="A1" t="str">
        <f>'Data sheet'!A57</f>
        <v>Annual Report of Veolia Water New York, Inc.                                              Year Ended  December 31, 2023</v>
      </c>
    </row>
    <row r="2" spans="1:5">
      <c r="A2" s="80"/>
      <c r="B2" s="81"/>
      <c r="C2" s="81"/>
      <c r="D2" s="81"/>
      <c r="E2" s="82"/>
    </row>
    <row r="3" spans="1:5" ht="15.75">
      <c r="A3" s="118" t="s">
        <v>3609</v>
      </c>
      <c r="B3" s="5"/>
      <c r="C3" s="5"/>
      <c r="D3" s="5"/>
      <c r="E3" s="132"/>
    </row>
    <row r="4" spans="1:5">
      <c r="A4" s="97"/>
      <c r="B4" s="98"/>
      <c r="C4" s="98"/>
      <c r="D4" s="128"/>
      <c r="E4" s="176"/>
    </row>
    <row r="5" spans="1:5">
      <c r="A5" s="226"/>
      <c r="B5" s="86"/>
      <c r="C5" s="86"/>
      <c r="D5" s="86"/>
      <c r="E5" s="135"/>
    </row>
    <row r="6" spans="1:5">
      <c r="A6" s="237" t="s">
        <v>1727</v>
      </c>
      <c r="B6" s="4" t="s">
        <v>1121</v>
      </c>
      <c r="C6" s="5"/>
      <c r="D6" s="5"/>
      <c r="E6" s="363" t="s">
        <v>1291</v>
      </c>
    </row>
    <row r="7" spans="1:5">
      <c r="A7" s="240" t="s">
        <v>1739</v>
      </c>
      <c r="B7" s="121" t="s">
        <v>3279</v>
      </c>
      <c r="C7" s="133"/>
      <c r="D7" s="133"/>
      <c r="E7" s="367" t="s">
        <v>3280</v>
      </c>
    </row>
    <row r="8" spans="1:5">
      <c r="A8" s="187">
        <v>1</v>
      </c>
      <c r="B8" s="98" t="s">
        <v>4427</v>
      </c>
      <c r="C8" s="98"/>
      <c r="D8" s="98"/>
      <c r="E8" s="663"/>
    </row>
    <row r="9" spans="1:5">
      <c r="A9" s="187">
        <v>2</v>
      </c>
      <c r="B9" s="98" t="s">
        <v>4428</v>
      </c>
      <c r="C9" s="98"/>
      <c r="D9" s="98"/>
      <c r="E9" s="445" t="s">
        <v>218</v>
      </c>
    </row>
    <row r="10" spans="1:5">
      <c r="A10" s="226">
        <v>3</v>
      </c>
      <c r="B10" s="86" t="s">
        <v>4429</v>
      </c>
      <c r="C10" s="86"/>
      <c r="D10" s="86"/>
      <c r="E10" s="442"/>
    </row>
    <row r="11" spans="1:5">
      <c r="A11" s="187"/>
      <c r="B11" s="98" t="s">
        <v>4430</v>
      </c>
      <c r="C11" s="98"/>
      <c r="D11" s="98"/>
      <c r="E11" s="445"/>
    </row>
    <row r="12" spans="1:5">
      <c r="A12" s="226">
        <v>4</v>
      </c>
      <c r="B12" s="86" t="s">
        <v>4431</v>
      </c>
      <c r="C12" s="86"/>
      <c r="D12" s="86"/>
      <c r="E12" s="442"/>
    </row>
    <row r="13" spans="1:5">
      <c r="A13" s="226"/>
      <c r="B13" s="86" t="s">
        <v>4432</v>
      </c>
      <c r="C13" s="86"/>
      <c r="D13" s="86"/>
      <c r="E13" s="442"/>
    </row>
    <row r="14" spans="1:5">
      <c r="A14" s="187"/>
      <c r="B14" s="98" t="s">
        <v>4433</v>
      </c>
      <c r="C14" s="98"/>
      <c r="D14" s="98"/>
      <c r="E14" s="445"/>
    </row>
    <row r="15" spans="1:5">
      <c r="A15" s="226">
        <v>5</v>
      </c>
      <c r="B15" s="86" t="s">
        <v>4434</v>
      </c>
      <c r="C15" s="86"/>
      <c r="E15" s="441">
        <v>98277</v>
      </c>
    </row>
    <row r="16" spans="1:5">
      <c r="A16" s="226">
        <v>6</v>
      </c>
      <c r="B16" s="86" t="s">
        <v>4606</v>
      </c>
      <c r="C16" s="86"/>
      <c r="D16" s="86"/>
      <c r="E16" s="261">
        <v>167390</v>
      </c>
    </row>
    <row r="17" spans="1:5">
      <c r="A17" s="226">
        <v>7</v>
      </c>
      <c r="B17" s="86" t="s">
        <v>4435</v>
      </c>
      <c r="C17" s="86"/>
      <c r="D17" s="86"/>
      <c r="E17" s="261">
        <v>35929</v>
      </c>
    </row>
    <row r="18" spans="1:5">
      <c r="A18" s="226">
        <v>8</v>
      </c>
      <c r="B18" s="86" t="s">
        <v>4436</v>
      </c>
      <c r="C18" s="86"/>
      <c r="D18" s="86"/>
      <c r="E18" s="261">
        <v>79536</v>
      </c>
    </row>
    <row r="19" spans="1:5">
      <c r="A19" s="226">
        <v>9</v>
      </c>
      <c r="B19" s="86" t="s">
        <v>4437</v>
      </c>
      <c r="C19" s="86"/>
      <c r="D19" s="86"/>
      <c r="E19" s="261">
        <v>33733</v>
      </c>
    </row>
    <row r="20" spans="1:5">
      <c r="A20" s="226">
        <v>10</v>
      </c>
      <c r="B20" s="86" t="s">
        <v>4836</v>
      </c>
      <c r="C20" s="86"/>
      <c r="D20" s="86"/>
      <c r="E20" s="261">
        <v>11157</v>
      </c>
    </row>
    <row r="21" spans="1:5">
      <c r="A21" s="226">
        <v>11</v>
      </c>
      <c r="B21" s="86" t="s">
        <v>4838</v>
      </c>
      <c r="C21" s="86"/>
      <c r="D21" s="86"/>
      <c r="E21" s="261">
        <v>53092</v>
      </c>
    </row>
    <row r="22" spans="1:5">
      <c r="A22" s="226">
        <v>12</v>
      </c>
      <c r="B22" s="86" t="s">
        <v>4837</v>
      </c>
      <c r="C22" s="86"/>
      <c r="D22" s="86"/>
      <c r="E22" s="261">
        <v>-206400</v>
      </c>
    </row>
    <row r="23" spans="1:5">
      <c r="A23" s="226">
        <v>13</v>
      </c>
      <c r="B23" s="86" t="s">
        <v>5083</v>
      </c>
      <c r="C23" s="86"/>
      <c r="D23" s="86"/>
      <c r="E23" s="261">
        <v>140068</v>
      </c>
    </row>
    <row r="24" spans="1:5">
      <c r="A24" s="226">
        <v>14</v>
      </c>
      <c r="B24" s="86"/>
      <c r="C24" s="86"/>
      <c r="D24" s="86"/>
      <c r="E24" s="261"/>
    </row>
    <row r="25" spans="1:5">
      <c r="A25" s="226">
        <v>15</v>
      </c>
      <c r="B25" s="86"/>
      <c r="C25" s="86"/>
      <c r="E25" s="261"/>
    </row>
    <row r="26" spans="1:5">
      <c r="A26" s="226">
        <v>16</v>
      </c>
      <c r="B26" s="86"/>
      <c r="C26" s="86"/>
      <c r="D26" s="86"/>
      <c r="E26" s="261"/>
    </row>
    <row r="27" spans="1:5">
      <c r="A27" s="226">
        <v>17</v>
      </c>
      <c r="B27" s="86"/>
      <c r="C27" s="86"/>
      <c r="D27" s="86"/>
      <c r="E27" s="261"/>
    </row>
    <row r="28" spans="1:5">
      <c r="A28" s="226">
        <v>18</v>
      </c>
      <c r="B28" s="86"/>
      <c r="C28" s="86"/>
      <c r="D28" s="86"/>
      <c r="E28" s="261"/>
    </row>
    <row r="29" spans="1:5">
      <c r="A29" s="226">
        <v>19</v>
      </c>
      <c r="B29" s="86"/>
      <c r="C29" s="86"/>
      <c r="D29" s="86"/>
      <c r="E29" s="261"/>
    </row>
    <row r="30" spans="1:5">
      <c r="A30" s="226">
        <v>20</v>
      </c>
      <c r="B30" s="86"/>
      <c r="C30" s="86"/>
      <c r="D30" s="86"/>
      <c r="E30" s="261"/>
    </row>
    <row r="31" spans="1:5">
      <c r="A31" s="226">
        <v>21</v>
      </c>
      <c r="B31" s="86"/>
      <c r="C31" s="86"/>
      <c r="D31" s="86"/>
      <c r="E31" s="261"/>
    </row>
    <row r="32" spans="1:5">
      <c r="A32" s="226">
        <v>22</v>
      </c>
      <c r="B32" s="86"/>
      <c r="C32" s="86"/>
      <c r="D32" s="86"/>
      <c r="E32" s="261"/>
    </row>
    <row r="33" spans="1:5">
      <c r="A33" s="226">
        <v>23</v>
      </c>
      <c r="B33" s="86"/>
      <c r="C33" s="86"/>
      <c r="D33" s="86"/>
      <c r="E33" s="261"/>
    </row>
    <row r="34" spans="1:5">
      <c r="A34" s="226">
        <v>24</v>
      </c>
      <c r="B34" s="86"/>
      <c r="C34" s="86"/>
      <c r="D34" s="86"/>
      <c r="E34" s="261"/>
    </row>
    <row r="35" spans="1:5">
      <c r="A35" s="226">
        <v>25</v>
      </c>
      <c r="B35" s="86"/>
      <c r="C35" s="86"/>
      <c r="D35" s="86"/>
      <c r="E35" s="261"/>
    </row>
    <row r="36" spans="1:5">
      <c r="A36" s="226">
        <v>26</v>
      </c>
      <c r="B36" s="86"/>
      <c r="C36" s="86"/>
      <c r="D36" s="86"/>
      <c r="E36" s="261"/>
    </row>
    <row r="37" spans="1:5">
      <c r="A37" s="226">
        <v>27</v>
      </c>
      <c r="B37" s="86"/>
      <c r="C37" s="86"/>
      <c r="D37" s="86"/>
      <c r="E37" s="261"/>
    </row>
    <row r="38" spans="1:5">
      <c r="A38" s="226">
        <v>28</v>
      </c>
      <c r="B38" s="86"/>
      <c r="C38" s="86"/>
      <c r="D38" s="86"/>
      <c r="E38" s="261"/>
    </row>
    <row r="39" spans="1:5">
      <c r="A39" s="226">
        <v>29</v>
      </c>
      <c r="B39" s="86"/>
      <c r="C39" s="86"/>
      <c r="D39" s="86"/>
      <c r="E39" s="261"/>
    </row>
    <row r="40" spans="1:5">
      <c r="A40" s="226">
        <v>30</v>
      </c>
      <c r="B40" s="86"/>
      <c r="C40" s="86"/>
      <c r="D40" s="86"/>
      <c r="E40" s="261"/>
    </row>
    <row r="41" spans="1:5">
      <c r="A41" s="226">
        <v>31</v>
      </c>
      <c r="B41" s="86"/>
      <c r="C41" s="86"/>
      <c r="D41" s="86"/>
      <c r="E41" s="261"/>
    </row>
    <row r="42" spans="1:5">
      <c r="A42" s="226">
        <v>32</v>
      </c>
      <c r="B42" s="86"/>
      <c r="C42" s="86"/>
      <c r="D42" s="86"/>
      <c r="E42" s="640"/>
    </row>
    <row r="43" spans="1:5">
      <c r="A43" s="226">
        <v>33</v>
      </c>
      <c r="B43" s="86"/>
      <c r="C43" s="86"/>
      <c r="D43" s="86"/>
      <c r="E43" s="640"/>
    </row>
    <row r="44" spans="1:5">
      <c r="A44" s="226">
        <v>34</v>
      </c>
      <c r="B44" s="86"/>
      <c r="C44" s="86"/>
      <c r="D44" s="86"/>
      <c r="E44" s="640"/>
    </row>
    <row r="45" spans="1:5">
      <c r="A45" s="226">
        <v>35</v>
      </c>
      <c r="B45" s="86"/>
      <c r="C45" s="86"/>
      <c r="D45" s="86"/>
      <c r="E45" s="640"/>
    </row>
    <row r="46" spans="1:5">
      <c r="A46" s="226">
        <v>36</v>
      </c>
      <c r="B46" s="86"/>
      <c r="C46" s="86"/>
      <c r="D46" s="86"/>
      <c r="E46" s="640"/>
    </row>
    <row r="47" spans="1:5">
      <c r="A47" s="226">
        <v>37</v>
      </c>
      <c r="B47" s="86"/>
      <c r="C47" s="86"/>
      <c r="D47" s="86"/>
      <c r="E47" s="640"/>
    </row>
    <row r="48" spans="1:5">
      <c r="A48" s="226">
        <v>38</v>
      </c>
      <c r="B48" s="86"/>
      <c r="C48" s="86"/>
      <c r="D48" s="86"/>
      <c r="E48" s="640"/>
    </row>
    <row r="49" spans="1:6">
      <c r="A49" s="226">
        <v>39</v>
      </c>
      <c r="B49" s="86"/>
      <c r="C49" s="86"/>
      <c r="D49" s="86"/>
      <c r="E49" s="640"/>
    </row>
    <row r="50" spans="1:6">
      <c r="A50" s="226">
        <v>40</v>
      </c>
      <c r="B50" s="86"/>
      <c r="C50" s="86"/>
      <c r="D50" s="86"/>
      <c r="E50" s="640"/>
    </row>
    <row r="51" spans="1:6">
      <c r="A51" s="226">
        <v>41</v>
      </c>
      <c r="B51" s="86"/>
      <c r="C51" s="86"/>
      <c r="E51" s="640"/>
    </row>
    <row r="52" spans="1:6">
      <c r="A52" s="226">
        <v>42</v>
      </c>
      <c r="B52" s="86"/>
      <c r="C52" s="86"/>
      <c r="D52" s="86"/>
      <c r="E52" s="640"/>
    </row>
    <row r="53" spans="1:6">
      <c r="A53" s="226">
        <v>43</v>
      </c>
      <c r="B53" s="86"/>
      <c r="C53" s="86"/>
      <c r="D53" s="86"/>
      <c r="E53" s="640"/>
    </row>
    <row r="54" spans="1:6">
      <c r="A54" s="226">
        <v>44</v>
      </c>
      <c r="B54" s="86"/>
      <c r="C54" s="86"/>
      <c r="D54" s="86"/>
      <c r="E54" s="640"/>
    </row>
    <row r="55" spans="1:6">
      <c r="A55" s="226">
        <v>45</v>
      </c>
      <c r="B55" s="86"/>
      <c r="C55" s="86"/>
      <c r="D55" s="86"/>
      <c r="E55" s="640"/>
    </row>
    <row r="56" spans="1:6">
      <c r="A56" s="226">
        <v>46</v>
      </c>
      <c r="B56" s="86"/>
      <c r="C56" s="86"/>
      <c r="D56" s="86"/>
      <c r="E56" s="640"/>
    </row>
    <row r="57" spans="1:6">
      <c r="A57" s="226">
        <v>47</v>
      </c>
      <c r="B57" s="86"/>
      <c r="C57" s="86"/>
      <c r="D57" s="86"/>
      <c r="E57" s="640"/>
    </row>
    <row r="58" spans="1:6">
      <c r="A58" s="226">
        <v>48</v>
      </c>
      <c r="B58" s="86"/>
      <c r="C58" s="86"/>
      <c r="D58" s="86"/>
      <c r="E58" s="640"/>
    </row>
    <row r="59" spans="1:6" ht="15.75" thickBot="1">
      <c r="A59" s="609">
        <v>49</v>
      </c>
      <c r="B59" s="113" t="s">
        <v>4232</v>
      </c>
      <c r="C59" s="113"/>
      <c r="D59" s="125"/>
      <c r="E59" s="401">
        <f>SUM(E8:E58)</f>
        <v>412782</v>
      </c>
      <c r="F59" t="str">
        <f>IF(E59='307309'!D150,"ok","error")</f>
        <v>ok</v>
      </c>
    </row>
    <row r="60" spans="1:6">
      <c r="A60" s="86" t="s">
        <v>2024</v>
      </c>
      <c r="B60" s="4"/>
      <c r="D60" s="86"/>
      <c r="E60" s="86"/>
    </row>
    <row r="61" spans="1:6">
      <c r="A61" s="5" t="s">
        <v>3842</v>
      </c>
      <c r="B61" s="4"/>
      <c r="C61" s="5"/>
      <c r="D61" s="5"/>
      <c r="E61" s="5"/>
    </row>
    <row r="62" spans="1:6">
      <c r="A62" s="86"/>
      <c r="B62" s="4"/>
      <c r="C62" s="5"/>
      <c r="D62" s="86"/>
      <c r="E62" s="5"/>
    </row>
    <row r="63" spans="1:6">
      <c r="E63" s="5"/>
    </row>
    <row r="64" spans="1:6" ht="15.75">
      <c r="B64" s="233" t="s">
        <v>3080</v>
      </c>
    </row>
    <row r="67" spans="1:5" ht="15.75" thickBot="1">
      <c r="A67" s="432"/>
    </row>
    <row r="68" spans="1:5">
      <c r="A68" s="129"/>
      <c r="B68" s="130"/>
      <c r="C68" s="130"/>
      <c r="D68" s="130"/>
      <c r="E68" s="131"/>
    </row>
    <row r="69" spans="1:5" ht="15.75">
      <c r="A69" s="118" t="s">
        <v>3609</v>
      </c>
      <c r="B69" s="5"/>
      <c r="C69" s="5"/>
      <c r="D69" s="5"/>
      <c r="E69" s="132"/>
    </row>
    <row r="70" spans="1:5">
      <c r="A70" s="85"/>
      <c r="B70" s="86"/>
      <c r="C70" s="86"/>
      <c r="D70" s="86"/>
      <c r="E70" s="87"/>
    </row>
    <row r="71" spans="1:5">
      <c r="A71" s="480" t="s">
        <v>1727</v>
      </c>
      <c r="B71" s="322" t="s">
        <v>1121</v>
      </c>
      <c r="C71" s="630"/>
      <c r="D71" s="630"/>
      <c r="E71" s="593" t="s">
        <v>1291</v>
      </c>
    </row>
    <row r="72" spans="1:5">
      <c r="A72" s="240" t="s">
        <v>1739</v>
      </c>
      <c r="B72" s="121" t="s">
        <v>3279</v>
      </c>
      <c r="C72" s="133"/>
      <c r="D72" s="133"/>
      <c r="E72" s="367" t="s">
        <v>3280</v>
      </c>
    </row>
    <row r="73" spans="1:5">
      <c r="A73" s="237">
        <v>1</v>
      </c>
      <c r="B73" s="86"/>
      <c r="C73" s="86"/>
      <c r="D73" s="86"/>
      <c r="E73" s="442"/>
    </row>
    <row r="74" spans="1:5">
      <c r="A74" s="237">
        <v>2</v>
      </c>
      <c r="B74" s="86"/>
      <c r="C74" s="86"/>
      <c r="D74" s="86"/>
      <c r="E74" s="442"/>
    </row>
    <row r="75" spans="1:5">
      <c r="A75" s="237">
        <v>3</v>
      </c>
      <c r="B75" s="86"/>
      <c r="C75" s="86"/>
      <c r="D75" s="86"/>
      <c r="E75" s="442"/>
    </row>
    <row r="76" spans="1:5">
      <c r="A76" s="237">
        <v>4</v>
      </c>
      <c r="B76" s="86"/>
      <c r="C76" s="86"/>
      <c r="D76" s="86"/>
      <c r="E76" s="442"/>
    </row>
    <row r="77" spans="1:5">
      <c r="A77" s="237">
        <v>5</v>
      </c>
      <c r="B77" s="432"/>
      <c r="C77" s="432"/>
      <c r="D77" s="432"/>
      <c r="E77" s="442"/>
    </row>
    <row r="78" spans="1:5">
      <c r="A78" s="237">
        <v>6</v>
      </c>
      <c r="B78" s="86"/>
      <c r="C78" s="86"/>
      <c r="D78" s="86"/>
      <c r="E78" s="442"/>
    </row>
    <row r="79" spans="1:5">
      <c r="A79" s="237">
        <v>7</v>
      </c>
      <c r="B79" s="86"/>
      <c r="C79" s="86"/>
      <c r="D79" s="86"/>
      <c r="E79" s="442"/>
    </row>
    <row r="80" spans="1:5">
      <c r="A80" s="237">
        <v>8</v>
      </c>
      <c r="B80" s="86"/>
      <c r="C80" s="86"/>
      <c r="D80" s="86"/>
      <c r="E80" s="442"/>
    </row>
    <row r="81" spans="1:5">
      <c r="A81" s="237">
        <v>9</v>
      </c>
      <c r="B81" s="86"/>
      <c r="C81" s="86"/>
      <c r="E81" s="442"/>
    </row>
    <row r="82" spans="1:5">
      <c r="A82" s="237">
        <v>10</v>
      </c>
      <c r="B82" s="86"/>
      <c r="C82" s="86"/>
      <c r="D82" s="86"/>
      <c r="E82" s="640"/>
    </row>
    <row r="83" spans="1:5">
      <c r="A83" s="237">
        <v>11</v>
      </c>
      <c r="B83" s="86"/>
      <c r="C83" s="86"/>
      <c r="D83" s="86"/>
      <c r="E83" s="640"/>
    </row>
    <row r="84" spans="1:5">
      <c r="A84" s="237">
        <v>12</v>
      </c>
      <c r="B84" s="86"/>
      <c r="C84" s="86"/>
      <c r="D84" s="86"/>
      <c r="E84" s="640"/>
    </row>
    <row r="85" spans="1:5">
      <c r="A85" s="237">
        <v>13</v>
      </c>
      <c r="B85" s="86"/>
      <c r="C85" s="86"/>
      <c r="D85" s="86"/>
      <c r="E85" s="640"/>
    </row>
    <row r="86" spans="1:5">
      <c r="A86" s="237">
        <v>14</v>
      </c>
      <c r="B86" s="86"/>
      <c r="C86" s="86"/>
      <c r="D86" s="86"/>
      <c r="E86" s="640"/>
    </row>
    <row r="87" spans="1:5">
      <c r="A87" s="237">
        <v>15</v>
      </c>
      <c r="B87" s="86"/>
      <c r="C87" s="86"/>
      <c r="D87" s="86"/>
      <c r="E87" s="640"/>
    </row>
    <row r="88" spans="1:5">
      <c r="A88" s="237">
        <v>16</v>
      </c>
      <c r="B88" s="86"/>
      <c r="C88" s="86"/>
      <c r="D88" s="86"/>
      <c r="E88" s="640"/>
    </row>
    <row r="89" spans="1:5">
      <c r="A89" s="237">
        <v>17</v>
      </c>
      <c r="B89" s="86"/>
      <c r="C89" s="86"/>
      <c r="D89" s="86"/>
      <c r="E89" s="640"/>
    </row>
    <row r="90" spans="1:5">
      <c r="A90" s="237">
        <v>18</v>
      </c>
      <c r="B90" s="86"/>
      <c r="C90" s="86"/>
      <c r="D90" s="86"/>
      <c r="E90" s="640"/>
    </row>
    <row r="91" spans="1:5">
      <c r="A91" s="237">
        <v>19</v>
      </c>
      <c r="B91" s="86"/>
      <c r="C91" s="86"/>
      <c r="D91" s="86"/>
      <c r="E91" s="640"/>
    </row>
    <row r="92" spans="1:5">
      <c r="A92" s="237">
        <v>20</v>
      </c>
      <c r="B92" s="86"/>
      <c r="C92" s="86"/>
      <c r="D92" s="86"/>
      <c r="E92" s="640"/>
    </row>
    <row r="93" spans="1:5">
      <c r="A93" s="237">
        <v>21</v>
      </c>
      <c r="B93" s="86"/>
      <c r="C93" s="86"/>
      <c r="D93" s="86"/>
      <c r="E93" s="640"/>
    </row>
    <row r="94" spans="1:5">
      <c r="A94" s="237">
        <v>22</v>
      </c>
      <c r="B94" s="86"/>
      <c r="C94" s="86"/>
      <c r="E94" s="640"/>
    </row>
    <row r="95" spans="1:5">
      <c r="A95" s="237">
        <v>23</v>
      </c>
      <c r="B95" s="86"/>
      <c r="C95" s="86"/>
      <c r="E95" s="640"/>
    </row>
    <row r="96" spans="1:5">
      <c r="A96" s="237">
        <v>24</v>
      </c>
      <c r="B96" s="86"/>
      <c r="C96" s="86"/>
      <c r="D96" s="86"/>
      <c r="E96" s="640"/>
    </row>
    <row r="97" spans="1:5">
      <c r="A97" s="237">
        <v>25</v>
      </c>
      <c r="B97" s="86"/>
      <c r="C97" s="86"/>
      <c r="D97" s="86"/>
      <c r="E97" s="640"/>
    </row>
    <row r="98" spans="1:5">
      <c r="A98" s="237">
        <v>26</v>
      </c>
      <c r="B98" s="86"/>
      <c r="C98" s="86"/>
      <c r="D98" s="86"/>
      <c r="E98" s="640"/>
    </row>
    <row r="99" spans="1:5">
      <c r="A99" s="237">
        <v>27</v>
      </c>
      <c r="B99" s="86"/>
      <c r="C99" s="86"/>
      <c r="D99" s="86"/>
      <c r="E99" s="640"/>
    </row>
    <row r="100" spans="1:5">
      <c r="A100" s="237">
        <v>28</v>
      </c>
      <c r="B100" s="86"/>
      <c r="C100" s="86"/>
      <c r="D100" s="86"/>
      <c r="E100" s="640"/>
    </row>
    <row r="101" spans="1:5">
      <c r="A101" s="237">
        <v>29</v>
      </c>
      <c r="B101" s="86"/>
      <c r="C101" s="86"/>
      <c r="D101" s="86"/>
      <c r="E101" s="640"/>
    </row>
    <row r="102" spans="1:5">
      <c r="A102" s="237">
        <v>30</v>
      </c>
      <c r="B102" s="86"/>
      <c r="C102" s="86"/>
      <c r="D102" s="86"/>
      <c r="E102" s="640"/>
    </row>
    <row r="103" spans="1:5">
      <c r="A103" s="237">
        <v>31</v>
      </c>
      <c r="B103" s="86"/>
      <c r="C103" s="86"/>
      <c r="D103" s="86"/>
      <c r="E103" s="640"/>
    </row>
    <row r="104" spans="1:5">
      <c r="A104" s="237">
        <v>32</v>
      </c>
      <c r="B104" s="86"/>
      <c r="C104" s="86"/>
      <c r="D104" s="86"/>
      <c r="E104" s="640"/>
    </row>
    <row r="105" spans="1:5">
      <c r="A105" s="237">
        <v>33</v>
      </c>
      <c r="B105" s="86"/>
      <c r="C105" s="86"/>
      <c r="D105" s="86"/>
      <c r="E105" s="640"/>
    </row>
    <row r="106" spans="1:5">
      <c r="A106" s="237">
        <v>34</v>
      </c>
      <c r="B106" s="86"/>
      <c r="C106" s="86"/>
      <c r="D106" s="86"/>
      <c r="E106" s="640"/>
    </row>
    <row r="107" spans="1:5">
      <c r="A107" s="237">
        <v>35</v>
      </c>
      <c r="B107" s="86"/>
      <c r="C107" s="86"/>
      <c r="E107" s="640"/>
    </row>
    <row r="108" spans="1:5">
      <c r="A108" s="237">
        <v>36</v>
      </c>
      <c r="B108" s="86"/>
      <c r="C108" s="86"/>
      <c r="D108" s="86"/>
      <c r="E108" s="640"/>
    </row>
    <row r="109" spans="1:5">
      <c r="A109" s="237">
        <v>37</v>
      </c>
      <c r="B109" s="86"/>
      <c r="C109" s="86"/>
      <c r="D109" s="86"/>
      <c r="E109" s="640"/>
    </row>
    <row r="110" spans="1:5">
      <c r="A110" s="237">
        <v>38</v>
      </c>
      <c r="B110" s="86"/>
      <c r="C110" s="86"/>
      <c r="D110" s="86"/>
      <c r="E110" s="640"/>
    </row>
    <row r="111" spans="1:5">
      <c r="A111" s="237">
        <v>39</v>
      </c>
      <c r="B111" s="86"/>
      <c r="C111" s="86"/>
      <c r="D111" s="86"/>
      <c r="E111" s="640"/>
    </row>
    <row r="112" spans="1:5">
      <c r="A112" s="237">
        <v>40</v>
      </c>
      <c r="B112" s="86"/>
      <c r="C112" s="86"/>
      <c r="D112" s="86"/>
      <c r="E112" s="640"/>
    </row>
    <row r="113" spans="1:5">
      <c r="A113" s="237">
        <v>41</v>
      </c>
      <c r="B113" s="86"/>
      <c r="C113" s="86"/>
      <c r="D113" s="86"/>
      <c r="E113" s="640"/>
    </row>
    <row r="114" spans="1:5">
      <c r="A114" s="237">
        <v>42</v>
      </c>
      <c r="B114" s="86"/>
      <c r="C114" s="86"/>
      <c r="D114" s="86"/>
      <c r="E114" s="640"/>
    </row>
    <row r="115" spans="1:5">
      <c r="A115" s="237">
        <v>43</v>
      </c>
      <c r="B115" s="86"/>
      <c r="C115" s="86"/>
      <c r="D115" s="86"/>
      <c r="E115" s="640"/>
    </row>
    <row r="116" spans="1:5">
      <c r="A116" s="237">
        <v>44</v>
      </c>
      <c r="B116" s="86"/>
      <c r="C116" s="86"/>
      <c r="D116" s="86"/>
      <c r="E116" s="640"/>
    </row>
    <row r="117" spans="1:5">
      <c r="A117" s="237">
        <v>45</v>
      </c>
      <c r="B117" s="86"/>
      <c r="C117" s="86"/>
      <c r="D117" s="86"/>
      <c r="E117" s="640"/>
    </row>
    <row r="118" spans="1:5">
      <c r="A118" s="237">
        <v>46</v>
      </c>
      <c r="B118" s="86"/>
      <c r="C118" s="86"/>
      <c r="D118" s="86"/>
      <c r="E118" s="640"/>
    </row>
    <row r="119" spans="1:5">
      <c r="A119" s="237">
        <v>47</v>
      </c>
      <c r="B119" s="86"/>
      <c r="C119" s="86"/>
      <c r="D119" s="86"/>
      <c r="E119" s="640"/>
    </row>
    <row r="120" spans="1:5">
      <c r="A120" s="237">
        <v>48</v>
      </c>
      <c r="B120" s="86"/>
      <c r="C120" s="86"/>
      <c r="E120" s="442"/>
    </row>
    <row r="121" spans="1:5" ht="15.75" thickBot="1">
      <c r="A121" s="443">
        <v>49</v>
      </c>
      <c r="B121" s="113"/>
      <c r="C121" s="113"/>
      <c r="D121" s="113"/>
      <c r="E121" s="780"/>
    </row>
    <row r="122" spans="1:5">
      <c r="A122" s="86" t="s">
        <v>2024</v>
      </c>
      <c r="B122" s="4"/>
      <c r="C122" s="5"/>
      <c r="D122" s="86"/>
      <c r="E122" s="86"/>
    </row>
    <row r="123" spans="1:5">
      <c r="A123" s="5" t="s">
        <v>620</v>
      </c>
      <c r="B123" s="4"/>
      <c r="C123" s="4"/>
      <c r="D123" s="4"/>
      <c r="E123" s="4"/>
    </row>
  </sheetData>
  <phoneticPr fontId="0" type="noConversion"/>
  <pageMargins left="0.4" right="0.4" top="0.3" bottom="0.3" header="0.5" footer="0.5"/>
  <pageSetup scale="76" fitToHeight="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ransitionEvaluation="1" codeName="Sheet62"/>
  <dimension ref="A1:F182"/>
  <sheetViews>
    <sheetView defaultGridColor="0" colorId="22" zoomScaleNormal="100" workbookViewId="0">
      <pane xSplit="1" ySplit="16" topLeftCell="B17" activePane="bottomRight" state="frozen"/>
      <selection activeCell="R36" sqref="R36"/>
      <selection pane="topRight" activeCell="R36" sqref="R36"/>
      <selection pane="bottomLeft" activeCell="R36" sqref="R36"/>
      <selection pane="bottomRight" activeCell="F23" sqref="F23"/>
    </sheetView>
  </sheetViews>
  <sheetFormatPr defaultColWidth="9.77734375" defaultRowHeight="15"/>
  <cols>
    <col min="1" max="1" width="4.77734375" customWidth="1"/>
    <col min="2" max="2" width="40.77734375" customWidth="1"/>
    <col min="3" max="3" width="17.77734375" customWidth="1"/>
    <col min="4" max="4" width="16.77734375" customWidth="1"/>
    <col min="5" max="5" width="22.6640625" customWidth="1"/>
    <col min="6" max="6" width="13.5546875" bestFit="1" customWidth="1"/>
    <col min="7" max="7" width="11.88671875" bestFit="1" customWidth="1"/>
    <col min="8" max="8" width="19.77734375" bestFit="1" customWidth="1"/>
    <col min="9" max="9" width="12.88671875" bestFit="1" customWidth="1"/>
    <col min="10" max="10" width="11.88671875" bestFit="1" customWidth="1"/>
  </cols>
  <sheetData>
    <row r="1" spans="1:5" ht="15.75" thickBot="1">
      <c r="A1" t="str">
        <f>'Data sheet'!A57</f>
        <v>Annual Report of Veolia Water New York, Inc.                                              Year Ended  December 31, 2023</v>
      </c>
    </row>
    <row r="2" spans="1:5">
      <c r="A2" s="80"/>
      <c r="B2" s="81"/>
      <c r="C2" s="81"/>
      <c r="D2" s="81"/>
      <c r="E2" s="82"/>
    </row>
    <row r="3" spans="1:5" ht="15.75">
      <c r="A3" s="118" t="s">
        <v>4346</v>
      </c>
      <c r="B3" s="5"/>
      <c r="C3" s="5"/>
      <c r="D3" s="5"/>
      <c r="E3" s="132"/>
    </row>
    <row r="4" spans="1:5">
      <c r="A4" s="97"/>
      <c r="B4" s="98"/>
      <c r="C4" s="86"/>
      <c r="D4" s="128"/>
      <c r="E4" s="225"/>
    </row>
    <row r="5" spans="1:5">
      <c r="A5" s="362"/>
      <c r="B5" s="86"/>
      <c r="C5" s="90"/>
      <c r="D5" s="90"/>
      <c r="E5" s="93"/>
    </row>
    <row r="6" spans="1:5">
      <c r="A6" s="110" t="s">
        <v>3660</v>
      </c>
      <c r="B6" s="86" t="s">
        <v>2501</v>
      </c>
      <c r="C6" s="86"/>
      <c r="D6" s="86"/>
      <c r="E6" s="87"/>
    </row>
    <row r="7" spans="1:5">
      <c r="A7" s="110"/>
      <c r="B7" s="86" t="s">
        <v>2502</v>
      </c>
      <c r="C7" s="86"/>
      <c r="D7" s="86"/>
      <c r="E7" s="87"/>
    </row>
    <row r="8" spans="1:5">
      <c r="A8" s="110"/>
      <c r="B8" s="86" t="s">
        <v>2503</v>
      </c>
      <c r="C8" s="86"/>
      <c r="D8" s="86"/>
      <c r="E8" s="87"/>
    </row>
    <row r="9" spans="1:5">
      <c r="A9" s="110"/>
      <c r="B9" s="86" t="s">
        <v>4024</v>
      </c>
      <c r="C9" s="86"/>
      <c r="D9" s="86"/>
      <c r="E9" s="87"/>
    </row>
    <row r="10" spans="1:5">
      <c r="A10" s="110" t="s">
        <v>1687</v>
      </c>
      <c r="B10" s="86" t="s">
        <v>2631</v>
      </c>
      <c r="C10" s="86"/>
      <c r="D10" s="86"/>
      <c r="E10" s="87"/>
    </row>
    <row r="11" spans="1:5">
      <c r="A11" s="110"/>
      <c r="B11" s="86" t="s">
        <v>2960</v>
      </c>
      <c r="C11" s="86"/>
      <c r="D11" s="86"/>
      <c r="E11" s="87"/>
    </row>
    <row r="12" spans="1:5">
      <c r="A12" s="110"/>
      <c r="B12" s="86" t="s">
        <v>3559</v>
      </c>
      <c r="C12" s="86"/>
      <c r="D12" s="86"/>
      <c r="E12" s="87"/>
    </row>
    <row r="13" spans="1:5">
      <c r="A13" s="110"/>
      <c r="B13" s="86" t="s">
        <v>3560</v>
      </c>
      <c r="C13" s="86"/>
      <c r="D13" s="86"/>
      <c r="E13" s="87"/>
    </row>
    <row r="14" spans="1:5">
      <c r="A14" s="110" t="s">
        <v>3053</v>
      </c>
      <c r="B14" s="86" t="s">
        <v>3561</v>
      </c>
      <c r="C14" s="86"/>
      <c r="D14" s="86"/>
      <c r="E14" s="87"/>
    </row>
    <row r="15" spans="1:5">
      <c r="A15" s="110"/>
      <c r="B15" s="86" t="s">
        <v>3562</v>
      </c>
      <c r="C15" s="86"/>
      <c r="D15" s="86"/>
      <c r="E15" s="87"/>
    </row>
    <row r="16" spans="1:5">
      <c r="A16" s="364"/>
      <c r="B16" s="98" t="s">
        <v>3157</v>
      </c>
      <c r="C16" s="98"/>
      <c r="D16" s="98"/>
      <c r="E16" s="101"/>
    </row>
    <row r="17" spans="1:5">
      <c r="A17" s="237" t="s">
        <v>1727</v>
      </c>
      <c r="B17" s="5" t="s">
        <v>3158</v>
      </c>
      <c r="C17" s="5"/>
      <c r="D17" s="5"/>
      <c r="E17" s="626" t="s">
        <v>1291</v>
      </c>
    </row>
    <row r="18" spans="1:5">
      <c r="A18" s="237" t="s">
        <v>2036</v>
      </c>
      <c r="B18" s="5" t="s">
        <v>3279</v>
      </c>
      <c r="C18" s="5"/>
      <c r="D18" s="5"/>
      <c r="E18" s="626" t="s">
        <v>3280</v>
      </c>
    </row>
    <row r="19" spans="1:5">
      <c r="A19" s="240"/>
      <c r="B19" s="98"/>
      <c r="C19" s="98"/>
      <c r="D19" s="98"/>
      <c r="E19" s="153"/>
    </row>
    <row r="20" spans="1:5">
      <c r="A20" s="240">
        <v>1</v>
      </c>
      <c r="B20" s="2281" t="s">
        <v>3159</v>
      </c>
      <c r="C20" s="2618"/>
      <c r="D20" s="2618"/>
      <c r="E20" s="2633">
        <f>ROUND(+'116119'!G114,0)</f>
        <v>21594562</v>
      </c>
    </row>
    <row r="21" spans="1:5">
      <c r="A21" s="240">
        <f t="shared" ref="A21:A54" si="0">+A20+1</f>
        <v>2</v>
      </c>
      <c r="B21" s="2281" t="s">
        <v>3160</v>
      </c>
      <c r="C21" s="2618"/>
      <c r="D21" s="2618"/>
      <c r="E21" s="2634"/>
    </row>
    <row r="22" spans="1:5">
      <c r="A22" s="240">
        <f t="shared" si="0"/>
        <v>3</v>
      </c>
      <c r="B22" s="2281"/>
      <c r="C22" s="2618"/>
      <c r="D22" s="2618"/>
      <c r="E22" s="2635"/>
    </row>
    <row r="23" spans="1:5">
      <c r="A23" s="240">
        <f t="shared" si="0"/>
        <v>4</v>
      </c>
      <c r="B23" s="2281" t="s">
        <v>3161</v>
      </c>
      <c r="C23" s="2618"/>
      <c r="D23" s="2618"/>
      <c r="E23" s="2636"/>
    </row>
    <row r="24" spans="1:5">
      <c r="A24" s="240">
        <f t="shared" si="0"/>
        <v>5</v>
      </c>
      <c r="B24" s="2637" t="s">
        <v>4975</v>
      </c>
      <c r="C24" s="2618"/>
      <c r="D24" s="2618"/>
      <c r="E24" s="2638">
        <v>5597631</v>
      </c>
    </row>
    <row r="25" spans="1:5">
      <c r="A25" s="240">
        <f t="shared" si="0"/>
        <v>6</v>
      </c>
      <c r="B25" s="2637" t="s">
        <v>4976</v>
      </c>
      <c r="C25" s="2618"/>
      <c r="D25" s="2618"/>
      <c r="E25" s="2639">
        <v>3270767</v>
      </c>
    </row>
    <row r="26" spans="1:5">
      <c r="A26" s="240">
        <f t="shared" si="0"/>
        <v>7</v>
      </c>
      <c r="B26" s="2640"/>
      <c r="C26" s="2618"/>
      <c r="D26" s="2618"/>
      <c r="E26" s="2639"/>
    </row>
    <row r="27" spans="1:5">
      <c r="A27" s="240">
        <f t="shared" si="0"/>
        <v>8</v>
      </c>
      <c r="B27" s="2640"/>
      <c r="C27" s="2618"/>
      <c r="D27" s="2618"/>
      <c r="E27" s="2624"/>
    </row>
    <row r="28" spans="1:5">
      <c r="A28" s="240">
        <f t="shared" si="0"/>
        <v>9</v>
      </c>
      <c r="B28" s="2604" t="s">
        <v>3648</v>
      </c>
      <c r="C28" s="2618"/>
      <c r="D28" s="2618"/>
      <c r="E28" s="2641"/>
    </row>
    <row r="29" spans="1:5">
      <c r="A29" s="240">
        <f t="shared" si="0"/>
        <v>10</v>
      </c>
      <c r="B29" s="2642" t="s">
        <v>4977</v>
      </c>
      <c r="C29" s="2618"/>
      <c r="D29" s="2618"/>
      <c r="E29" s="2639">
        <f>+E105</f>
        <v>17991405</v>
      </c>
    </row>
    <row r="30" spans="1:5">
      <c r="A30" s="240">
        <f t="shared" si="0"/>
        <v>11</v>
      </c>
      <c r="B30" s="2637"/>
      <c r="C30" s="2618"/>
      <c r="D30" s="2618"/>
      <c r="E30" s="2639"/>
    </row>
    <row r="31" spans="1:5">
      <c r="A31" s="240">
        <f t="shared" si="0"/>
        <v>12</v>
      </c>
      <c r="B31" s="2637"/>
      <c r="C31" s="2618"/>
      <c r="D31" s="2618"/>
      <c r="E31" s="2639"/>
    </row>
    <row r="32" spans="1:5">
      <c r="A32" s="240">
        <f t="shared" si="0"/>
        <v>13</v>
      </c>
      <c r="B32" s="2637"/>
      <c r="C32" s="2618"/>
      <c r="D32" s="2618"/>
      <c r="E32" s="2639"/>
    </row>
    <row r="33" spans="1:6">
      <c r="A33" s="240">
        <f t="shared" si="0"/>
        <v>14</v>
      </c>
      <c r="B33" s="2604" t="s">
        <v>3649</v>
      </c>
      <c r="C33" s="2618"/>
      <c r="D33" s="2618"/>
      <c r="E33" s="2643"/>
    </row>
    <row r="34" spans="1:6">
      <c r="A34" s="240">
        <f t="shared" si="0"/>
        <v>15</v>
      </c>
      <c r="B34" s="2642"/>
      <c r="C34" s="2618"/>
      <c r="D34" s="2618"/>
      <c r="E34" s="2639"/>
    </row>
    <row r="35" spans="1:6">
      <c r="A35" s="240">
        <f t="shared" si="0"/>
        <v>16</v>
      </c>
      <c r="B35" s="2604"/>
      <c r="C35" s="2618"/>
      <c r="D35" s="2618"/>
      <c r="E35" s="2639"/>
    </row>
    <row r="36" spans="1:6">
      <c r="A36" s="240">
        <f t="shared" si="0"/>
        <v>17</v>
      </c>
      <c r="B36" s="2604"/>
      <c r="C36" s="2618"/>
      <c r="D36" s="2618"/>
      <c r="E36" s="2639"/>
    </row>
    <row r="37" spans="1:6">
      <c r="A37" s="240">
        <f t="shared" si="0"/>
        <v>18</v>
      </c>
      <c r="B37" s="2604" t="s">
        <v>3650</v>
      </c>
      <c r="C37" s="2618"/>
      <c r="D37" s="2618"/>
      <c r="E37" s="2643"/>
    </row>
    <row r="38" spans="1:6">
      <c r="A38" s="240">
        <f t="shared" si="0"/>
        <v>19</v>
      </c>
      <c r="B38" s="2642" t="s">
        <v>4977</v>
      </c>
      <c r="C38" s="2618"/>
      <c r="D38" s="2618"/>
      <c r="E38" s="2638">
        <f>-E158</f>
        <v>32406144</v>
      </c>
    </row>
    <row r="39" spans="1:6">
      <c r="A39" s="240">
        <f t="shared" si="0"/>
        <v>20</v>
      </c>
      <c r="B39" s="2604"/>
      <c r="C39" s="2618"/>
      <c r="D39" s="2618"/>
      <c r="E39" s="2639"/>
    </row>
    <row r="40" spans="1:6">
      <c r="A40" s="240">
        <f t="shared" si="0"/>
        <v>21</v>
      </c>
      <c r="B40" s="2604"/>
      <c r="C40" s="2618"/>
      <c r="D40" s="2618"/>
      <c r="E40" s="2644"/>
    </row>
    <row r="41" spans="1:6">
      <c r="A41" s="240">
        <f t="shared" si="0"/>
        <v>22</v>
      </c>
      <c r="B41" s="1748"/>
      <c r="C41" s="98"/>
      <c r="D41" s="98"/>
      <c r="E41" s="663"/>
    </row>
    <row r="42" spans="1:6" ht="15.75">
      <c r="A42" s="240">
        <f t="shared" si="0"/>
        <v>23</v>
      </c>
      <c r="B42" s="1538" t="s">
        <v>3162</v>
      </c>
      <c r="C42" s="98"/>
      <c r="D42" s="98"/>
      <c r="E42" s="2633">
        <f>E20+SUM(E24:E27)+SUM(E29:E32)-SUM(E34:E36)-SUM(E38:E41)</f>
        <v>16048221</v>
      </c>
    </row>
    <row r="43" spans="1:6">
      <c r="A43" s="2647">
        <f t="shared" si="0"/>
        <v>24</v>
      </c>
      <c r="B43" s="2627" t="s">
        <v>1906</v>
      </c>
      <c r="C43" s="2605"/>
      <c r="D43" s="2605"/>
      <c r="E43" s="2624"/>
      <c r="F43" s="136"/>
    </row>
    <row r="44" spans="1:6">
      <c r="A44" s="2647">
        <f t="shared" si="0"/>
        <v>25</v>
      </c>
      <c r="B44" s="2648" t="s">
        <v>4672</v>
      </c>
      <c r="C44" s="2323"/>
      <c r="D44" s="2323"/>
      <c r="E44" s="2645">
        <f>ROUND(+E42*0.21,0)</f>
        <v>3370126</v>
      </c>
      <c r="F44" s="136"/>
    </row>
    <row r="45" spans="1:6">
      <c r="A45" s="2647">
        <f t="shared" si="0"/>
        <v>26</v>
      </c>
      <c r="B45" s="2649" t="s">
        <v>2418</v>
      </c>
      <c r="C45" s="2323"/>
      <c r="D45" s="2323"/>
      <c r="E45" s="2645">
        <v>1575760</v>
      </c>
      <c r="F45" s="136"/>
    </row>
    <row r="46" spans="1:6">
      <c r="A46" s="2647">
        <f t="shared" si="0"/>
        <v>27</v>
      </c>
      <c r="B46" s="2649" t="s">
        <v>2419</v>
      </c>
      <c r="C46" s="2323"/>
      <c r="D46" s="2323"/>
      <c r="E46" s="2645">
        <v>-355455</v>
      </c>
      <c r="F46" s="136"/>
    </row>
    <row r="47" spans="1:6">
      <c r="A47" s="2647">
        <f t="shared" si="0"/>
        <v>28</v>
      </c>
      <c r="B47" s="2649" t="s">
        <v>2104</v>
      </c>
      <c r="C47" s="2323"/>
      <c r="D47" s="2323"/>
      <c r="E47" s="2645"/>
      <c r="F47" s="136"/>
    </row>
    <row r="48" spans="1:6" ht="16.5" thickBot="1">
      <c r="A48" s="2647">
        <f t="shared" si="0"/>
        <v>29</v>
      </c>
      <c r="B48" s="2650" t="s">
        <v>4682</v>
      </c>
      <c r="C48" s="2323"/>
      <c r="D48" s="2323"/>
      <c r="E48" s="2646">
        <f>SUM(E44:E47)</f>
        <v>4590431</v>
      </c>
      <c r="F48" s="136" t="str">
        <f>IF(ROUND(E48,0)=ROUND('116119'!G36+'116119'!G37,0),"ok","error")</f>
        <v>ok</v>
      </c>
    </row>
    <row r="49" spans="1:6" ht="15.75" thickTop="1">
      <c r="A49" s="2647">
        <f t="shared" si="0"/>
        <v>30</v>
      </c>
      <c r="B49" s="2651"/>
      <c r="C49" s="2323"/>
      <c r="D49" s="2323"/>
      <c r="E49" s="2645"/>
      <c r="F49" s="136"/>
    </row>
    <row r="50" spans="1:6">
      <c r="A50" s="2647">
        <f t="shared" si="0"/>
        <v>31</v>
      </c>
      <c r="B50" s="2649" t="s">
        <v>1803</v>
      </c>
      <c r="C50" s="2323"/>
      <c r="D50" s="2323"/>
      <c r="E50" s="2645">
        <v>4304979</v>
      </c>
      <c r="F50" s="136" t="str">
        <f>IF(ROUND(E50,0)=ROUND('116119'!G38,0),"ok","error")</f>
        <v>ok</v>
      </c>
    </row>
    <row r="51" spans="1:6">
      <c r="A51" s="2647">
        <f t="shared" si="0"/>
        <v>32</v>
      </c>
      <c r="B51" s="2649" t="s">
        <v>4681</v>
      </c>
      <c r="C51" s="2323"/>
      <c r="D51" s="2323"/>
      <c r="E51" s="2645">
        <v>-27012</v>
      </c>
      <c r="F51" s="136" t="str">
        <f>IF(E51='116119'!G40,"ok","error")</f>
        <v>ok</v>
      </c>
    </row>
    <row r="52" spans="1:6" ht="16.5" thickBot="1">
      <c r="A52" s="2647">
        <f t="shared" si="0"/>
        <v>33</v>
      </c>
      <c r="B52" s="2650" t="s">
        <v>4680</v>
      </c>
      <c r="C52" s="2323"/>
      <c r="D52" s="2323"/>
      <c r="E52" s="2840">
        <f>SUM(E48:E51)</f>
        <v>8868398</v>
      </c>
      <c r="F52" s="136" t="str">
        <f>IF(ROUND(E52,0)=ROUND(+'116119'!G36+'116119'!G37+'116119'!G38+'116119'!G39+'116119'!G40,0),"ok","error")</f>
        <v>ok</v>
      </c>
    </row>
    <row r="53" spans="1:6" ht="15.75" thickTop="1">
      <c r="A53" s="2647">
        <f t="shared" si="0"/>
        <v>34</v>
      </c>
      <c r="B53" s="2627"/>
      <c r="C53" s="2605"/>
      <c r="D53" s="2605"/>
      <c r="E53" s="2624"/>
    </row>
    <row r="54" spans="1:6" ht="15.75" thickBot="1">
      <c r="A54" s="2652">
        <f t="shared" si="0"/>
        <v>35</v>
      </c>
      <c r="B54" s="2629"/>
      <c r="C54" s="2630"/>
      <c r="D54" s="2630"/>
      <c r="E54" s="2631"/>
    </row>
    <row r="55" spans="1:6" s="2605" customFormat="1">
      <c r="A55" s="2605" t="s">
        <v>2024</v>
      </c>
    </row>
    <row r="56" spans="1:6" s="2605" customFormat="1">
      <c r="A56" s="2608" t="s">
        <v>1907</v>
      </c>
      <c r="B56" s="2608"/>
      <c r="C56" s="2608"/>
      <c r="D56" s="2608"/>
      <c r="E56" s="2608"/>
    </row>
    <row r="57" spans="1:6" s="2605" customFormat="1"/>
    <row r="58" spans="1:6" s="2605" customFormat="1"/>
    <row r="59" spans="1:6" ht="15.75">
      <c r="A59" s="86"/>
      <c r="B59" s="233" t="s">
        <v>3656</v>
      </c>
      <c r="C59" s="86"/>
      <c r="D59" s="86"/>
      <c r="E59" s="86"/>
    </row>
    <row r="60" spans="1:6" ht="15" customHeight="1">
      <c r="A60" s="86"/>
      <c r="B60" s="86"/>
      <c r="C60" s="86"/>
      <c r="D60" s="86"/>
      <c r="E60" s="86"/>
    </row>
    <row r="61" spans="1:6" ht="16.5" thickBot="1">
      <c r="A61" s="472"/>
      <c r="B61" s="86"/>
      <c r="C61" s="86"/>
      <c r="D61" s="128"/>
    </row>
    <row r="62" spans="1:6">
      <c r="A62" s="413"/>
      <c r="B62" s="130"/>
      <c r="C62" s="130"/>
      <c r="D62" s="130"/>
      <c r="E62" s="131"/>
    </row>
    <row r="63" spans="1:6" ht="15.75">
      <c r="A63" s="118" t="s">
        <v>4346</v>
      </c>
      <c r="B63" s="5"/>
      <c r="C63" s="5"/>
      <c r="D63" s="5"/>
      <c r="E63" s="132"/>
    </row>
    <row r="64" spans="1:6" ht="15" customHeight="1">
      <c r="A64" s="364"/>
      <c r="B64" s="98"/>
      <c r="C64" s="98"/>
      <c r="D64" s="98"/>
      <c r="E64" s="101"/>
    </row>
    <row r="65" spans="1:5" ht="15" customHeight="1">
      <c r="A65" s="110"/>
      <c r="B65" s="5" t="s">
        <v>3158</v>
      </c>
      <c r="C65" s="5"/>
      <c r="D65" s="5"/>
      <c r="E65" s="626" t="s">
        <v>1291</v>
      </c>
    </row>
    <row r="66" spans="1:5">
      <c r="A66" s="364"/>
      <c r="B66" s="133" t="s">
        <v>3279</v>
      </c>
      <c r="C66" s="133"/>
      <c r="D66" s="133"/>
      <c r="E66" s="783" t="s">
        <v>3280</v>
      </c>
    </row>
    <row r="67" spans="1:5">
      <c r="A67" s="110"/>
      <c r="B67" s="2604" t="s">
        <v>5073</v>
      </c>
      <c r="C67" s="2605"/>
      <c r="D67" s="2605"/>
      <c r="E67" s="442"/>
    </row>
    <row r="68" spans="1:5">
      <c r="A68" s="110"/>
      <c r="B68" s="2606" t="s">
        <v>5134</v>
      </c>
      <c r="C68" s="2605"/>
      <c r="D68" s="2607">
        <v>4334245</v>
      </c>
      <c r="E68" s="442"/>
    </row>
    <row r="69" spans="1:5" ht="15" customHeight="1">
      <c r="A69" s="110"/>
      <c r="B69" s="2606" t="s">
        <v>5131</v>
      </c>
      <c r="C69" s="2605"/>
      <c r="D69" s="2607">
        <v>3604464</v>
      </c>
      <c r="E69" s="442"/>
    </row>
    <row r="70" spans="1:5" ht="15" customHeight="1">
      <c r="A70" s="110"/>
      <c r="B70" s="2606" t="s">
        <v>5133</v>
      </c>
      <c r="C70" s="2605"/>
      <c r="D70" s="2607">
        <v>2626096</v>
      </c>
      <c r="E70" s="442"/>
    </row>
    <row r="71" spans="1:5" ht="15" customHeight="1">
      <c r="A71" s="110"/>
      <c r="B71" s="2606" t="s">
        <v>5136</v>
      </c>
      <c r="C71" s="2605"/>
      <c r="D71" s="2607">
        <v>1831941</v>
      </c>
      <c r="E71" s="442"/>
    </row>
    <row r="72" spans="1:5" ht="15" customHeight="1">
      <c r="A72" s="110"/>
      <c r="B72" s="2606" t="s">
        <v>4648</v>
      </c>
      <c r="C72" s="2605"/>
      <c r="D72" s="2607">
        <v>1771661</v>
      </c>
      <c r="E72" s="442"/>
    </row>
    <row r="73" spans="1:5" ht="15" customHeight="1">
      <c r="A73" s="110"/>
      <c r="B73" s="2606" t="s">
        <v>5052</v>
      </c>
      <c r="C73" s="2605"/>
      <c r="D73" s="2607">
        <v>1255535</v>
      </c>
      <c r="E73" s="442"/>
    </row>
    <row r="74" spans="1:5" ht="15" customHeight="1">
      <c r="A74" s="110"/>
      <c r="B74" s="2606" t="s">
        <v>5137</v>
      </c>
      <c r="C74" s="2605"/>
      <c r="D74" s="2607">
        <v>1165779</v>
      </c>
      <c r="E74" s="442"/>
    </row>
    <row r="75" spans="1:5" ht="15" customHeight="1">
      <c r="A75" s="110"/>
      <c r="B75" s="2606" t="s">
        <v>5138</v>
      </c>
      <c r="C75" s="2608"/>
      <c r="D75" s="2609">
        <v>366160</v>
      </c>
      <c r="E75" s="442"/>
    </row>
    <row r="76" spans="1:5" ht="15" customHeight="1">
      <c r="A76" s="110"/>
      <c r="B76" s="2606" t="s">
        <v>5139</v>
      </c>
      <c r="C76" s="2608"/>
      <c r="D76" s="2609">
        <v>246469</v>
      </c>
      <c r="E76" s="442"/>
    </row>
    <row r="77" spans="1:5" ht="15" customHeight="1">
      <c r="A77" s="110"/>
      <c r="B77" s="2606" t="s">
        <v>5158</v>
      </c>
      <c r="C77" s="2605"/>
      <c r="D77" s="2607">
        <v>207832</v>
      </c>
      <c r="E77" s="442"/>
    </row>
    <row r="78" spans="1:5" ht="15" customHeight="1">
      <c r="A78" s="110"/>
      <c r="B78" s="2606" t="s">
        <v>5163</v>
      </c>
      <c r="C78" s="2605"/>
      <c r="D78" s="2607">
        <v>203872</v>
      </c>
      <c r="E78" s="442"/>
    </row>
    <row r="79" spans="1:5" ht="15" customHeight="1">
      <c r="A79" s="110"/>
      <c r="B79" s="2606" t="s">
        <v>5145</v>
      </c>
      <c r="C79" s="2605"/>
      <c r="D79" s="2607">
        <v>110380</v>
      </c>
      <c r="E79" s="442"/>
    </row>
    <row r="80" spans="1:5" ht="15" customHeight="1">
      <c r="A80" s="110"/>
      <c r="B80" s="2606" t="s">
        <v>5324</v>
      </c>
      <c r="C80" s="2605"/>
      <c r="D80" s="2607">
        <v>81896</v>
      </c>
      <c r="E80" s="442"/>
    </row>
    <row r="81" spans="1:5" ht="15" customHeight="1">
      <c r="A81" s="110"/>
      <c r="B81" s="2606" t="s">
        <v>5142</v>
      </c>
      <c r="C81" s="2605"/>
      <c r="D81" s="2607">
        <v>79536</v>
      </c>
      <c r="E81" s="442"/>
    </row>
    <row r="82" spans="1:5" ht="15" customHeight="1">
      <c r="A82" s="110"/>
      <c r="B82" s="2606" t="s">
        <v>5051</v>
      </c>
      <c r="C82" s="2605"/>
      <c r="D82" s="2607">
        <v>61165</v>
      </c>
      <c r="E82" s="442"/>
    </row>
    <row r="83" spans="1:5" ht="15" customHeight="1">
      <c r="A83" s="110"/>
      <c r="B83" s="2610" t="s">
        <v>5325</v>
      </c>
      <c r="C83" s="2605"/>
      <c r="D83" s="2607">
        <v>13504</v>
      </c>
      <c r="E83" s="442"/>
    </row>
    <row r="84" spans="1:5" ht="15" customHeight="1">
      <c r="A84" s="110"/>
      <c r="B84" s="2610" t="s">
        <v>5166</v>
      </c>
      <c r="C84" s="2605"/>
      <c r="D84" s="2607">
        <v>9521</v>
      </c>
      <c r="E84" s="442"/>
    </row>
    <row r="85" spans="1:5" ht="15" customHeight="1">
      <c r="A85" s="110"/>
      <c r="B85" s="2606" t="s">
        <v>5130</v>
      </c>
      <c r="C85" s="2605"/>
      <c r="D85" s="2607">
        <v>9212</v>
      </c>
      <c r="E85" s="442"/>
    </row>
    <row r="86" spans="1:5" ht="15" customHeight="1">
      <c r="A86" s="110"/>
      <c r="B86" s="2606" t="s">
        <v>5160</v>
      </c>
      <c r="C86" s="2605"/>
      <c r="D86" s="2607">
        <v>4585</v>
      </c>
      <c r="E86" s="442"/>
    </row>
    <row r="87" spans="1:5" ht="15" customHeight="1">
      <c r="A87" s="110"/>
      <c r="B87" s="2610" t="s">
        <v>5149</v>
      </c>
      <c r="C87" s="2605"/>
      <c r="D87" s="2607">
        <v>4108</v>
      </c>
      <c r="E87" s="442"/>
    </row>
    <row r="88" spans="1:5" ht="15" customHeight="1">
      <c r="A88" s="110"/>
      <c r="B88" s="2610" t="s">
        <v>5169</v>
      </c>
      <c r="C88" s="2605"/>
      <c r="D88" s="2607">
        <v>1289</v>
      </c>
      <c r="E88" s="442"/>
    </row>
    <row r="89" spans="1:5" ht="15" customHeight="1">
      <c r="A89" s="110"/>
      <c r="B89" s="2606" t="s">
        <v>5150</v>
      </c>
      <c r="C89" s="2605"/>
      <c r="D89" s="2607">
        <v>744</v>
      </c>
      <c r="E89" s="442"/>
    </row>
    <row r="90" spans="1:5" ht="15" customHeight="1">
      <c r="A90" s="110"/>
      <c r="B90" s="2606" t="s">
        <v>5167</v>
      </c>
      <c r="C90" s="2605"/>
      <c r="D90" s="2607">
        <v>675</v>
      </c>
      <c r="E90" s="442"/>
    </row>
    <row r="91" spans="1:5" ht="15" customHeight="1">
      <c r="A91" s="110"/>
      <c r="B91" s="2606" t="s">
        <v>5148</v>
      </c>
      <c r="C91" s="2605"/>
      <c r="D91" s="2607">
        <v>376</v>
      </c>
      <c r="E91" s="442"/>
    </row>
    <row r="92" spans="1:5" ht="15" customHeight="1">
      <c r="A92" s="110"/>
      <c r="B92" s="2606" t="s">
        <v>5147</v>
      </c>
      <c r="C92" s="2605"/>
      <c r="D92" s="2607">
        <v>319</v>
      </c>
      <c r="E92" s="442"/>
    </row>
    <row r="93" spans="1:5" ht="15" customHeight="1">
      <c r="A93" s="110"/>
      <c r="B93" s="2606" t="s">
        <v>5164</v>
      </c>
      <c r="C93" s="2605"/>
      <c r="D93" s="2607">
        <v>41</v>
      </c>
      <c r="E93" s="442"/>
    </row>
    <row r="94" spans="1:5" ht="15" customHeight="1">
      <c r="A94" s="110"/>
      <c r="B94" s="2606"/>
      <c r="C94" s="2605"/>
      <c r="D94" s="2607"/>
      <c r="E94" s="442"/>
    </row>
    <row r="95" spans="1:5" ht="15" customHeight="1">
      <c r="A95" s="110"/>
      <c r="B95" s="2610"/>
      <c r="C95" s="2605"/>
      <c r="D95" s="2607"/>
      <c r="E95" s="442"/>
    </row>
    <row r="96" spans="1:5" ht="15" customHeight="1">
      <c r="A96" s="110"/>
      <c r="B96" s="2606"/>
      <c r="C96" s="2605"/>
      <c r="D96" s="2607"/>
      <c r="E96" s="442"/>
    </row>
    <row r="97" spans="1:5" ht="15" customHeight="1">
      <c r="A97" s="110"/>
      <c r="B97" s="2606"/>
      <c r="C97" s="2605"/>
      <c r="D97" s="2607"/>
      <c r="E97" s="442"/>
    </row>
    <row r="98" spans="1:5" ht="15" customHeight="1">
      <c r="A98" s="110"/>
      <c r="B98" s="2606"/>
      <c r="C98" s="2605"/>
      <c r="D98" s="2607"/>
      <c r="E98" s="442"/>
    </row>
    <row r="99" spans="1:5" ht="15" customHeight="1">
      <c r="A99" s="110"/>
      <c r="B99" s="2606"/>
      <c r="C99" s="2605"/>
      <c r="D99" s="2607"/>
      <c r="E99" s="442"/>
    </row>
    <row r="100" spans="1:5" ht="15" customHeight="1">
      <c r="A100" s="110"/>
      <c r="B100" s="2606"/>
      <c r="C100" s="2605"/>
      <c r="D100" s="2607"/>
      <c r="E100" s="442"/>
    </row>
    <row r="101" spans="1:5" ht="15" customHeight="1">
      <c r="A101" s="110"/>
      <c r="B101" s="2606"/>
      <c r="C101" s="2605"/>
      <c r="D101" s="2607"/>
      <c r="E101" s="442"/>
    </row>
    <row r="102" spans="1:5" ht="15" customHeight="1">
      <c r="A102" s="110"/>
      <c r="B102" s="2606"/>
      <c r="C102" s="2605"/>
      <c r="D102" s="2607"/>
      <c r="E102" s="442"/>
    </row>
    <row r="103" spans="1:5" ht="15" customHeight="1">
      <c r="A103" s="110"/>
      <c r="B103" s="2606"/>
      <c r="C103" s="2605"/>
      <c r="D103" s="2607"/>
      <c r="E103" s="442"/>
    </row>
    <row r="104" spans="1:5" ht="15" customHeight="1">
      <c r="A104" s="110"/>
      <c r="B104" s="2606"/>
      <c r="C104" s="2605"/>
      <c r="D104" s="2607"/>
      <c r="E104" s="442"/>
    </row>
    <row r="105" spans="1:5" ht="15" customHeight="1">
      <c r="A105" s="110"/>
      <c r="B105" s="108"/>
      <c r="C105" s="86"/>
      <c r="D105" s="86"/>
      <c r="E105" s="2611">
        <f>SUM(D68:D104)</f>
        <v>17991405</v>
      </c>
    </row>
    <row r="106" spans="1:5" ht="15" customHeight="1">
      <c r="A106" s="110"/>
      <c r="B106" s="108"/>
      <c r="C106" s="86"/>
      <c r="D106" s="86"/>
      <c r="E106" s="442"/>
    </row>
    <row r="107" spans="1:5" ht="15" customHeight="1">
      <c r="A107" s="110"/>
      <c r="B107" s="108"/>
      <c r="C107" s="86"/>
      <c r="D107" s="86"/>
      <c r="E107" s="442"/>
    </row>
    <row r="108" spans="1:5" ht="15" customHeight="1">
      <c r="A108" s="110"/>
      <c r="B108" s="108"/>
      <c r="C108" s="86"/>
      <c r="D108" s="86"/>
      <c r="E108" s="442"/>
    </row>
    <row r="109" spans="1:5" ht="15" customHeight="1">
      <c r="A109" s="110"/>
      <c r="B109" s="108"/>
      <c r="C109" s="86"/>
      <c r="D109" s="86"/>
      <c r="E109" s="442"/>
    </row>
    <row r="110" spans="1:5" ht="15" customHeight="1">
      <c r="A110" s="110"/>
      <c r="B110" s="108"/>
      <c r="C110" s="86"/>
      <c r="D110" s="86"/>
      <c r="E110" s="442"/>
    </row>
    <row r="111" spans="1:5" ht="15" customHeight="1">
      <c r="A111" s="110"/>
      <c r="B111" s="108"/>
      <c r="C111" s="86"/>
      <c r="D111" s="86"/>
      <c r="E111" s="442"/>
    </row>
    <row r="112" spans="1:5" ht="15" customHeight="1">
      <c r="A112" s="110"/>
      <c r="B112" s="108"/>
      <c r="C112" s="86"/>
      <c r="D112" s="86"/>
      <c r="E112" s="442"/>
    </row>
    <row r="113" spans="1:5" ht="15" customHeight="1">
      <c r="A113" s="110"/>
      <c r="B113" s="108"/>
      <c r="C113" s="86"/>
      <c r="D113" s="86"/>
      <c r="E113" s="442"/>
    </row>
    <row r="114" spans="1:5" ht="15" customHeight="1">
      <c r="A114" s="110"/>
      <c r="B114" s="108"/>
      <c r="C114" s="86"/>
      <c r="D114" s="86"/>
      <c r="E114" s="442"/>
    </row>
    <row r="115" spans="1:5" ht="15" customHeight="1">
      <c r="A115" s="110"/>
      <c r="B115" s="108"/>
      <c r="C115" s="86"/>
      <c r="D115" s="86"/>
      <c r="E115" s="442"/>
    </row>
    <row r="116" spans="1:5" ht="15" customHeight="1">
      <c r="A116" s="110"/>
      <c r="B116" s="108"/>
      <c r="C116" s="86"/>
      <c r="D116" s="86"/>
      <c r="E116" s="442"/>
    </row>
    <row r="117" spans="1:5" ht="15" customHeight="1" thickBot="1">
      <c r="A117" s="437"/>
      <c r="B117" s="782"/>
      <c r="C117" s="113"/>
      <c r="D117" s="113"/>
      <c r="E117" s="780"/>
    </row>
    <row r="118" spans="1:5" ht="15" customHeight="1">
      <c r="A118" s="86"/>
      <c r="B118" s="86"/>
      <c r="C118" s="86"/>
      <c r="D118" s="86"/>
      <c r="E118" s="86"/>
    </row>
    <row r="119" spans="1:5" ht="15" customHeight="1">
      <c r="A119" s="5" t="s">
        <v>5301</v>
      </c>
      <c r="B119" s="5"/>
      <c r="C119" s="5"/>
      <c r="D119" s="5"/>
      <c r="E119" s="5"/>
    </row>
    <row r="120" spans="1:5" ht="15" customHeight="1">
      <c r="A120" s="2605"/>
      <c r="B120" s="2605"/>
      <c r="C120" s="2605"/>
      <c r="D120" s="2605"/>
      <c r="E120" s="2605"/>
    </row>
    <row r="121" spans="1:5" ht="15" customHeight="1" thickBot="1">
      <c r="A121" s="2605"/>
      <c r="B121" s="2605"/>
      <c r="C121" s="2605"/>
      <c r="D121" s="2605"/>
      <c r="E121" s="2605"/>
    </row>
    <row r="122" spans="1:5" ht="15" customHeight="1">
      <c r="A122" s="2612"/>
      <c r="B122" s="2613"/>
      <c r="C122" s="2613"/>
      <c r="D122" s="2613"/>
      <c r="E122" s="2614"/>
    </row>
    <row r="123" spans="1:5" ht="15" customHeight="1">
      <c r="A123" s="2615" t="s">
        <v>4346</v>
      </c>
      <c r="B123" s="2608"/>
      <c r="C123" s="2608"/>
      <c r="D123" s="2608"/>
      <c r="E123" s="2616"/>
    </row>
    <row r="124" spans="1:5" ht="15" customHeight="1">
      <c r="A124" s="2617"/>
      <c r="B124" s="2618"/>
      <c r="C124" s="2618"/>
      <c r="D124" s="2618"/>
      <c r="E124" s="2619"/>
    </row>
    <row r="125" spans="1:5" ht="15" customHeight="1">
      <c r="A125" s="2620"/>
      <c r="B125" s="2608" t="s">
        <v>3158</v>
      </c>
      <c r="C125" s="2608"/>
      <c r="D125" s="2608"/>
      <c r="E125" s="2621" t="s">
        <v>1291</v>
      </c>
    </row>
    <row r="126" spans="1:5" ht="15" customHeight="1">
      <c r="A126" s="2617"/>
      <c r="B126" s="2622" t="s">
        <v>3279</v>
      </c>
      <c r="C126" s="2622"/>
      <c r="D126" s="2622"/>
      <c r="E126" s="2623" t="s">
        <v>3280</v>
      </c>
    </row>
    <row r="127" spans="1:5" ht="15" customHeight="1">
      <c r="A127" s="2620"/>
      <c r="B127" s="2604" t="s">
        <v>5326</v>
      </c>
      <c r="C127" s="2605"/>
      <c r="D127" s="2605"/>
      <c r="E127" s="2624"/>
    </row>
    <row r="128" spans="1:5" ht="15" customHeight="1">
      <c r="A128" s="2620"/>
      <c r="B128" s="2625" t="s">
        <v>5135</v>
      </c>
      <c r="C128" s="2605"/>
      <c r="D128" s="2607">
        <v>-10887211</v>
      </c>
      <c r="E128" s="2624"/>
    </row>
    <row r="129" spans="1:5" ht="15" customHeight="1">
      <c r="A129" s="2620"/>
      <c r="B129" s="2625" t="s">
        <v>5153</v>
      </c>
      <c r="C129" s="2605"/>
      <c r="D129" s="2607">
        <v>-4578496</v>
      </c>
      <c r="E129" s="2624"/>
    </row>
    <row r="130" spans="1:5" ht="15" customHeight="1">
      <c r="A130" s="2620"/>
      <c r="B130" s="2625" t="s">
        <v>5151</v>
      </c>
      <c r="C130" s="2605"/>
      <c r="D130" s="2607">
        <v>-4355286</v>
      </c>
      <c r="E130" s="2624"/>
    </row>
    <row r="131" spans="1:5" ht="15" customHeight="1">
      <c r="A131" s="2620"/>
      <c r="B131" s="2625" t="s">
        <v>5129</v>
      </c>
      <c r="C131" s="2605"/>
      <c r="D131" s="2607">
        <v>-2807648</v>
      </c>
      <c r="E131" s="2624"/>
    </row>
    <row r="132" spans="1:5" ht="15" customHeight="1">
      <c r="A132" s="2620"/>
      <c r="B132" s="2625" t="s">
        <v>5152</v>
      </c>
      <c r="C132" s="2605"/>
      <c r="D132" s="2607">
        <v>-2515756</v>
      </c>
      <c r="E132" s="2624"/>
    </row>
    <row r="133" spans="1:5" ht="15" customHeight="1">
      <c r="A133" s="2620"/>
      <c r="B133" s="2625" t="s">
        <v>5154</v>
      </c>
      <c r="C133" s="2605"/>
      <c r="D133" s="2607">
        <v>-1522465</v>
      </c>
      <c r="E133" s="2624"/>
    </row>
    <row r="134" spans="1:5" ht="15" customHeight="1">
      <c r="A134" s="2620"/>
      <c r="B134" s="2625" t="s">
        <v>5155</v>
      </c>
      <c r="C134" s="2605"/>
      <c r="D134" s="2607">
        <v>-1486932</v>
      </c>
      <c r="E134" s="2624"/>
    </row>
    <row r="135" spans="1:5" ht="15" customHeight="1">
      <c r="A135" s="2620"/>
      <c r="B135" s="2625" t="s">
        <v>4671</v>
      </c>
      <c r="C135" s="2605"/>
      <c r="D135" s="2607">
        <v>-990354</v>
      </c>
      <c r="E135" s="2624"/>
    </row>
    <row r="136" spans="1:5" ht="15" customHeight="1">
      <c r="A136" s="2620"/>
      <c r="B136" s="2625" t="s">
        <v>5132</v>
      </c>
      <c r="C136" s="2605"/>
      <c r="D136" s="2607">
        <v>-738400</v>
      </c>
      <c r="E136" s="2624"/>
    </row>
    <row r="137" spans="1:5" ht="15" customHeight="1">
      <c r="A137" s="2620"/>
      <c r="B137" s="2625" t="s">
        <v>5143</v>
      </c>
      <c r="C137" s="2605"/>
      <c r="D137" s="2607">
        <v>-475322</v>
      </c>
      <c r="E137" s="2624"/>
    </row>
    <row r="138" spans="1:5" ht="15" customHeight="1">
      <c r="A138" s="2620"/>
      <c r="B138" s="2625" t="s">
        <v>5157</v>
      </c>
      <c r="C138" s="2605"/>
      <c r="D138" s="2607">
        <v>-369741</v>
      </c>
      <c r="E138" s="2624"/>
    </row>
    <row r="139" spans="1:5" ht="15" customHeight="1">
      <c r="A139" s="2620"/>
      <c r="B139" s="2625" t="s">
        <v>5146</v>
      </c>
      <c r="C139" s="2608"/>
      <c r="D139" s="2609">
        <v>-354952</v>
      </c>
      <c r="E139" s="2624"/>
    </row>
    <row r="140" spans="1:5">
      <c r="A140" s="2620"/>
      <c r="B140" s="2625" t="s">
        <v>5140</v>
      </c>
      <c r="C140" s="2608"/>
      <c r="D140" s="2609">
        <v>-292399</v>
      </c>
      <c r="E140" s="2624"/>
    </row>
    <row r="141" spans="1:5">
      <c r="A141" s="2620"/>
      <c r="B141" s="2625" t="s">
        <v>5156</v>
      </c>
      <c r="C141" s="2605"/>
      <c r="D141" s="2607">
        <v>-266033</v>
      </c>
      <c r="E141" s="2624"/>
    </row>
    <row r="142" spans="1:5">
      <c r="A142" s="2620"/>
      <c r="B142" s="2625" t="s">
        <v>4603</v>
      </c>
      <c r="C142" s="2605"/>
      <c r="D142" s="2607">
        <v>-248709</v>
      </c>
      <c r="E142" s="2624"/>
    </row>
    <row r="143" spans="1:5">
      <c r="A143" s="2620"/>
      <c r="B143" s="2625" t="s">
        <v>5165</v>
      </c>
      <c r="C143" s="2605"/>
      <c r="D143" s="2607">
        <v>-184337</v>
      </c>
      <c r="E143" s="2624"/>
    </row>
    <row r="144" spans="1:5">
      <c r="A144" s="2620"/>
      <c r="B144" s="2625" t="s">
        <v>5161</v>
      </c>
      <c r="C144" s="2605"/>
      <c r="D144" s="2607">
        <v>-106633</v>
      </c>
      <c r="E144" s="2624"/>
    </row>
    <row r="145" spans="1:5">
      <c r="A145" s="2620"/>
      <c r="B145" s="2625" t="s">
        <v>5168</v>
      </c>
      <c r="C145" s="2605"/>
      <c r="D145" s="2607">
        <v>-83258</v>
      </c>
      <c r="E145" s="2624"/>
    </row>
    <row r="146" spans="1:5">
      <c r="A146" s="2620"/>
      <c r="B146" s="2625" t="s">
        <v>5159</v>
      </c>
      <c r="C146" s="2605"/>
      <c r="D146" s="2607">
        <v>-77559</v>
      </c>
      <c r="E146" s="2624"/>
    </row>
    <row r="147" spans="1:5">
      <c r="A147" s="2620"/>
      <c r="B147" s="2625" t="s">
        <v>5141</v>
      </c>
      <c r="C147" s="2605"/>
      <c r="D147" s="2607">
        <v>-61077</v>
      </c>
      <c r="E147" s="2624"/>
    </row>
    <row r="148" spans="1:5">
      <c r="A148" s="2620"/>
      <c r="B148" s="2625" t="s">
        <v>5327</v>
      </c>
      <c r="C148" s="2605"/>
      <c r="D148" s="2607">
        <v>-3143</v>
      </c>
      <c r="E148" s="2624"/>
    </row>
    <row r="149" spans="1:5">
      <c r="A149" s="2620"/>
      <c r="B149" s="2625" t="s">
        <v>5144</v>
      </c>
      <c r="C149" s="2605"/>
      <c r="D149" s="2607">
        <v>-418</v>
      </c>
      <c r="E149" s="2624"/>
    </row>
    <row r="150" spans="1:5">
      <c r="A150" s="2620"/>
      <c r="B150" s="2625" t="s">
        <v>5170</v>
      </c>
      <c r="C150" s="2605"/>
      <c r="D150" s="2607">
        <v>-15</v>
      </c>
      <c r="E150" s="2624"/>
    </row>
    <row r="151" spans="1:5">
      <c r="A151" s="2620"/>
      <c r="B151" s="2625"/>
      <c r="C151" s="2605"/>
      <c r="D151" s="2607"/>
      <c r="E151" s="2624"/>
    </row>
    <row r="152" spans="1:5">
      <c r="A152" s="2620"/>
      <c r="B152" s="2625"/>
      <c r="C152" s="2605"/>
      <c r="D152" s="2607"/>
      <c r="E152" s="2624"/>
    </row>
    <row r="153" spans="1:5">
      <c r="A153" s="2620"/>
      <c r="B153" s="2626"/>
      <c r="C153" s="2605"/>
      <c r="D153" s="2607"/>
      <c r="E153" s="2624"/>
    </row>
    <row r="154" spans="1:5">
      <c r="A154" s="2620"/>
      <c r="B154" s="2626"/>
      <c r="C154" s="2605"/>
      <c r="D154" s="2607"/>
      <c r="E154" s="2624"/>
    </row>
    <row r="155" spans="1:5">
      <c r="A155" s="2620"/>
      <c r="B155" s="2625"/>
      <c r="C155" s="2605"/>
      <c r="D155" s="2607"/>
      <c r="E155" s="2624"/>
    </row>
    <row r="156" spans="1:5">
      <c r="A156" s="2620"/>
      <c r="B156" s="2625"/>
      <c r="C156" s="2605"/>
      <c r="D156" s="2607"/>
      <c r="E156" s="2624"/>
    </row>
    <row r="157" spans="1:5">
      <c r="A157" s="2620"/>
      <c r="B157" s="2625"/>
      <c r="C157" s="2605"/>
      <c r="D157" s="2607"/>
      <c r="E157" s="2624"/>
    </row>
    <row r="158" spans="1:5" ht="15.75">
      <c r="A158" s="2620"/>
      <c r="B158" s="2627"/>
      <c r="C158" s="2605"/>
      <c r="D158" s="2605"/>
      <c r="E158" s="2611">
        <f>SUM(D128:D157)</f>
        <v>-32406144</v>
      </c>
    </row>
    <row r="159" spans="1:5">
      <c r="A159" s="2620"/>
      <c r="B159" s="2627"/>
      <c r="C159" s="2605"/>
      <c r="D159" s="2605"/>
      <c r="E159" s="2624"/>
    </row>
    <row r="160" spans="1:5">
      <c r="A160" s="2620"/>
      <c r="B160" s="2627"/>
      <c r="C160" s="2605"/>
      <c r="D160" s="2605"/>
      <c r="E160" s="2624"/>
    </row>
    <row r="161" spans="1:5">
      <c r="A161" s="2620"/>
      <c r="B161" s="2627"/>
      <c r="C161" s="2605"/>
      <c r="D161" s="2605"/>
      <c r="E161" s="2624"/>
    </row>
    <row r="162" spans="1:5">
      <c r="A162" s="2620"/>
      <c r="B162" s="2627"/>
      <c r="C162" s="2605"/>
      <c r="D162" s="2605"/>
      <c r="E162" s="2624"/>
    </row>
    <row r="163" spans="1:5">
      <c r="A163" s="2620"/>
      <c r="B163" s="2627"/>
      <c r="C163" s="2605"/>
      <c r="D163" s="2605"/>
      <c r="E163" s="2624"/>
    </row>
    <row r="164" spans="1:5">
      <c r="A164" s="2620"/>
      <c r="B164" s="2627"/>
      <c r="C164" s="2605"/>
      <c r="D164" s="2605"/>
      <c r="E164" s="2624"/>
    </row>
    <row r="165" spans="1:5">
      <c r="A165" s="2620"/>
      <c r="B165" s="2627"/>
      <c r="C165" s="2605"/>
      <c r="D165" s="2605"/>
      <c r="E165" s="2624"/>
    </row>
    <row r="166" spans="1:5">
      <c r="A166" s="2620"/>
      <c r="B166" s="2627"/>
      <c r="C166" s="2605"/>
      <c r="D166" s="2605"/>
      <c r="E166" s="2624"/>
    </row>
    <row r="167" spans="1:5">
      <c r="A167" s="2620"/>
      <c r="B167" s="2627"/>
      <c r="C167" s="2605"/>
      <c r="D167" s="2605"/>
      <c r="E167" s="2624"/>
    </row>
    <row r="168" spans="1:5">
      <c r="A168" s="2620"/>
      <c r="B168" s="2627"/>
      <c r="C168" s="2605"/>
      <c r="D168" s="2605"/>
      <c r="E168" s="2624"/>
    </row>
    <row r="169" spans="1:5">
      <c r="A169" s="2620"/>
      <c r="B169" s="2627"/>
      <c r="C169" s="2605"/>
      <c r="D169" s="2605"/>
      <c r="E169" s="2624"/>
    </row>
    <row r="170" spans="1:5">
      <c r="A170" s="2620"/>
      <c r="B170" s="2627"/>
      <c r="C170" s="2605"/>
      <c r="D170" s="2605"/>
      <c r="E170" s="2624"/>
    </row>
    <row r="171" spans="1:5">
      <c r="A171" s="2620"/>
      <c r="B171" s="2627"/>
      <c r="C171" s="2605"/>
      <c r="D171" s="2605"/>
      <c r="E171" s="2624"/>
    </row>
    <row r="172" spans="1:5">
      <c r="A172" s="2620"/>
      <c r="B172" s="2627"/>
      <c r="C172" s="2605"/>
      <c r="D172" s="2605"/>
      <c r="E172" s="2624"/>
    </row>
    <row r="173" spans="1:5">
      <c r="A173" s="2620"/>
      <c r="B173" s="2627"/>
      <c r="C173" s="2605"/>
      <c r="D173" s="2605"/>
      <c r="E173" s="2624"/>
    </row>
    <row r="174" spans="1:5">
      <c r="A174" s="2620"/>
      <c r="B174" s="2627"/>
      <c r="C174" s="2605"/>
      <c r="D174" s="2605"/>
      <c r="E174" s="2624"/>
    </row>
    <row r="175" spans="1:5">
      <c r="A175" s="2620"/>
      <c r="B175" s="2627"/>
      <c r="C175" s="2605"/>
      <c r="D175" s="2605"/>
      <c r="E175" s="2624"/>
    </row>
    <row r="176" spans="1:5">
      <c r="A176" s="2620"/>
      <c r="B176" s="2627"/>
      <c r="C176" s="2605"/>
      <c r="D176" s="2605"/>
      <c r="E176" s="2624"/>
    </row>
    <row r="177" spans="1:5">
      <c r="A177" s="2620"/>
      <c r="B177" s="2627"/>
      <c r="C177" s="2605"/>
      <c r="D177" s="2605"/>
      <c r="E177" s="2624"/>
    </row>
    <row r="178" spans="1:5">
      <c r="A178" s="2620"/>
      <c r="B178" s="2627"/>
      <c r="C178" s="2605"/>
      <c r="D178" s="2605"/>
      <c r="E178" s="2624"/>
    </row>
    <row r="179" spans="1:5" ht="15.75" thickBot="1">
      <c r="A179" s="2628"/>
      <c r="B179" s="2629"/>
      <c r="C179" s="2630"/>
      <c r="D179" s="2630"/>
      <c r="E179" s="2631"/>
    </row>
    <row r="180" spans="1:5">
      <c r="A180" s="2605"/>
      <c r="B180" s="2605"/>
      <c r="C180" s="2605"/>
      <c r="D180" s="2605"/>
      <c r="E180" s="2605"/>
    </row>
    <row r="181" spans="1:5">
      <c r="A181" s="2632" t="s">
        <v>5302</v>
      </c>
      <c r="B181" s="2608"/>
      <c r="C181" s="2608"/>
      <c r="D181" s="2608"/>
      <c r="E181" s="2608"/>
    </row>
    <row r="182" spans="1:5">
      <c r="A182" s="2605"/>
      <c r="B182" s="2605"/>
      <c r="C182" s="2605"/>
      <c r="D182" s="2605"/>
      <c r="E182" s="2605"/>
    </row>
  </sheetData>
  <phoneticPr fontId="0" type="noConversion"/>
  <printOptions horizontalCentered="1"/>
  <pageMargins left="0.4" right="0.4" top="0.75" bottom="0" header="0" footer="0"/>
  <pageSetup scale="80" fitToHeight="2" orientation="portrait" r:id="rId1"/>
  <headerFooter scaleWithDoc="0" alignWithMargins="0"/>
  <rowBreaks count="2" manualBreakCount="2">
    <brk id="57" max="4" man="1"/>
    <brk id="11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6"/>
  <dimension ref="B1:F58"/>
  <sheetViews>
    <sheetView defaultGridColor="0" colorId="22" zoomScale="87" zoomScaleNormal="87" workbookViewId="0">
      <selection activeCell="C55" sqref="C55"/>
    </sheetView>
  </sheetViews>
  <sheetFormatPr defaultColWidth="9.77734375" defaultRowHeight="15"/>
  <cols>
    <col min="1" max="2" width="2.77734375" customWidth="1"/>
    <col min="3" max="3" width="33.77734375" customWidth="1"/>
    <col min="4" max="4" width="24" customWidth="1"/>
    <col min="5" max="6" width="15.77734375" customWidth="1"/>
  </cols>
  <sheetData>
    <row r="1" spans="2:6" ht="15.75" thickBot="1">
      <c r="B1" t="str">
        <f>'Data sheet'!A57</f>
        <v>Annual Report of Veolia Water New York, Inc.                                              Year Ended  December 31, 2023</v>
      </c>
    </row>
    <row r="2" spans="2:6">
      <c r="B2" s="80"/>
      <c r="C2" s="81"/>
      <c r="D2" s="81"/>
      <c r="E2" s="81"/>
      <c r="F2" s="82"/>
    </row>
    <row r="3" spans="2:6" ht="15.75">
      <c r="B3" s="118" t="s">
        <v>845</v>
      </c>
      <c r="C3" s="4"/>
      <c r="D3" s="4"/>
      <c r="E3" s="4"/>
      <c r="F3" s="119"/>
    </row>
    <row r="4" spans="2:6">
      <c r="B4" s="120"/>
      <c r="C4" s="121"/>
      <c r="D4" s="121"/>
      <c r="E4" s="121"/>
      <c r="F4" s="122"/>
    </row>
    <row r="5" spans="2:6">
      <c r="B5" s="83"/>
      <c r="C5" s="977" t="s">
        <v>846</v>
      </c>
      <c r="D5" s="4"/>
      <c r="E5" s="4"/>
      <c r="F5" s="119"/>
    </row>
    <row r="6" spans="2:6">
      <c r="B6" s="83"/>
      <c r="C6" s="977" t="s">
        <v>1137</v>
      </c>
      <c r="D6" s="4"/>
      <c r="E6" s="4"/>
      <c r="F6" s="119"/>
    </row>
    <row r="7" spans="2:6">
      <c r="B7" s="83"/>
      <c r="C7" s="977" t="s">
        <v>1138</v>
      </c>
      <c r="D7" s="4"/>
      <c r="E7" s="4"/>
      <c r="F7" s="119"/>
    </row>
    <row r="8" spans="2:6">
      <c r="B8" s="83"/>
      <c r="C8" s="977" t="s">
        <v>1139</v>
      </c>
      <c r="D8" s="4"/>
      <c r="E8" s="4"/>
      <c r="F8" s="119"/>
    </row>
    <row r="9" spans="2:6">
      <c r="B9" s="83"/>
      <c r="C9" s="4"/>
      <c r="D9" s="4"/>
      <c r="E9" s="4"/>
      <c r="F9" s="119"/>
    </row>
    <row r="10" spans="2:6">
      <c r="B10" s="83"/>
      <c r="D10" s="94" t="s">
        <v>5216</v>
      </c>
      <c r="E10" s="4"/>
      <c r="F10" s="119"/>
    </row>
    <row r="11" spans="2:6">
      <c r="B11" s="83"/>
      <c r="D11" s="94" t="s">
        <v>5218</v>
      </c>
      <c r="E11" s="4"/>
      <c r="F11" s="119"/>
    </row>
    <row r="12" spans="2:6">
      <c r="B12" s="83"/>
      <c r="D12" s="94" t="s">
        <v>4623</v>
      </c>
      <c r="E12" s="4"/>
      <c r="F12" s="119"/>
    </row>
    <row r="13" spans="2:6">
      <c r="B13" s="83"/>
      <c r="D13" s="94" t="s">
        <v>4624</v>
      </c>
      <c r="E13" s="4"/>
      <c r="F13" s="119"/>
    </row>
    <row r="14" spans="2:6">
      <c r="B14" s="83"/>
      <c r="C14" s="4"/>
      <c r="D14" s="4"/>
      <c r="E14" s="4"/>
      <c r="F14" s="119"/>
    </row>
    <row r="15" spans="2:6">
      <c r="B15" s="123"/>
      <c r="C15" s="121"/>
      <c r="D15" s="121"/>
      <c r="E15" s="121"/>
      <c r="F15" s="122"/>
    </row>
    <row r="16" spans="2:6">
      <c r="B16" s="83"/>
      <c r="C16" s="977" t="s">
        <v>1140</v>
      </c>
      <c r="D16" s="4"/>
      <c r="E16" s="4"/>
      <c r="F16" s="119"/>
    </row>
    <row r="17" spans="2:6">
      <c r="B17" s="83"/>
      <c r="C17" s="977" t="s">
        <v>322</v>
      </c>
      <c r="D17" s="4"/>
      <c r="E17" s="4"/>
      <c r="F17" s="119"/>
    </row>
    <row r="18" spans="2:6">
      <c r="B18" s="83"/>
      <c r="C18" s="977" t="s">
        <v>700</v>
      </c>
      <c r="D18" s="4"/>
      <c r="E18" s="4"/>
      <c r="F18" s="119"/>
    </row>
    <row r="19" spans="2:6">
      <c r="B19" s="83"/>
      <c r="C19" s="977" t="s">
        <v>1035</v>
      </c>
      <c r="D19" s="4"/>
      <c r="E19" s="4"/>
      <c r="F19" s="119"/>
    </row>
    <row r="20" spans="2:6">
      <c r="B20" s="83"/>
      <c r="C20" s="4"/>
      <c r="D20" s="4"/>
      <c r="E20" s="4"/>
      <c r="F20" s="119"/>
    </row>
    <row r="21" spans="2:6">
      <c r="B21" s="83"/>
      <c r="C21" s="4" t="s">
        <v>1571</v>
      </c>
      <c r="D21" s="4"/>
      <c r="E21" s="4"/>
      <c r="F21" s="119"/>
    </row>
    <row r="22" spans="2:6">
      <c r="B22" s="83"/>
      <c r="C22" s="4" t="s">
        <v>894</v>
      </c>
      <c r="D22" s="4"/>
      <c r="E22" s="4"/>
      <c r="F22" s="119"/>
    </row>
    <row r="23" spans="2:6">
      <c r="B23" s="83"/>
      <c r="C23" s="4" t="s">
        <v>895</v>
      </c>
      <c r="D23" s="4"/>
      <c r="E23" s="4"/>
      <c r="F23" s="119"/>
    </row>
    <row r="24" spans="2:6">
      <c r="B24" s="83"/>
      <c r="C24" s="4" t="s">
        <v>896</v>
      </c>
      <c r="D24" s="4"/>
      <c r="E24" s="4"/>
      <c r="F24" s="119"/>
    </row>
    <row r="25" spans="2:6">
      <c r="B25" s="123"/>
      <c r="C25" s="121"/>
      <c r="D25" s="121"/>
      <c r="E25" s="121"/>
      <c r="F25" s="122"/>
    </row>
    <row r="26" spans="2:6">
      <c r="B26" s="83"/>
      <c r="C26" s="977" t="s">
        <v>1036</v>
      </c>
      <c r="D26" s="4"/>
      <c r="E26" s="4"/>
      <c r="F26" s="119"/>
    </row>
    <row r="27" spans="2:6">
      <c r="B27" s="83"/>
      <c r="C27" s="977" t="s">
        <v>1136</v>
      </c>
      <c r="D27" s="4"/>
      <c r="E27" s="4"/>
      <c r="F27" s="119"/>
    </row>
    <row r="28" spans="2:6">
      <c r="B28" s="83"/>
      <c r="C28" s="977" t="s">
        <v>0</v>
      </c>
      <c r="D28" s="4"/>
      <c r="E28" s="4"/>
      <c r="F28" s="119"/>
    </row>
    <row r="29" spans="2:6">
      <c r="B29" s="83"/>
      <c r="C29" s="977" t="s">
        <v>1</v>
      </c>
      <c r="D29" s="4"/>
      <c r="E29" s="4"/>
      <c r="F29" s="119"/>
    </row>
    <row r="30" spans="2:6">
      <c r="B30" s="83"/>
      <c r="C30" s="4"/>
      <c r="D30" s="4"/>
      <c r="E30" s="4"/>
      <c r="F30" s="119"/>
    </row>
    <row r="31" spans="2:6">
      <c r="B31" s="83"/>
      <c r="C31" s="4"/>
      <c r="D31" s="4"/>
      <c r="E31" s="4"/>
      <c r="F31" s="119"/>
    </row>
    <row r="32" spans="2:6">
      <c r="B32" s="83"/>
      <c r="C32" s="4"/>
      <c r="D32" s="4"/>
      <c r="E32" s="4"/>
      <c r="F32" s="119"/>
    </row>
    <row r="33" spans="2:6">
      <c r="B33" s="83"/>
      <c r="C33" s="4" t="s">
        <v>1572</v>
      </c>
      <c r="D33" s="4"/>
      <c r="E33" s="4"/>
      <c r="F33" s="119"/>
    </row>
    <row r="34" spans="2:6">
      <c r="B34" s="83"/>
      <c r="C34" s="4"/>
      <c r="D34" s="4"/>
      <c r="E34" s="4"/>
      <c r="F34" s="119"/>
    </row>
    <row r="35" spans="2:6">
      <c r="B35" s="83"/>
      <c r="C35" s="4"/>
      <c r="D35" s="4"/>
      <c r="E35" s="4"/>
      <c r="F35" s="119"/>
    </row>
    <row r="36" spans="2:6">
      <c r="B36" s="83"/>
      <c r="C36" s="4"/>
      <c r="D36" s="4"/>
      <c r="E36" s="4"/>
      <c r="F36" s="119"/>
    </row>
    <row r="37" spans="2:6">
      <c r="B37" s="83"/>
      <c r="C37" s="4"/>
      <c r="D37" s="4"/>
      <c r="E37" s="4"/>
      <c r="F37" s="119"/>
    </row>
    <row r="38" spans="2:6">
      <c r="B38" s="123"/>
      <c r="C38" s="121"/>
      <c r="D38" s="121"/>
      <c r="E38" s="121"/>
      <c r="F38" s="122"/>
    </row>
    <row r="39" spans="2:6">
      <c r="B39" s="83"/>
      <c r="C39" s="977" t="s">
        <v>4296</v>
      </c>
      <c r="D39" s="4"/>
      <c r="E39" s="4"/>
      <c r="F39" s="119"/>
    </row>
    <row r="40" spans="2:6">
      <c r="B40" s="83"/>
      <c r="C40" s="977" t="s">
        <v>4297</v>
      </c>
      <c r="D40" s="4"/>
      <c r="E40" s="4"/>
      <c r="F40" s="119"/>
    </row>
    <row r="41" spans="2:6">
      <c r="B41" s="83"/>
      <c r="C41" s="4"/>
      <c r="D41" s="4"/>
      <c r="E41" s="4"/>
      <c r="F41" s="119"/>
    </row>
    <row r="42" spans="2:6">
      <c r="B42" s="83"/>
      <c r="C42" s="4"/>
      <c r="D42" s="4"/>
      <c r="E42" s="4"/>
      <c r="F42" s="119"/>
    </row>
    <row r="43" spans="2:6">
      <c r="B43" s="83"/>
      <c r="C43" s="4"/>
      <c r="D43" s="4"/>
      <c r="E43" s="4"/>
      <c r="F43" s="119"/>
    </row>
    <row r="44" spans="2:6">
      <c r="B44" s="83"/>
      <c r="C44" s="4" t="s">
        <v>3446</v>
      </c>
      <c r="D44" s="4"/>
      <c r="E44" s="4"/>
      <c r="F44" s="119"/>
    </row>
    <row r="45" spans="2:6">
      <c r="B45" s="83"/>
      <c r="C45" s="4"/>
      <c r="D45" s="4"/>
      <c r="E45" s="4"/>
      <c r="F45" s="119"/>
    </row>
    <row r="46" spans="2:6">
      <c r="B46" s="83"/>
      <c r="C46" s="4"/>
      <c r="D46" s="4"/>
      <c r="E46" s="4"/>
      <c r="F46" s="119"/>
    </row>
    <row r="47" spans="2:6">
      <c r="B47" s="83"/>
      <c r="C47" s="4"/>
      <c r="D47" s="4"/>
      <c r="E47" s="4"/>
      <c r="F47" s="119"/>
    </row>
    <row r="48" spans="2:6">
      <c r="B48" s="123"/>
      <c r="C48" s="121"/>
      <c r="D48" s="121"/>
      <c r="E48" s="121"/>
      <c r="F48" s="122"/>
    </row>
    <row r="49" spans="2:6">
      <c r="B49" s="83"/>
      <c r="C49" s="977" t="s">
        <v>4298</v>
      </c>
      <c r="D49" s="4"/>
      <c r="E49" s="4"/>
      <c r="F49" s="119"/>
    </row>
    <row r="50" spans="2:6">
      <c r="B50" s="83"/>
      <c r="C50" s="977" t="s">
        <v>1995</v>
      </c>
      <c r="D50" s="4"/>
      <c r="E50" s="4"/>
      <c r="F50" s="119"/>
    </row>
    <row r="51" spans="2:6">
      <c r="B51" s="83"/>
      <c r="C51" s="977"/>
      <c r="D51" s="4"/>
      <c r="E51" s="4"/>
      <c r="F51" s="119"/>
    </row>
    <row r="52" spans="2:6">
      <c r="B52" s="83"/>
      <c r="C52" s="108" t="s">
        <v>5314</v>
      </c>
      <c r="D52" s="4"/>
      <c r="E52" s="4"/>
      <c r="F52" s="119"/>
    </row>
    <row r="53" spans="2:6">
      <c r="B53" s="83"/>
      <c r="C53" s="1539" t="s">
        <v>5217</v>
      </c>
      <c r="D53" s="4"/>
      <c r="E53" s="4"/>
      <c r="F53" s="119"/>
    </row>
    <row r="54" spans="2:6">
      <c r="B54" s="83"/>
      <c r="C54" s="625" t="s">
        <v>5317</v>
      </c>
      <c r="D54" s="4"/>
      <c r="E54" s="4"/>
      <c r="F54" s="119"/>
    </row>
    <row r="55" spans="2:6">
      <c r="B55" s="83"/>
      <c r="D55" s="4"/>
      <c r="E55" s="4"/>
      <c r="F55" s="119"/>
    </row>
    <row r="56" spans="2:6" ht="15.75" thickBot="1">
      <c r="B56" s="124"/>
      <c r="C56" s="125"/>
      <c r="D56" s="126"/>
      <c r="E56" s="126"/>
      <c r="F56" s="127"/>
    </row>
    <row r="57" spans="2:6">
      <c r="B57" s="977" t="s">
        <v>3233</v>
      </c>
      <c r="D57" s="4"/>
      <c r="E57" s="4"/>
      <c r="F57" s="4"/>
    </row>
    <row r="58" spans="2:6">
      <c r="B58" s="4" t="s">
        <v>1996</v>
      </c>
      <c r="C58" s="4"/>
      <c r="D58" s="4"/>
      <c r="E58" s="4"/>
      <c r="F58" s="4"/>
    </row>
  </sheetData>
  <phoneticPr fontId="0" type="noConversion"/>
  <pageMargins left="0.4" right="0.4" top="0.3" bottom="0.3" header="0.5" footer="0.5"/>
  <pageSetup scale="82"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ransitionEvaluation="1" codeName="Sheet63">
    <pageSetUpPr fitToPage="1"/>
  </sheetPr>
  <dimension ref="A1:H61"/>
  <sheetViews>
    <sheetView defaultGridColor="0" colorId="22" zoomScaleNormal="100" workbookViewId="0">
      <selection activeCell="D27" sqref="D27"/>
    </sheetView>
  </sheetViews>
  <sheetFormatPr defaultColWidth="9.77734375" defaultRowHeight="15"/>
  <cols>
    <col min="1" max="1" width="5.5546875" customWidth="1"/>
    <col min="2" max="2" width="2.77734375" customWidth="1"/>
    <col min="3" max="3" width="49.77734375" customWidth="1"/>
    <col min="4" max="4" width="12.77734375" customWidth="1"/>
    <col min="5" max="6" width="10.77734375" customWidth="1"/>
    <col min="7" max="7" width="13.77734375" customWidth="1"/>
  </cols>
  <sheetData>
    <row r="1" spans="1:8" ht="16.5" thickBot="1">
      <c r="A1" s="86" t="str">
        <f>'Data sheet'!A59</f>
        <v>Annual Report of Veolia Water New York, Inc.                                                             Year Ended  December 31, 2023</v>
      </c>
      <c r="B1" s="86"/>
      <c r="C1" s="86"/>
      <c r="D1" s="5"/>
      <c r="E1" s="5"/>
      <c r="F1" s="5"/>
      <c r="G1" s="3"/>
      <c r="H1" s="86"/>
    </row>
    <row r="2" spans="1:8">
      <c r="A2" s="129"/>
      <c r="B2" s="130"/>
      <c r="C2" s="130"/>
      <c r="D2" s="130"/>
      <c r="E2" s="130"/>
      <c r="F2" s="130"/>
      <c r="G2" s="131"/>
      <c r="H2" s="86"/>
    </row>
    <row r="3" spans="1:8" ht="15.75">
      <c r="A3" s="118" t="s">
        <v>1564</v>
      </c>
      <c r="B3" s="5"/>
      <c r="C3" s="5"/>
      <c r="D3" s="5"/>
      <c r="E3" s="5"/>
      <c r="F3" s="5"/>
      <c r="G3" s="132"/>
      <c r="H3" s="86"/>
    </row>
    <row r="4" spans="1:8">
      <c r="A4" s="85"/>
      <c r="B4" s="86"/>
      <c r="C4" s="86"/>
      <c r="D4" s="86"/>
      <c r="E4" s="86"/>
      <c r="F4" s="86"/>
      <c r="G4" s="87"/>
      <c r="H4" s="86"/>
    </row>
    <row r="5" spans="1:8">
      <c r="A5" s="85"/>
      <c r="B5" s="86" t="s">
        <v>1565</v>
      </c>
      <c r="C5" s="86"/>
      <c r="D5" s="86"/>
      <c r="E5" s="86"/>
      <c r="F5" s="86"/>
      <c r="G5" s="87"/>
      <c r="H5" s="86"/>
    </row>
    <row r="6" spans="1:8">
      <c r="A6" s="85"/>
      <c r="B6" s="86" t="s">
        <v>476</v>
      </c>
      <c r="C6" s="86"/>
      <c r="D6" s="86"/>
      <c r="E6" s="86"/>
      <c r="F6" s="86"/>
      <c r="G6" s="87"/>
      <c r="H6" s="86"/>
    </row>
    <row r="7" spans="1:8">
      <c r="A7" s="85"/>
      <c r="B7" s="86" t="s">
        <v>949</v>
      </c>
      <c r="C7" s="86"/>
      <c r="D7" s="86"/>
      <c r="E7" s="86"/>
      <c r="F7" s="86"/>
      <c r="G7" s="87"/>
      <c r="H7" s="86"/>
    </row>
    <row r="8" spans="1:8">
      <c r="A8" s="85"/>
      <c r="B8" s="86" t="s">
        <v>950</v>
      </c>
      <c r="C8" s="86"/>
      <c r="D8" s="86"/>
      <c r="E8" s="86"/>
      <c r="F8" s="86"/>
      <c r="G8" s="87"/>
      <c r="H8" s="86"/>
    </row>
    <row r="9" spans="1:8">
      <c r="A9" s="97"/>
      <c r="B9" s="98"/>
      <c r="C9" s="98"/>
      <c r="D9" s="98"/>
      <c r="E9" s="98"/>
      <c r="F9" s="98"/>
      <c r="G9" s="101"/>
      <c r="H9" s="86"/>
    </row>
    <row r="10" spans="1:8">
      <c r="A10" s="97"/>
      <c r="B10" s="98"/>
      <c r="C10" s="98"/>
      <c r="D10" s="98"/>
      <c r="E10" s="98"/>
      <c r="F10" s="98"/>
      <c r="G10" s="101"/>
      <c r="H10" s="86"/>
    </row>
    <row r="11" spans="1:8">
      <c r="A11" s="237"/>
      <c r="B11" s="86"/>
      <c r="C11" s="95"/>
      <c r="D11" s="440" t="s">
        <v>951</v>
      </c>
      <c r="E11" s="440"/>
      <c r="F11" s="440"/>
      <c r="G11" s="428" t="s">
        <v>4311</v>
      </c>
      <c r="H11" s="86"/>
    </row>
    <row r="12" spans="1:8">
      <c r="A12" s="237" t="s">
        <v>2048</v>
      </c>
      <c r="B12" s="86"/>
      <c r="C12" s="440" t="s">
        <v>952</v>
      </c>
      <c r="D12" s="440" t="s">
        <v>953</v>
      </c>
      <c r="E12" s="440"/>
      <c r="F12" s="440"/>
      <c r="G12" s="87"/>
      <c r="H12" s="86"/>
    </row>
    <row r="13" spans="1:8">
      <c r="A13" s="240" t="s">
        <v>2051</v>
      </c>
      <c r="B13" s="98"/>
      <c r="C13" s="1000" t="s">
        <v>3279</v>
      </c>
      <c r="D13" s="1000" t="s">
        <v>3280</v>
      </c>
      <c r="E13" s="1000" t="s">
        <v>3281</v>
      </c>
      <c r="F13" s="1000" t="s">
        <v>3282</v>
      </c>
      <c r="G13" s="424" t="s">
        <v>721</v>
      </c>
      <c r="H13" s="86"/>
    </row>
    <row r="14" spans="1:8" ht="15.75">
      <c r="A14" s="237">
        <v>1</v>
      </c>
      <c r="B14" s="86" t="s">
        <v>954</v>
      </c>
      <c r="C14" s="229"/>
      <c r="D14" s="608"/>
      <c r="E14" s="608"/>
      <c r="F14" s="608"/>
      <c r="G14" s="435"/>
      <c r="H14" s="86"/>
    </row>
    <row r="15" spans="1:8">
      <c r="A15" s="237">
        <v>2</v>
      </c>
      <c r="B15" s="86"/>
      <c r="C15" s="111" t="s">
        <v>955</v>
      </c>
      <c r="D15" s="608"/>
      <c r="E15" s="608"/>
      <c r="F15" s="608"/>
      <c r="G15" s="435">
        <f t="shared" ref="G15:G22" si="0">SUM(D15:F15)</f>
        <v>0</v>
      </c>
      <c r="H15" s="86"/>
    </row>
    <row r="16" spans="1:8">
      <c r="A16" s="237">
        <v>3</v>
      </c>
      <c r="B16" s="86"/>
      <c r="C16" s="95" t="s">
        <v>956</v>
      </c>
      <c r="D16" s="1132"/>
      <c r="E16" s="1133"/>
      <c r="F16" s="1133"/>
      <c r="G16" s="427">
        <f t="shared" si="0"/>
        <v>0</v>
      </c>
      <c r="H16" s="86"/>
    </row>
    <row r="17" spans="1:8">
      <c r="A17" s="237">
        <v>4</v>
      </c>
      <c r="B17" s="86"/>
      <c r="C17" s="95" t="s">
        <v>957</v>
      </c>
      <c r="D17" s="1133"/>
      <c r="E17" s="1133"/>
      <c r="F17" s="1133"/>
      <c r="G17" s="427">
        <f t="shared" si="0"/>
        <v>0</v>
      </c>
      <c r="H17" s="86"/>
    </row>
    <row r="18" spans="1:8">
      <c r="A18" s="237">
        <v>5</v>
      </c>
      <c r="B18" s="86"/>
      <c r="C18" s="95" t="s">
        <v>958</v>
      </c>
      <c r="D18" s="1133"/>
      <c r="E18" s="1133"/>
      <c r="F18" s="1133"/>
      <c r="G18" s="427">
        <f t="shared" si="0"/>
        <v>0</v>
      </c>
      <c r="H18" s="86"/>
    </row>
    <row r="19" spans="1:8">
      <c r="A19" s="237">
        <v>6</v>
      </c>
      <c r="B19" s="86"/>
      <c r="C19" s="95"/>
      <c r="D19" s="1133"/>
      <c r="E19" s="1133"/>
      <c r="F19" s="1133"/>
      <c r="G19" s="427">
        <f t="shared" si="0"/>
        <v>0</v>
      </c>
      <c r="H19" s="86"/>
    </row>
    <row r="20" spans="1:8">
      <c r="A20" s="237">
        <v>7</v>
      </c>
      <c r="B20" s="86"/>
      <c r="C20" s="95"/>
      <c r="D20" s="1133"/>
      <c r="E20" s="1133"/>
      <c r="F20" s="1133"/>
      <c r="G20" s="427">
        <f t="shared" si="0"/>
        <v>0</v>
      </c>
      <c r="H20" s="86"/>
    </row>
    <row r="21" spans="1:8">
      <c r="A21" s="237">
        <v>8</v>
      </c>
      <c r="B21" s="86"/>
      <c r="C21" s="231"/>
      <c r="D21" s="577"/>
      <c r="E21" s="577"/>
      <c r="F21" s="577"/>
      <c r="G21" s="427">
        <f t="shared" si="0"/>
        <v>0</v>
      </c>
      <c r="H21" s="86"/>
    </row>
    <row r="22" spans="1:8">
      <c r="A22" s="237">
        <v>9</v>
      </c>
      <c r="B22" s="86"/>
      <c r="C22" s="440"/>
      <c r="D22" s="577"/>
      <c r="E22" s="577"/>
      <c r="F22" s="577"/>
      <c r="G22" s="427">
        <f t="shared" si="0"/>
        <v>0</v>
      </c>
      <c r="H22" s="86"/>
    </row>
    <row r="23" spans="1:8">
      <c r="A23" s="237">
        <v>10</v>
      </c>
      <c r="B23" s="86"/>
      <c r="C23" s="231" t="s">
        <v>959</v>
      </c>
      <c r="D23" s="381">
        <f>SUM(D15:D22)</f>
        <v>0</v>
      </c>
      <c r="E23" s="381">
        <f>SUM(E15:E22)</f>
        <v>0</v>
      </c>
      <c r="F23" s="381">
        <f>SUM(F15:F22)</f>
        <v>0</v>
      </c>
      <c r="G23" s="379">
        <f>SUM(G15:G22)</f>
        <v>0</v>
      </c>
      <c r="H23" s="86"/>
    </row>
    <row r="24" spans="1:8">
      <c r="A24" s="237">
        <v>11</v>
      </c>
      <c r="B24" s="86"/>
      <c r="C24" s="95"/>
      <c r="D24" s="1133"/>
      <c r="E24" s="1133"/>
      <c r="F24" s="1133"/>
      <c r="G24" s="427"/>
      <c r="H24" s="86"/>
    </row>
    <row r="25" spans="1:8">
      <c r="A25" s="237">
        <v>12</v>
      </c>
      <c r="B25" s="86"/>
      <c r="C25" s="95"/>
      <c r="D25" s="1134"/>
      <c r="E25" s="1134"/>
      <c r="F25" s="1134"/>
      <c r="G25" s="427"/>
      <c r="H25" s="86"/>
    </row>
    <row r="26" spans="1:8">
      <c r="A26" s="237">
        <v>13</v>
      </c>
      <c r="B26" s="86" t="s">
        <v>960</v>
      </c>
      <c r="C26" s="95"/>
      <c r="D26" s="1134"/>
      <c r="E26" s="1134"/>
      <c r="F26" s="1134"/>
      <c r="G26" s="427"/>
      <c r="H26" s="86"/>
    </row>
    <row r="27" spans="1:8">
      <c r="A27" s="237">
        <v>14</v>
      </c>
      <c r="B27" s="86"/>
      <c r="C27" s="95" t="s">
        <v>5061</v>
      </c>
      <c r="D27" s="554"/>
      <c r="E27" s="554"/>
      <c r="F27" s="554"/>
      <c r="G27" s="435">
        <f t="shared" ref="G27:G42" si="1">SUM(D27:F27)</f>
        <v>0</v>
      </c>
      <c r="H27" s="86"/>
    </row>
    <row r="28" spans="1:8">
      <c r="A28" s="237">
        <v>15</v>
      </c>
      <c r="B28" s="86"/>
      <c r="C28" s="95"/>
      <c r="D28" s="508"/>
      <c r="E28" s="508"/>
      <c r="F28" s="508"/>
      <c r="G28" s="427">
        <f t="shared" si="1"/>
        <v>0</v>
      </c>
      <c r="H28" s="86"/>
    </row>
    <row r="29" spans="1:8">
      <c r="A29" s="237">
        <v>16</v>
      </c>
      <c r="B29" s="86"/>
      <c r="C29" s="95"/>
      <c r="D29" s="577"/>
      <c r="E29" s="577"/>
      <c r="F29" s="577"/>
      <c r="G29" s="427">
        <f t="shared" si="1"/>
        <v>0</v>
      </c>
      <c r="H29" s="86"/>
    </row>
    <row r="30" spans="1:8">
      <c r="A30" s="237">
        <v>17</v>
      </c>
      <c r="B30" s="86"/>
      <c r="C30" s="95"/>
      <c r="D30" s="577"/>
      <c r="E30" s="577"/>
      <c r="F30" s="577"/>
      <c r="G30" s="427">
        <f t="shared" si="1"/>
        <v>0</v>
      </c>
      <c r="H30" s="86"/>
    </row>
    <row r="31" spans="1:8">
      <c r="A31" s="237">
        <v>18</v>
      </c>
      <c r="B31" s="86"/>
      <c r="C31" s="231"/>
      <c r="D31" s="577"/>
      <c r="E31" s="577"/>
      <c r="F31" s="577"/>
      <c r="G31" s="427">
        <f t="shared" si="1"/>
        <v>0</v>
      </c>
      <c r="H31" s="86"/>
    </row>
    <row r="32" spans="1:8">
      <c r="A32" s="237">
        <v>19</v>
      </c>
      <c r="B32" s="86"/>
      <c r="C32" s="440"/>
      <c r="D32" s="577"/>
      <c r="E32" s="577"/>
      <c r="F32" s="577"/>
      <c r="G32" s="427">
        <f t="shared" si="1"/>
        <v>0</v>
      </c>
      <c r="H32" s="86"/>
    </row>
    <row r="33" spans="1:8" ht="15.75">
      <c r="A33" s="237">
        <v>20</v>
      </c>
      <c r="B33" s="86"/>
      <c r="C33" s="229"/>
      <c r="D33" s="577"/>
      <c r="E33" s="577"/>
      <c r="F33" s="577"/>
      <c r="G33" s="427">
        <f t="shared" si="1"/>
        <v>0</v>
      </c>
      <c r="H33" s="86"/>
    </row>
    <row r="34" spans="1:8">
      <c r="A34" s="237">
        <v>21</v>
      </c>
      <c r="B34" s="86"/>
      <c r="C34" s="95"/>
      <c r="D34" s="577"/>
      <c r="E34" s="577"/>
      <c r="F34" s="577"/>
      <c r="G34" s="427">
        <f t="shared" si="1"/>
        <v>0</v>
      </c>
      <c r="H34" s="86"/>
    </row>
    <row r="35" spans="1:8">
      <c r="A35" s="237">
        <v>22</v>
      </c>
      <c r="B35" s="86"/>
      <c r="C35" s="95"/>
      <c r="D35" s="1133"/>
      <c r="E35" s="1133"/>
      <c r="F35" s="1133"/>
      <c r="G35" s="427">
        <f t="shared" si="1"/>
        <v>0</v>
      </c>
      <c r="H35" s="86"/>
    </row>
    <row r="36" spans="1:8">
      <c r="A36" s="237">
        <v>23</v>
      </c>
      <c r="B36" s="86"/>
      <c r="C36" s="95"/>
      <c r="D36" s="1133"/>
      <c r="E36" s="1133"/>
      <c r="F36" s="1133"/>
      <c r="G36" s="427">
        <f t="shared" si="1"/>
        <v>0</v>
      </c>
      <c r="H36" s="86"/>
    </row>
    <row r="37" spans="1:8">
      <c r="A37" s="237">
        <v>24</v>
      </c>
      <c r="B37" s="86"/>
      <c r="C37" s="95"/>
      <c r="D37" s="1133"/>
      <c r="E37" s="1133"/>
      <c r="F37" s="1133"/>
      <c r="G37" s="427">
        <f t="shared" si="1"/>
        <v>0</v>
      </c>
      <c r="H37" s="86"/>
    </row>
    <row r="38" spans="1:8">
      <c r="A38" s="237">
        <v>25</v>
      </c>
      <c r="B38" s="86"/>
      <c r="C38" s="95"/>
      <c r="D38" s="1133"/>
      <c r="E38" s="1133"/>
      <c r="F38" s="1133"/>
      <c r="G38" s="427">
        <f t="shared" si="1"/>
        <v>0</v>
      </c>
      <c r="H38" s="86"/>
    </row>
    <row r="39" spans="1:8">
      <c r="A39" s="237">
        <v>26</v>
      </c>
      <c r="B39" s="86"/>
      <c r="C39" s="111" t="s">
        <v>961</v>
      </c>
      <c r="D39" s="1133"/>
      <c r="E39" s="1133"/>
      <c r="F39" s="1133"/>
      <c r="G39" s="427">
        <f t="shared" si="1"/>
        <v>0</v>
      </c>
      <c r="H39" s="86"/>
    </row>
    <row r="40" spans="1:8">
      <c r="A40" s="237">
        <v>27</v>
      </c>
      <c r="B40" s="86"/>
      <c r="C40" s="95" t="s">
        <v>962</v>
      </c>
      <c r="D40" s="1133"/>
      <c r="E40" s="1133"/>
      <c r="F40" s="1133"/>
      <c r="G40" s="427">
        <f t="shared" si="1"/>
        <v>0</v>
      </c>
      <c r="H40" s="86"/>
    </row>
    <row r="41" spans="1:8">
      <c r="A41" s="237">
        <v>28</v>
      </c>
      <c r="B41" s="86"/>
      <c r="C41" s="95" t="s">
        <v>963</v>
      </c>
      <c r="D41" s="1133"/>
      <c r="E41" s="1133"/>
      <c r="F41" s="1133"/>
      <c r="G41" s="427">
        <f t="shared" si="1"/>
        <v>0</v>
      </c>
      <c r="H41" s="86"/>
    </row>
    <row r="42" spans="1:8">
      <c r="A42" s="237">
        <v>29</v>
      </c>
      <c r="B42" s="86"/>
      <c r="C42" s="95" t="s">
        <v>4341</v>
      </c>
      <c r="D42" s="1133"/>
      <c r="E42" s="1133"/>
      <c r="F42" s="1133"/>
      <c r="G42" s="427">
        <f t="shared" si="1"/>
        <v>0</v>
      </c>
      <c r="H42" s="86"/>
    </row>
    <row r="43" spans="1:8">
      <c r="A43" s="237">
        <v>30</v>
      </c>
      <c r="B43" s="86"/>
      <c r="C43" s="231" t="s">
        <v>964</v>
      </c>
      <c r="D43" s="381">
        <f>SUM(D27:D42)</f>
        <v>0</v>
      </c>
      <c r="E43" s="381">
        <f>SUM(E27:E42)</f>
        <v>0</v>
      </c>
      <c r="F43" s="381">
        <f>SUM(F27:F42)</f>
        <v>0</v>
      </c>
      <c r="G43" s="379">
        <f>SUM(G27:G42)</f>
        <v>0</v>
      </c>
      <c r="H43" s="86"/>
    </row>
    <row r="44" spans="1:8">
      <c r="A44" s="237">
        <v>31</v>
      </c>
      <c r="B44" s="86"/>
      <c r="C44" s="95"/>
      <c r="D44" s="577"/>
      <c r="E44" s="577"/>
      <c r="F44" s="577"/>
      <c r="G44" s="427"/>
      <c r="H44" s="86"/>
    </row>
    <row r="45" spans="1:8">
      <c r="A45" s="237">
        <v>32</v>
      </c>
      <c r="B45" s="86"/>
      <c r="C45" s="95"/>
      <c r="D45" s="1133"/>
      <c r="E45" s="1133"/>
      <c r="F45" s="1133"/>
      <c r="G45" s="427"/>
      <c r="H45" s="86"/>
    </row>
    <row r="46" spans="1:8">
      <c r="A46" s="237">
        <v>33</v>
      </c>
      <c r="B46" s="86"/>
      <c r="C46" s="95"/>
      <c r="D46" s="1133"/>
      <c r="E46" s="1133"/>
      <c r="F46" s="1133"/>
      <c r="G46" s="427"/>
      <c r="H46" s="86"/>
    </row>
    <row r="47" spans="1:8">
      <c r="A47" s="237">
        <v>34</v>
      </c>
      <c r="B47" s="86"/>
      <c r="C47" s="231" t="s">
        <v>965</v>
      </c>
      <c r="D47" s="381">
        <f>D23-D43</f>
        <v>0</v>
      </c>
      <c r="E47" s="381">
        <f>E23-E43</f>
        <v>0</v>
      </c>
      <c r="F47" s="381">
        <f>F23-F43</f>
        <v>0</v>
      </c>
      <c r="G47" s="379">
        <f>G23-G43</f>
        <v>0</v>
      </c>
      <c r="H47" s="86"/>
    </row>
    <row r="48" spans="1:8">
      <c r="A48" s="237">
        <v>35</v>
      </c>
      <c r="B48" s="86"/>
      <c r="C48" s="95"/>
      <c r="D48" s="1133"/>
      <c r="E48" s="1133"/>
      <c r="F48" s="1133"/>
      <c r="G48" s="427"/>
      <c r="H48" s="86"/>
    </row>
    <row r="49" spans="1:8">
      <c r="A49" s="237">
        <v>36</v>
      </c>
      <c r="B49" s="1135" t="s">
        <v>966</v>
      </c>
      <c r="C49" s="111"/>
      <c r="D49" s="1132"/>
      <c r="E49" s="1136"/>
      <c r="F49" s="1136"/>
      <c r="G49" s="1137"/>
      <c r="H49" s="86"/>
    </row>
    <row r="50" spans="1:8">
      <c r="A50" s="237">
        <v>37</v>
      </c>
      <c r="B50" s="86"/>
      <c r="C50" s="111" t="s">
        <v>967</v>
      </c>
      <c r="D50" s="1133"/>
      <c r="E50" s="1133"/>
      <c r="F50" s="1133"/>
      <c r="G50" s="427">
        <f>SUM(D50:F50)</f>
        <v>0</v>
      </c>
      <c r="H50" s="86"/>
    </row>
    <row r="51" spans="1:8">
      <c r="A51" s="237">
        <v>38</v>
      </c>
      <c r="B51" s="86"/>
      <c r="C51" s="111" t="s">
        <v>968</v>
      </c>
      <c r="D51" s="1133"/>
      <c r="E51" s="1133"/>
      <c r="F51" s="1133"/>
      <c r="G51" s="427">
        <f>SUM(D51:F51)</f>
        <v>0</v>
      </c>
      <c r="H51" s="86"/>
    </row>
    <row r="52" spans="1:8">
      <c r="A52" s="237">
        <v>39</v>
      </c>
      <c r="B52" s="86"/>
      <c r="C52" s="111" t="s">
        <v>969</v>
      </c>
      <c r="D52" s="1133"/>
      <c r="E52" s="1133"/>
      <c r="F52" s="1133"/>
      <c r="G52" s="427">
        <f>SUM(D52:F52)</f>
        <v>0</v>
      </c>
      <c r="H52" s="86"/>
    </row>
    <row r="53" spans="1:8">
      <c r="A53" s="237">
        <v>40</v>
      </c>
      <c r="B53" s="86"/>
      <c r="C53" s="95"/>
      <c r="D53" s="1133"/>
      <c r="E53" s="1133"/>
      <c r="F53" s="1133"/>
      <c r="G53" s="427"/>
      <c r="H53" s="86"/>
    </row>
    <row r="54" spans="1:8">
      <c r="A54" s="237">
        <v>41</v>
      </c>
      <c r="B54" s="86"/>
      <c r="C54" s="231" t="s">
        <v>970</v>
      </c>
      <c r="D54" s="381">
        <f>SUM(D50:D52)</f>
        <v>0</v>
      </c>
      <c r="E54" s="381">
        <f>SUM(E50:E52)</f>
        <v>0</v>
      </c>
      <c r="F54" s="381">
        <f>SUM(F50:F52)</f>
        <v>0</v>
      </c>
      <c r="G54" s="379">
        <f>SUM(G50:G52)</f>
        <v>0</v>
      </c>
      <c r="H54" s="86"/>
    </row>
    <row r="55" spans="1:8">
      <c r="A55" s="237">
        <v>42</v>
      </c>
      <c r="B55" s="86"/>
      <c r="C55" s="440"/>
      <c r="D55" s="577"/>
      <c r="E55" s="577"/>
      <c r="F55" s="577"/>
      <c r="G55" s="427"/>
      <c r="H55" s="86"/>
    </row>
    <row r="56" spans="1:8">
      <c r="A56" s="237">
        <v>43</v>
      </c>
      <c r="B56" s="86"/>
      <c r="C56" s="440"/>
      <c r="D56" s="1133"/>
      <c r="E56" s="1133"/>
      <c r="F56" s="1133"/>
      <c r="G56" s="427"/>
      <c r="H56" s="86"/>
    </row>
    <row r="57" spans="1:8">
      <c r="A57" s="237">
        <v>44</v>
      </c>
      <c r="B57" s="86"/>
      <c r="C57" s="440"/>
      <c r="D57" s="1133"/>
      <c r="E57" s="1133"/>
      <c r="F57" s="1133"/>
      <c r="G57" s="427"/>
      <c r="H57" s="86"/>
    </row>
    <row r="58" spans="1:8" ht="15.75" thickBot="1">
      <c r="A58" s="443">
        <v>45</v>
      </c>
      <c r="B58" s="113"/>
      <c r="C58" s="1138" t="s">
        <v>3711</v>
      </c>
      <c r="D58" s="647">
        <f>D47-D54</f>
        <v>0</v>
      </c>
      <c r="E58" s="647">
        <f>E47-E54</f>
        <v>0</v>
      </c>
      <c r="F58" s="647">
        <f>F47-F54</f>
        <v>0</v>
      </c>
      <c r="G58" s="1139">
        <f>G47-G54</f>
        <v>0</v>
      </c>
      <c r="H58" s="404" t="str">
        <f>IF(G58='116119'!G71,"ok","error")</f>
        <v>ok</v>
      </c>
    </row>
    <row r="59" spans="1:8">
      <c r="A59" s="86"/>
      <c r="B59" s="5"/>
      <c r="C59" s="5"/>
      <c r="D59" s="419"/>
      <c r="E59" s="419"/>
      <c r="F59" s="419"/>
      <c r="G59" s="419" t="s">
        <v>2024</v>
      </c>
      <c r="H59" s="86"/>
    </row>
    <row r="60" spans="1:8">
      <c r="A60" s="5" t="s">
        <v>3712</v>
      </c>
      <c r="B60" s="5"/>
      <c r="C60" s="5"/>
      <c r="D60" s="419"/>
      <c r="E60" s="419"/>
      <c r="F60" s="419"/>
      <c r="G60" s="419"/>
      <c r="H60" s="86"/>
    </row>
    <row r="61" spans="1:8">
      <c r="A61" s="5"/>
      <c r="B61" s="5"/>
      <c r="C61" s="5"/>
      <c r="D61" s="419"/>
      <c r="E61" s="419"/>
      <c r="F61" s="419"/>
      <c r="G61" s="419"/>
      <c r="H61" s="86"/>
    </row>
  </sheetData>
  <phoneticPr fontId="0" type="noConversion"/>
  <pageMargins left="0.4" right="0.4" top="0.3" bottom="0.3" header="0.5" footer="0.5"/>
  <pageSetup scale="77"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ransitionEvaluation="1" codeName="Sheet64">
    <pageSetUpPr fitToPage="1"/>
  </sheetPr>
  <dimension ref="A1:F63"/>
  <sheetViews>
    <sheetView defaultGridColor="0" colorId="22" zoomScaleNormal="100" workbookViewId="0">
      <selection activeCell="H18" sqref="H18"/>
    </sheetView>
  </sheetViews>
  <sheetFormatPr defaultColWidth="9.77734375" defaultRowHeight="15"/>
  <cols>
    <col min="1" max="1" width="4.77734375" customWidth="1"/>
    <col min="2" max="2" width="44.77734375" customWidth="1"/>
    <col min="3" max="3" width="21.77734375" customWidth="1"/>
    <col min="4" max="4" width="14.77734375" customWidth="1"/>
    <col min="5" max="5" width="16.77734375" customWidth="1"/>
  </cols>
  <sheetData>
    <row r="1" spans="1:5" ht="15.75" thickBot="1">
      <c r="A1" s="86" t="str">
        <f>'Data sheet'!A57</f>
        <v>Annual Report of Veolia Water New York, Inc.                                              Year Ended  December 31, 2023</v>
      </c>
      <c r="B1" s="86"/>
      <c r="C1" s="86"/>
      <c r="D1" s="86"/>
      <c r="E1" s="86"/>
    </row>
    <row r="2" spans="1:5">
      <c r="A2" s="129"/>
      <c r="B2" s="130"/>
      <c r="C2" s="707"/>
      <c r="D2" s="1140"/>
      <c r="E2" s="417"/>
    </row>
    <row r="3" spans="1:5" ht="15.75">
      <c r="A3" s="118" t="s">
        <v>3713</v>
      </c>
      <c r="B3" s="3"/>
      <c r="C3" s="5"/>
      <c r="D3" s="5"/>
      <c r="E3" s="132"/>
    </row>
    <row r="4" spans="1:5">
      <c r="A4" s="97"/>
      <c r="B4" s="98"/>
      <c r="C4" s="98"/>
      <c r="D4" s="1057"/>
      <c r="E4" s="101"/>
    </row>
    <row r="5" spans="1:5" ht="15.75">
      <c r="A5" s="118"/>
      <c r="B5" s="86"/>
      <c r="C5" s="5"/>
      <c r="D5" s="5"/>
      <c r="E5" s="132"/>
    </row>
    <row r="6" spans="1:5">
      <c r="A6" s="85" t="s">
        <v>3714</v>
      </c>
      <c r="B6" s="86"/>
      <c r="C6" s="86" t="s">
        <v>1519</v>
      </c>
      <c r="D6" s="5"/>
      <c r="E6" s="132"/>
    </row>
    <row r="7" spans="1:5">
      <c r="A7" s="85" t="s">
        <v>1520</v>
      </c>
      <c r="B7" s="86"/>
      <c r="C7" s="86" t="s">
        <v>46</v>
      </c>
      <c r="D7" s="86"/>
      <c r="E7" s="87"/>
    </row>
    <row r="8" spans="1:5">
      <c r="A8" s="85" t="s">
        <v>1909</v>
      </c>
      <c r="B8" s="86"/>
      <c r="C8" s="86" t="s">
        <v>1910</v>
      </c>
      <c r="D8" s="86"/>
      <c r="E8" s="87"/>
    </row>
    <row r="9" spans="1:5">
      <c r="A9" s="85" t="s">
        <v>1911</v>
      </c>
      <c r="B9" s="86"/>
      <c r="C9" s="86" t="s">
        <v>1974</v>
      </c>
      <c r="D9" s="86"/>
      <c r="E9" s="87"/>
    </row>
    <row r="10" spans="1:5">
      <c r="A10" s="85" t="s">
        <v>1194</v>
      </c>
      <c r="B10" s="86"/>
      <c r="C10" s="86"/>
      <c r="D10" s="86"/>
      <c r="E10" s="87"/>
    </row>
    <row r="11" spans="1:5">
      <c r="A11" s="85" t="s">
        <v>1195</v>
      </c>
      <c r="B11" s="86"/>
      <c r="C11" s="86" t="s">
        <v>1196</v>
      </c>
      <c r="D11" s="86"/>
      <c r="E11" s="87"/>
    </row>
    <row r="12" spans="1:5">
      <c r="A12" s="85" t="s">
        <v>2949</v>
      </c>
      <c r="B12" s="86"/>
      <c r="C12" s="86" t="s">
        <v>2950</v>
      </c>
      <c r="D12" s="86"/>
      <c r="E12" s="87"/>
    </row>
    <row r="13" spans="1:5">
      <c r="A13" s="85" t="s">
        <v>3672</v>
      </c>
      <c r="B13" s="86"/>
      <c r="C13" s="86" t="s">
        <v>3673</v>
      </c>
      <c r="D13" s="86"/>
      <c r="E13" s="87"/>
    </row>
    <row r="14" spans="1:5">
      <c r="A14" s="85" t="s">
        <v>3674</v>
      </c>
      <c r="B14" s="86"/>
      <c r="C14" s="86" t="s">
        <v>3675</v>
      </c>
      <c r="D14" s="86"/>
      <c r="E14" s="87"/>
    </row>
    <row r="15" spans="1:5">
      <c r="A15" s="85"/>
      <c r="B15" s="86"/>
      <c r="C15" s="86"/>
      <c r="D15" s="86"/>
      <c r="E15" s="87"/>
    </row>
    <row r="16" spans="1:5">
      <c r="A16" s="480" t="s">
        <v>1727</v>
      </c>
      <c r="B16" s="630" t="s">
        <v>1290</v>
      </c>
      <c r="C16" s="630"/>
      <c r="D16" s="630"/>
      <c r="E16" s="593" t="s">
        <v>1291</v>
      </c>
    </row>
    <row r="17" spans="1:5">
      <c r="A17" s="240" t="s">
        <v>1739</v>
      </c>
      <c r="B17" s="133" t="s">
        <v>3279</v>
      </c>
      <c r="C17" s="133"/>
      <c r="D17" s="133"/>
      <c r="E17" s="367" t="s">
        <v>3280</v>
      </c>
    </row>
    <row r="18" spans="1:5">
      <c r="A18" s="237">
        <v>1</v>
      </c>
      <c r="B18" s="1141" t="s">
        <v>3676</v>
      </c>
      <c r="C18" s="86"/>
      <c r="D18" s="86"/>
      <c r="E18" s="135"/>
    </row>
    <row r="19" spans="1:5">
      <c r="A19" s="237">
        <v>2</v>
      </c>
      <c r="B19" s="86"/>
      <c r="C19" s="86"/>
      <c r="D19" s="86"/>
      <c r="E19" s="442"/>
    </row>
    <row r="20" spans="1:5">
      <c r="A20" s="237">
        <v>3</v>
      </c>
      <c r="B20" s="86" t="s">
        <v>4803</v>
      </c>
      <c r="C20" s="86"/>
      <c r="D20" s="86"/>
      <c r="E20" s="442">
        <v>29376</v>
      </c>
    </row>
    <row r="21" spans="1:5">
      <c r="A21" s="237">
        <v>4</v>
      </c>
      <c r="B21" s="86"/>
      <c r="C21" s="86"/>
      <c r="D21" s="86"/>
      <c r="E21" s="442"/>
    </row>
    <row r="22" spans="1:5">
      <c r="A22" s="237">
        <v>5</v>
      </c>
      <c r="B22" s="86"/>
      <c r="C22" s="86"/>
      <c r="D22" s="86"/>
      <c r="E22" s="442"/>
    </row>
    <row r="23" spans="1:5">
      <c r="A23" s="237">
        <v>6</v>
      </c>
      <c r="B23" s="86"/>
      <c r="C23" s="86"/>
      <c r="D23" s="86"/>
      <c r="E23" s="442"/>
    </row>
    <row r="24" spans="1:5">
      <c r="A24" s="237">
        <v>7</v>
      </c>
      <c r="B24" s="86"/>
      <c r="C24" s="86"/>
      <c r="D24" s="86"/>
      <c r="E24" s="442"/>
    </row>
    <row r="25" spans="1:5">
      <c r="A25" s="237">
        <v>8</v>
      </c>
      <c r="B25" s="86"/>
      <c r="C25" s="86"/>
      <c r="D25" s="86"/>
      <c r="E25" s="442"/>
    </row>
    <row r="26" spans="1:5">
      <c r="A26" s="237">
        <v>9</v>
      </c>
      <c r="B26" s="86"/>
      <c r="C26" s="86"/>
      <c r="D26" s="86"/>
      <c r="E26" s="442"/>
    </row>
    <row r="27" spans="1:5">
      <c r="A27" s="237">
        <v>10</v>
      </c>
      <c r="B27" s="86"/>
      <c r="C27" s="86"/>
      <c r="D27" s="86"/>
      <c r="E27" s="442"/>
    </row>
    <row r="28" spans="1:5">
      <c r="A28" s="237">
        <v>11</v>
      </c>
      <c r="B28" s="86"/>
      <c r="C28" s="86"/>
      <c r="D28" s="86"/>
      <c r="E28" s="442"/>
    </row>
    <row r="29" spans="1:5">
      <c r="A29" s="237">
        <v>12</v>
      </c>
      <c r="B29" s="86"/>
      <c r="C29" s="86"/>
      <c r="D29" s="86"/>
      <c r="E29" s="442"/>
    </row>
    <row r="30" spans="1:5">
      <c r="A30" s="237">
        <v>13</v>
      </c>
      <c r="B30" s="86"/>
      <c r="C30" s="86"/>
      <c r="D30" s="86"/>
      <c r="E30" s="442"/>
    </row>
    <row r="31" spans="1:5">
      <c r="A31" s="237">
        <v>14</v>
      </c>
      <c r="B31" s="86"/>
      <c r="C31" s="86"/>
      <c r="D31" s="86"/>
      <c r="E31" s="442"/>
    </row>
    <row r="32" spans="1:5">
      <c r="A32" s="237">
        <v>15</v>
      </c>
      <c r="B32" s="86"/>
      <c r="C32" s="86"/>
      <c r="D32" s="86"/>
      <c r="E32" s="442"/>
    </row>
    <row r="33" spans="1:5">
      <c r="A33" s="237">
        <v>16</v>
      </c>
      <c r="B33" s="86"/>
      <c r="C33" s="86"/>
      <c r="D33" s="86"/>
      <c r="E33" s="442"/>
    </row>
    <row r="34" spans="1:5">
      <c r="A34" s="237">
        <v>17</v>
      </c>
      <c r="B34" s="86"/>
      <c r="C34" s="86"/>
      <c r="D34" s="86"/>
      <c r="E34" s="442"/>
    </row>
    <row r="35" spans="1:5">
      <c r="A35" s="237">
        <v>18</v>
      </c>
      <c r="B35" s="86"/>
      <c r="C35" s="86"/>
      <c r="D35" s="86"/>
      <c r="E35" s="442"/>
    </row>
    <row r="36" spans="1:5">
      <c r="A36" s="237">
        <v>19</v>
      </c>
      <c r="B36" s="86"/>
      <c r="C36" s="86"/>
      <c r="D36" s="86"/>
      <c r="E36" s="442"/>
    </row>
    <row r="37" spans="1:5">
      <c r="A37" s="237">
        <v>20</v>
      </c>
      <c r="B37" s="86"/>
      <c r="C37" s="86"/>
      <c r="D37" s="86"/>
      <c r="E37" s="442"/>
    </row>
    <row r="38" spans="1:5">
      <c r="A38" s="237">
        <v>21</v>
      </c>
      <c r="B38" s="86"/>
      <c r="C38" s="86"/>
      <c r="D38" s="86"/>
      <c r="E38" s="442"/>
    </row>
    <row r="39" spans="1:5">
      <c r="A39" s="237">
        <v>22</v>
      </c>
      <c r="B39" s="86"/>
      <c r="C39" s="86"/>
      <c r="D39" s="86"/>
      <c r="E39" s="442"/>
    </row>
    <row r="40" spans="1:5">
      <c r="A40" s="237">
        <v>23</v>
      </c>
      <c r="B40" s="86"/>
      <c r="C40" s="86"/>
      <c r="D40" s="86"/>
      <c r="E40" s="442"/>
    </row>
    <row r="41" spans="1:5" ht="15.75" thickBot="1">
      <c r="A41" s="237">
        <v>24</v>
      </c>
      <c r="B41" s="86"/>
      <c r="C41" s="94" t="s">
        <v>4311</v>
      </c>
      <c r="D41" s="86"/>
      <c r="E41" s="512">
        <f>SUM(E18:E40)</f>
        <v>29376</v>
      </c>
    </row>
    <row r="42" spans="1:5" ht="15.75" thickTop="1">
      <c r="A42" s="237">
        <v>25</v>
      </c>
      <c r="B42" s="239"/>
      <c r="C42" s="86"/>
      <c r="D42" s="86"/>
      <c r="E42" s="135"/>
    </row>
    <row r="43" spans="1:5">
      <c r="A43" s="237">
        <v>26</v>
      </c>
      <c r="B43" s="239" t="s">
        <v>3677</v>
      </c>
      <c r="C43" s="86"/>
      <c r="D43" s="86"/>
      <c r="E43" s="441"/>
    </row>
    <row r="44" spans="1:5">
      <c r="A44" s="237">
        <v>27</v>
      </c>
      <c r="B44" s="86"/>
      <c r="C44" s="86"/>
      <c r="D44" s="86"/>
      <c r="E44" s="442"/>
    </row>
    <row r="45" spans="1:5">
      <c r="A45" s="237">
        <v>28</v>
      </c>
      <c r="B45" s="86" t="s">
        <v>1737</v>
      </c>
      <c r="C45" s="86"/>
      <c r="D45" s="86"/>
      <c r="E45" s="442">
        <v>114</v>
      </c>
    </row>
    <row r="46" spans="1:5">
      <c r="A46" s="237">
        <v>29</v>
      </c>
      <c r="B46" s="86"/>
      <c r="C46" s="86"/>
      <c r="D46" s="86"/>
      <c r="E46" s="442"/>
    </row>
    <row r="47" spans="1:5">
      <c r="A47" s="237">
        <v>30</v>
      </c>
      <c r="B47" s="86"/>
      <c r="C47" s="86"/>
      <c r="D47" s="86"/>
      <c r="E47" s="442"/>
    </row>
    <row r="48" spans="1:5">
      <c r="A48" s="237">
        <v>31</v>
      </c>
      <c r="B48" s="86"/>
      <c r="C48" s="86"/>
      <c r="D48" s="86"/>
      <c r="E48" s="442"/>
    </row>
    <row r="49" spans="1:6">
      <c r="A49" s="237">
        <v>32</v>
      </c>
      <c r="B49" s="86"/>
      <c r="C49" s="86"/>
      <c r="D49" s="86"/>
      <c r="E49" s="442"/>
    </row>
    <row r="50" spans="1:6">
      <c r="A50" s="237">
        <v>33</v>
      </c>
      <c r="B50" s="86"/>
      <c r="C50" s="86"/>
      <c r="D50" s="86"/>
      <c r="E50" s="442"/>
    </row>
    <row r="51" spans="1:6">
      <c r="A51" s="237">
        <v>34</v>
      </c>
      <c r="B51" s="86"/>
      <c r="C51" s="86"/>
      <c r="D51" s="86"/>
      <c r="E51" s="442"/>
    </row>
    <row r="52" spans="1:6">
      <c r="A52" s="237">
        <v>35</v>
      </c>
      <c r="B52" s="86"/>
      <c r="C52" s="86"/>
      <c r="D52" s="86"/>
      <c r="E52" s="442"/>
    </row>
    <row r="53" spans="1:6">
      <c r="A53" s="237">
        <v>36</v>
      </c>
      <c r="B53" s="86"/>
      <c r="C53" s="86"/>
      <c r="D53" s="86"/>
      <c r="E53" s="442"/>
    </row>
    <row r="54" spans="1:6">
      <c r="A54" s="237">
        <v>37</v>
      </c>
      <c r="B54" s="86"/>
      <c r="C54" s="86"/>
      <c r="D54" s="86"/>
      <c r="E54" s="442"/>
    </row>
    <row r="55" spans="1:6">
      <c r="A55" s="237">
        <v>38</v>
      </c>
      <c r="B55" s="86"/>
      <c r="C55" s="86"/>
      <c r="D55" s="86"/>
      <c r="E55" s="442"/>
    </row>
    <row r="56" spans="1:6">
      <c r="A56" s="237">
        <v>39</v>
      </c>
      <c r="B56" s="86"/>
      <c r="C56" s="86"/>
      <c r="D56" s="86"/>
      <c r="E56" s="442"/>
    </row>
    <row r="57" spans="1:6">
      <c r="A57" s="237">
        <v>40</v>
      </c>
      <c r="B57" s="86"/>
      <c r="C57" s="86"/>
      <c r="D57" s="86"/>
      <c r="E57" s="442"/>
    </row>
    <row r="58" spans="1:6" ht="15.75" thickBot="1">
      <c r="A58" s="443">
        <v>41</v>
      </c>
      <c r="B58" s="113"/>
      <c r="C58" s="1116" t="s">
        <v>4311</v>
      </c>
      <c r="D58" s="113"/>
      <c r="E58" s="401">
        <f>SUM(E44:E57)</f>
        <v>114</v>
      </c>
      <c r="F58" t="str">
        <f>IF(ROUND(E58,0)=ROUND('116119'!G79,0),"ok","error")</f>
        <v>ok</v>
      </c>
    </row>
    <row r="59" spans="1:6">
      <c r="A59" s="108" t="s">
        <v>2024</v>
      </c>
      <c r="B59" s="86"/>
      <c r="C59" s="86"/>
      <c r="D59" s="86"/>
      <c r="E59" s="86"/>
    </row>
    <row r="60" spans="1:6">
      <c r="A60" s="5" t="s">
        <v>3678</v>
      </c>
      <c r="B60" s="5"/>
      <c r="C60" s="5"/>
      <c r="D60" s="5"/>
      <c r="E60" s="5"/>
    </row>
    <row r="61" spans="1:6">
      <c r="A61" s="86"/>
      <c r="B61" s="86"/>
      <c r="C61" s="86"/>
      <c r="D61" s="86"/>
      <c r="E61" s="86"/>
    </row>
    <row r="62" spans="1:6">
      <c r="A62" s="86"/>
      <c r="B62" s="86"/>
      <c r="C62" s="86"/>
      <c r="D62" s="86"/>
      <c r="E62" s="86"/>
    </row>
    <row r="63" spans="1:6">
      <c r="A63" s="86"/>
      <c r="B63" s="86"/>
      <c r="C63" s="86"/>
      <c r="D63" s="86"/>
      <c r="E63" s="86"/>
    </row>
  </sheetData>
  <phoneticPr fontId="0" type="noConversion"/>
  <pageMargins left="0.4" right="0.4" top="0.3" bottom="0.3" header="0.5" footer="0.5"/>
  <pageSetup scale="80"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ransitionEvaluation="1" codeName="Sheet65">
    <pageSetUpPr fitToPage="1"/>
  </sheetPr>
  <dimension ref="A1:F49"/>
  <sheetViews>
    <sheetView defaultGridColor="0" colorId="22" zoomScaleNormal="100" workbookViewId="0">
      <selection activeCell="I18" sqref="I18"/>
    </sheetView>
  </sheetViews>
  <sheetFormatPr defaultColWidth="9.77734375" defaultRowHeight="15"/>
  <cols>
    <col min="1" max="1" width="4.77734375" customWidth="1"/>
    <col min="2" max="2" width="60.77734375" customWidth="1"/>
    <col min="3" max="6" width="14.77734375" customWidth="1"/>
  </cols>
  <sheetData>
    <row r="1" spans="1:6" ht="15.75" thickBot="1">
      <c r="A1" t="str">
        <f>'Data sheet'!A65</f>
        <v>Annual Report of Veolia Water New York, Inc.                                                                                          Year Ended  December 31, 2023</v>
      </c>
    </row>
    <row r="2" spans="1:6">
      <c r="A2" s="80"/>
      <c r="B2" s="81"/>
      <c r="C2" s="81"/>
      <c r="D2" s="81"/>
      <c r="E2" s="81"/>
      <c r="F2" s="82"/>
    </row>
    <row r="3" spans="1:6" ht="15.75">
      <c r="A3" s="793" t="s">
        <v>3679</v>
      </c>
      <c r="B3" s="794"/>
      <c r="C3" s="794"/>
      <c r="D3" s="794"/>
      <c r="E3" s="794"/>
      <c r="F3" s="795"/>
    </row>
    <row r="4" spans="1:6">
      <c r="A4" s="123"/>
      <c r="B4" s="224"/>
      <c r="C4" s="224"/>
      <c r="D4" s="224"/>
      <c r="E4" s="224"/>
      <c r="F4" s="225"/>
    </row>
    <row r="5" spans="1:6">
      <c r="A5" s="83"/>
      <c r="F5" s="214"/>
    </row>
    <row r="6" spans="1:6">
      <c r="A6" s="83"/>
      <c r="B6" t="s">
        <v>3680</v>
      </c>
      <c r="C6" t="s">
        <v>817</v>
      </c>
      <c r="F6" s="214"/>
    </row>
    <row r="7" spans="1:6">
      <c r="A7" s="83"/>
      <c r="B7" t="s">
        <v>2231</v>
      </c>
      <c r="C7" t="s">
        <v>2232</v>
      </c>
      <c r="F7" s="214"/>
    </row>
    <row r="8" spans="1:6">
      <c r="A8" s="83"/>
      <c r="B8" t="s">
        <v>2233</v>
      </c>
      <c r="C8" t="s">
        <v>2234</v>
      </c>
      <c r="F8" s="214"/>
    </row>
    <row r="9" spans="1:6">
      <c r="A9" s="83"/>
      <c r="B9" t="s">
        <v>666</v>
      </c>
      <c r="C9" t="s">
        <v>2470</v>
      </c>
      <c r="F9" s="214"/>
    </row>
    <row r="10" spans="1:6">
      <c r="A10" s="83"/>
      <c r="B10" t="s">
        <v>2471</v>
      </c>
      <c r="C10" t="s">
        <v>2472</v>
      </c>
      <c r="F10" s="214"/>
    </row>
    <row r="11" spans="1:6">
      <c r="A11" s="83"/>
      <c r="B11" t="s">
        <v>2751</v>
      </c>
      <c r="C11" t="s">
        <v>485</v>
      </c>
      <c r="F11" s="214"/>
    </row>
    <row r="12" spans="1:6">
      <c r="A12" s="123"/>
      <c r="B12" s="224"/>
      <c r="C12" s="224" t="s">
        <v>486</v>
      </c>
      <c r="D12" s="224"/>
      <c r="E12" s="224"/>
      <c r="F12" s="225"/>
    </row>
    <row r="13" spans="1:6">
      <c r="A13" s="83"/>
      <c r="B13" s="238"/>
      <c r="C13" s="600" t="s">
        <v>487</v>
      </c>
      <c r="D13" s="714" t="s">
        <v>488</v>
      </c>
      <c r="F13" s="523"/>
    </row>
    <row r="14" spans="1:6">
      <c r="A14" s="595" t="s">
        <v>2493</v>
      </c>
      <c r="B14" s="714" t="s">
        <v>489</v>
      </c>
      <c r="C14" s="600" t="s">
        <v>490</v>
      </c>
      <c r="D14" s="714" t="s">
        <v>491</v>
      </c>
      <c r="E14" s="600" t="s">
        <v>492</v>
      </c>
      <c r="F14" s="796" t="s">
        <v>493</v>
      </c>
    </row>
    <row r="15" spans="1:6">
      <c r="A15" s="595" t="s">
        <v>1739</v>
      </c>
      <c r="B15" s="238"/>
      <c r="C15" s="600" t="s">
        <v>494</v>
      </c>
      <c r="D15" s="714" t="s">
        <v>495</v>
      </c>
      <c r="F15" s="523"/>
    </row>
    <row r="16" spans="1:6">
      <c r="A16" s="123"/>
      <c r="B16" s="715" t="s">
        <v>3279</v>
      </c>
      <c r="C16" s="797" t="s">
        <v>3280</v>
      </c>
      <c r="D16" s="715" t="s">
        <v>3281</v>
      </c>
      <c r="E16" s="797" t="s">
        <v>3282</v>
      </c>
      <c r="F16" s="792" t="s">
        <v>721</v>
      </c>
    </row>
    <row r="17" spans="1:6">
      <c r="A17" s="595">
        <v>1</v>
      </c>
      <c r="B17" s="798" t="s">
        <v>496</v>
      </c>
      <c r="C17" s="140"/>
      <c r="D17" s="799"/>
      <c r="E17" s="800"/>
      <c r="F17" s="801"/>
    </row>
    <row r="18" spans="1:6">
      <c r="A18" s="595">
        <f t="shared" ref="A18:A31" si="0">A17+1</f>
        <v>2</v>
      </c>
      <c r="B18" s="238"/>
      <c r="C18" s="136"/>
      <c r="D18" s="238"/>
      <c r="E18" s="136"/>
      <c r="F18" s="801"/>
    </row>
    <row r="19" spans="1:6">
      <c r="A19" s="595">
        <f t="shared" si="0"/>
        <v>3</v>
      </c>
      <c r="B19" s="238" t="s">
        <v>2289</v>
      </c>
      <c r="C19" s="140"/>
      <c r="D19" s="238"/>
      <c r="E19" s="140"/>
      <c r="F19" s="801"/>
    </row>
    <row r="20" spans="1:6">
      <c r="A20" s="595">
        <f t="shared" si="0"/>
        <v>4</v>
      </c>
      <c r="B20" s="238"/>
      <c r="C20" s="140"/>
      <c r="D20" s="238"/>
      <c r="E20" s="140"/>
      <c r="F20" s="801"/>
    </row>
    <row r="21" spans="1:6">
      <c r="A21" s="595">
        <f t="shared" si="0"/>
        <v>5</v>
      </c>
      <c r="B21" s="238"/>
      <c r="C21" s="140"/>
      <c r="D21" s="238"/>
      <c r="E21" s="140"/>
      <c r="F21" s="801"/>
    </row>
    <row r="22" spans="1:6">
      <c r="A22" s="595">
        <f t="shared" si="0"/>
        <v>6</v>
      </c>
      <c r="B22" s="238"/>
      <c r="C22" s="140"/>
      <c r="D22" s="238"/>
      <c r="E22" s="140"/>
      <c r="F22" s="801"/>
    </row>
    <row r="23" spans="1:6">
      <c r="A23" s="595">
        <f t="shared" si="0"/>
        <v>7</v>
      </c>
      <c r="B23" s="238"/>
      <c r="C23" s="140"/>
      <c r="D23" s="238"/>
      <c r="E23" s="140"/>
      <c r="F23" s="801"/>
    </row>
    <row r="24" spans="1:6">
      <c r="A24" s="595">
        <f t="shared" si="0"/>
        <v>8</v>
      </c>
      <c r="B24" s="238"/>
      <c r="C24" s="140"/>
      <c r="D24" s="238"/>
      <c r="E24" s="140"/>
      <c r="F24" s="801"/>
    </row>
    <row r="25" spans="1:6">
      <c r="A25" s="595">
        <f t="shared" si="0"/>
        <v>9</v>
      </c>
      <c r="B25" s="238"/>
      <c r="C25" s="140"/>
      <c r="D25" s="238"/>
      <c r="E25" s="140"/>
      <c r="F25" s="801"/>
    </row>
    <row r="26" spans="1:6">
      <c r="A26" s="595">
        <f t="shared" si="0"/>
        <v>10</v>
      </c>
      <c r="B26" s="238"/>
      <c r="C26" s="140"/>
      <c r="D26" s="238"/>
      <c r="E26" s="140"/>
      <c r="F26" s="801"/>
    </row>
    <row r="27" spans="1:6">
      <c r="A27" s="595">
        <f t="shared" si="0"/>
        <v>11</v>
      </c>
      <c r="B27" s="238"/>
      <c r="C27" s="140"/>
      <c r="D27" s="238"/>
      <c r="E27" s="140"/>
      <c r="F27" s="801"/>
    </row>
    <row r="28" spans="1:6">
      <c r="A28" s="595">
        <f t="shared" si="0"/>
        <v>12</v>
      </c>
      <c r="B28" s="238"/>
      <c r="C28" s="140"/>
      <c r="D28" s="238"/>
      <c r="E28" s="140"/>
      <c r="F28" s="801"/>
    </row>
    <row r="29" spans="1:6">
      <c r="A29" s="595">
        <f t="shared" si="0"/>
        <v>13</v>
      </c>
      <c r="B29" s="238"/>
      <c r="C29" s="140"/>
      <c r="D29" s="238"/>
      <c r="E29" s="140"/>
      <c r="F29" s="801"/>
    </row>
    <row r="30" spans="1:6">
      <c r="A30" s="595">
        <f t="shared" si="0"/>
        <v>14</v>
      </c>
      <c r="B30" s="238"/>
      <c r="C30" s="140"/>
      <c r="D30" s="238"/>
      <c r="E30" s="140"/>
      <c r="F30" s="801"/>
    </row>
    <row r="31" spans="1:6">
      <c r="A31" s="595">
        <f t="shared" si="0"/>
        <v>15</v>
      </c>
      <c r="B31" s="714" t="s">
        <v>497</v>
      </c>
      <c r="C31" s="136"/>
      <c r="D31" s="799"/>
      <c r="E31" s="802">
        <f>SUM(E18:E30)</f>
        <v>0</v>
      </c>
      <c r="F31" s="801"/>
    </row>
    <row r="32" spans="1:6">
      <c r="A32" s="595"/>
      <c r="B32" s="238"/>
      <c r="C32" s="140"/>
      <c r="D32" s="799"/>
      <c r="E32" s="800"/>
      <c r="F32" s="801"/>
    </row>
    <row r="33" spans="1:6">
      <c r="A33" s="595">
        <v>16</v>
      </c>
      <c r="B33" s="798" t="s">
        <v>498</v>
      </c>
      <c r="C33" s="140"/>
      <c r="D33" s="799"/>
      <c r="E33" s="800"/>
      <c r="F33" s="801"/>
    </row>
    <row r="34" spans="1:6">
      <c r="A34" s="595">
        <f t="shared" ref="A34:A46" si="1">A33+1</f>
        <v>17</v>
      </c>
      <c r="B34" s="238"/>
      <c r="C34" s="140"/>
      <c r="D34" s="238"/>
      <c r="E34" s="800"/>
      <c r="F34" s="588"/>
    </row>
    <row r="35" spans="1:6">
      <c r="A35" s="595">
        <f t="shared" si="1"/>
        <v>18</v>
      </c>
      <c r="B35" s="238" t="s">
        <v>2289</v>
      </c>
      <c r="C35" s="140"/>
      <c r="D35" s="238"/>
      <c r="E35" s="800"/>
      <c r="F35" s="588"/>
    </row>
    <row r="36" spans="1:6">
      <c r="A36" s="595">
        <f t="shared" si="1"/>
        <v>19</v>
      </c>
      <c r="B36" s="238"/>
      <c r="C36" s="140"/>
      <c r="D36" s="238"/>
      <c r="E36" s="800"/>
      <c r="F36" s="588"/>
    </row>
    <row r="37" spans="1:6">
      <c r="A37" s="595">
        <f t="shared" si="1"/>
        <v>20</v>
      </c>
      <c r="B37" s="238"/>
      <c r="C37" s="140"/>
      <c r="D37" s="238"/>
      <c r="E37" s="800"/>
      <c r="F37" s="588"/>
    </row>
    <row r="38" spans="1:6">
      <c r="A38" s="595">
        <f t="shared" si="1"/>
        <v>21</v>
      </c>
      <c r="B38" s="238"/>
      <c r="C38" s="140"/>
      <c r="D38" s="238"/>
      <c r="E38" s="800"/>
      <c r="F38" s="588"/>
    </row>
    <row r="39" spans="1:6">
      <c r="A39" s="595">
        <f t="shared" si="1"/>
        <v>22</v>
      </c>
      <c r="B39" s="238"/>
      <c r="C39" s="140"/>
      <c r="D39" s="238"/>
      <c r="E39" s="800"/>
      <c r="F39" s="588"/>
    </row>
    <row r="40" spans="1:6">
      <c r="A40" s="595">
        <f t="shared" si="1"/>
        <v>23</v>
      </c>
      <c r="B40" s="238"/>
      <c r="C40" s="140"/>
      <c r="D40" s="238"/>
      <c r="E40" s="800"/>
      <c r="F40" s="588"/>
    </row>
    <row r="41" spans="1:6">
      <c r="A41" s="595">
        <f t="shared" si="1"/>
        <v>24</v>
      </c>
      <c r="B41" s="238"/>
      <c r="C41" s="140"/>
      <c r="D41" s="238"/>
      <c r="E41" s="800"/>
      <c r="F41" s="588"/>
    </row>
    <row r="42" spans="1:6">
      <c r="A42" s="595">
        <f t="shared" si="1"/>
        <v>25</v>
      </c>
      <c r="B42" s="238"/>
      <c r="C42" s="140"/>
      <c r="D42" s="238"/>
      <c r="E42" s="800"/>
      <c r="F42" s="588"/>
    </row>
    <row r="43" spans="1:6">
      <c r="A43" s="595">
        <f t="shared" si="1"/>
        <v>26</v>
      </c>
      <c r="B43" s="238"/>
      <c r="C43" s="140"/>
      <c r="D43" s="238"/>
      <c r="E43" s="800"/>
      <c r="F43" s="588"/>
    </row>
    <row r="44" spans="1:6">
      <c r="A44" s="595">
        <f t="shared" si="1"/>
        <v>27</v>
      </c>
      <c r="B44" s="238"/>
      <c r="C44" s="140"/>
      <c r="D44" s="238"/>
      <c r="E44" s="800"/>
      <c r="F44" s="588"/>
    </row>
    <row r="45" spans="1:6">
      <c r="A45" s="595">
        <f t="shared" si="1"/>
        <v>28</v>
      </c>
      <c r="B45" s="238"/>
      <c r="C45" s="140"/>
      <c r="D45" s="238"/>
      <c r="E45" s="800"/>
      <c r="F45" s="588"/>
    </row>
    <row r="46" spans="1:6">
      <c r="A46" s="595">
        <f t="shared" si="1"/>
        <v>29</v>
      </c>
      <c r="B46" s="238"/>
      <c r="C46" s="140"/>
      <c r="D46" s="238"/>
      <c r="E46" s="800"/>
      <c r="F46" s="588"/>
    </row>
    <row r="47" spans="1:6" ht="15.75" thickBot="1">
      <c r="A47" s="603">
        <v>30</v>
      </c>
      <c r="B47" s="989" t="s">
        <v>499</v>
      </c>
      <c r="C47" s="803"/>
      <c r="D47" s="779"/>
      <c r="E47" s="804"/>
      <c r="F47" s="585">
        <f>SUM(F34:F46)</f>
        <v>0</v>
      </c>
    </row>
    <row r="48" spans="1:6">
      <c r="F48" t="s">
        <v>2024</v>
      </c>
    </row>
    <row r="49" spans="1:6">
      <c r="A49" s="4" t="s">
        <v>500</v>
      </c>
      <c r="B49" s="4"/>
      <c r="C49" s="4"/>
      <c r="D49" s="4"/>
      <c r="E49" s="4"/>
      <c r="F49" s="4"/>
    </row>
  </sheetData>
  <phoneticPr fontId="0" type="noConversion"/>
  <printOptions horizontalCentered="1" verticalCentered="1"/>
  <pageMargins left="0.4" right="0.4" top="0.3" bottom="0.3" header="0" footer="0"/>
  <pageSetup scale="78"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ransitionEvaluation="1" codeName="Sheet66"/>
  <dimension ref="A1:I207"/>
  <sheetViews>
    <sheetView defaultGridColor="0" colorId="22" zoomScaleNormal="100" workbookViewId="0">
      <selection activeCell="H19" sqref="H19"/>
    </sheetView>
  </sheetViews>
  <sheetFormatPr defaultColWidth="9.77734375" defaultRowHeight="15"/>
  <cols>
    <col min="1" max="1" width="4.77734375" customWidth="1"/>
    <col min="2" max="2" width="46.6640625" customWidth="1"/>
    <col min="3" max="3" width="23.77734375" customWidth="1"/>
    <col min="4" max="4" width="15.6640625" customWidth="1"/>
    <col min="5" max="5" width="15.77734375" customWidth="1"/>
    <col min="6" max="6" width="8.109375" bestFit="1" customWidth="1"/>
    <col min="7" max="7" width="3" bestFit="1" customWidth="1"/>
    <col min="8" max="8" width="11.44140625" bestFit="1" customWidth="1"/>
    <col min="9" max="9" width="10.5546875" bestFit="1" customWidth="1"/>
  </cols>
  <sheetData>
    <row r="1" spans="1:5" ht="15.75" thickBot="1">
      <c r="A1" t="str">
        <f>'Data sheet'!A59</f>
        <v>Annual Report of Veolia Water New York, Inc.                                                             Year Ended  December 31, 2023</v>
      </c>
    </row>
    <row r="2" spans="1:5">
      <c r="A2" s="80"/>
      <c r="B2" s="81"/>
      <c r="C2" s="709"/>
      <c r="D2" s="790"/>
      <c r="E2" s="447"/>
    </row>
    <row r="3" spans="1:5" ht="15.75">
      <c r="A3" s="118" t="s">
        <v>501</v>
      </c>
      <c r="B3" s="3"/>
      <c r="C3" s="4"/>
      <c r="D3" s="4"/>
      <c r="E3" s="119"/>
    </row>
    <row r="4" spans="1:5">
      <c r="A4" s="123"/>
      <c r="B4" s="224"/>
      <c r="C4" s="224"/>
      <c r="D4" s="128"/>
      <c r="E4" s="225"/>
    </row>
    <row r="5" spans="1:5" ht="15.75">
      <c r="A5" s="118"/>
      <c r="B5" s="86"/>
      <c r="C5" s="4"/>
      <c r="D5" s="4"/>
      <c r="E5" s="119"/>
    </row>
    <row r="6" spans="1:5">
      <c r="A6" s="85" t="s">
        <v>3714</v>
      </c>
      <c r="B6" s="86"/>
      <c r="C6" t="s">
        <v>689</v>
      </c>
      <c r="D6" s="4"/>
      <c r="E6" s="119"/>
    </row>
    <row r="7" spans="1:5">
      <c r="A7" s="83" t="s">
        <v>690</v>
      </c>
      <c r="C7" t="s">
        <v>691</v>
      </c>
      <c r="E7" s="214"/>
    </row>
    <row r="8" spans="1:5">
      <c r="A8" s="83" t="s">
        <v>692</v>
      </c>
      <c r="C8" t="s">
        <v>693</v>
      </c>
      <c r="E8" s="214"/>
    </row>
    <row r="9" spans="1:5">
      <c r="A9" s="83" t="s">
        <v>694</v>
      </c>
      <c r="C9" t="s">
        <v>695</v>
      </c>
      <c r="E9" s="214"/>
    </row>
    <row r="10" spans="1:5">
      <c r="A10" s="83" t="s">
        <v>1194</v>
      </c>
      <c r="C10" t="s">
        <v>696</v>
      </c>
      <c r="E10" s="214"/>
    </row>
    <row r="11" spans="1:5">
      <c r="A11" s="83" t="s">
        <v>1195</v>
      </c>
      <c r="C11" t="s">
        <v>697</v>
      </c>
      <c r="E11" s="214"/>
    </row>
    <row r="12" spans="1:5">
      <c r="A12" s="83" t="s">
        <v>995</v>
      </c>
      <c r="C12" t="s">
        <v>996</v>
      </c>
      <c r="E12" s="214"/>
    </row>
    <row r="13" spans="1:5">
      <c r="A13" s="83" t="s">
        <v>3505</v>
      </c>
      <c r="C13" t="s">
        <v>907</v>
      </c>
      <c r="E13" s="214"/>
    </row>
    <row r="14" spans="1:5">
      <c r="A14" s="83" t="s">
        <v>908</v>
      </c>
      <c r="C14" t="s">
        <v>909</v>
      </c>
      <c r="E14" s="214"/>
    </row>
    <row r="15" spans="1:5">
      <c r="A15" s="83" t="s">
        <v>910</v>
      </c>
      <c r="C15" t="s">
        <v>911</v>
      </c>
      <c r="E15" s="214"/>
    </row>
    <row r="16" spans="1:5">
      <c r="A16" s="83" t="s">
        <v>912</v>
      </c>
      <c r="C16" t="s">
        <v>913</v>
      </c>
      <c r="E16" s="214"/>
    </row>
    <row r="17" spans="1:5">
      <c r="A17" s="83" t="s">
        <v>2476</v>
      </c>
      <c r="C17" t="s">
        <v>2280</v>
      </c>
      <c r="E17" s="214"/>
    </row>
    <row r="18" spans="1:5">
      <c r="A18" s="83" t="s">
        <v>2281</v>
      </c>
      <c r="C18" t="s">
        <v>2282</v>
      </c>
      <c r="E18" s="214"/>
    </row>
    <row r="19" spans="1:5">
      <c r="A19" s="83" t="s">
        <v>3909</v>
      </c>
      <c r="C19" t="s">
        <v>3910</v>
      </c>
      <c r="E19" s="214"/>
    </row>
    <row r="20" spans="1:5">
      <c r="A20" s="83" t="s">
        <v>974</v>
      </c>
      <c r="C20" t="s">
        <v>975</v>
      </c>
      <c r="E20" s="214"/>
    </row>
    <row r="21" spans="1:5">
      <c r="A21" s="83"/>
      <c r="E21" s="214"/>
    </row>
    <row r="22" spans="1:5">
      <c r="A22" s="580" t="s">
        <v>1727</v>
      </c>
      <c r="B22" s="322" t="s">
        <v>1290</v>
      </c>
      <c r="C22" s="322"/>
      <c r="D22" s="322"/>
      <c r="E22" s="791" t="s">
        <v>1291</v>
      </c>
    </row>
    <row r="23" spans="1:5">
      <c r="A23" s="567" t="s">
        <v>1739</v>
      </c>
      <c r="B23" s="121" t="s">
        <v>3279</v>
      </c>
      <c r="C23" s="121"/>
      <c r="D23" s="121"/>
      <c r="E23" s="792" t="s">
        <v>3280</v>
      </c>
    </row>
    <row r="24" spans="1:5">
      <c r="A24" s="479">
        <v>1</v>
      </c>
      <c r="B24" s="581" t="s">
        <v>976</v>
      </c>
      <c r="E24" s="523"/>
    </row>
    <row r="25" spans="1:5">
      <c r="A25" s="479">
        <v>2</v>
      </c>
      <c r="E25" s="588"/>
    </row>
    <row r="26" spans="1:5">
      <c r="A26" s="479">
        <v>3</v>
      </c>
      <c r="E26" s="1540"/>
    </row>
    <row r="27" spans="1:5">
      <c r="A27" s="479">
        <v>4</v>
      </c>
      <c r="B27" s="1960"/>
      <c r="E27" s="588"/>
    </row>
    <row r="28" spans="1:5">
      <c r="A28" s="479">
        <v>5</v>
      </c>
      <c r="E28" s="588"/>
    </row>
    <row r="29" spans="1:5">
      <c r="A29" s="479">
        <v>6</v>
      </c>
      <c r="E29" s="588"/>
    </row>
    <row r="30" spans="1:5">
      <c r="A30" s="479">
        <v>7</v>
      </c>
      <c r="E30" s="588"/>
    </row>
    <row r="31" spans="1:5">
      <c r="A31" s="479">
        <v>8</v>
      </c>
      <c r="E31" s="588"/>
    </row>
    <row r="32" spans="1:5">
      <c r="A32" s="479">
        <v>9</v>
      </c>
      <c r="E32" s="588"/>
    </row>
    <row r="33" spans="1:8" ht="15.75" thickBot="1">
      <c r="A33" s="479">
        <v>10</v>
      </c>
      <c r="C33" s="600" t="s">
        <v>977</v>
      </c>
      <c r="E33" s="697">
        <f>SUM(E25:E32)</f>
        <v>0</v>
      </c>
    </row>
    <row r="34" spans="1:8" ht="15.75" thickTop="1">
      <c r="A34" s="479">
        <v>11</v>
      </c>
      <c r="B34" s="581" t="s">
        <v>978</v>
      </c>
      <c r="E34" s="523"/>
    </row>
    <row r="35" spans="1:8" ht="15.75">
      <c r="A35" s="479">
        <v>12</v>
      </c>
      <c r="B35" t="s">
        <v>5335</v>
      </c>
      <c r="E35" s="2098">
        <v>800</v>
      </c>
      <c r="H35" s="2197"/>
    </row>
    <row r="36" spans="1:8">
      <c r="A36" s="479">
        <v>13</v>
      </c>
      <c r="B36" s="2128" t="s">
        <v>5336</v>
      </c>
      <c r="E36" s="1756">
        <v>1000</v>
      </c>
    </row>
    <row r="37" spans="1:8">
      <c r="A37" s="479">
        <v>14</v>
      </c>
      <c r="B37" s="2128" t="s">
        <v>5206</v>
      </c>
      <c r="E37" s="1756">
        <v>2500</v>
      </c>
    </row>
    <row r="38" spans="1:8">
      <c r="A38" s="479">
        <v>15</v>
      </c>
      <c r="B38" s="2128" t="s">
        <v>5337</v>
      </c>
      <c r="E38" s="1756">
        <v>500</v>
      </c>
    </row>
    <row r="39" spans="1:8">
      <c r="A39" s="479">
        <v>16</v>
      </c>
      <c r="B39" t="s">
        <v>5062</v>
      </c>
      <c r="E39" s="1756">
        <v>3500</v>
      </c>
    </row>
    <row r="40" spans="1:8">
      <c r="A40" s="479">
        <v>17</v>
      </c>
      <c r="B40" s="2128" t="s">
        <v>5338</v>
      </c>
      <c r="E40" s="1756">
        <v>2000</v>
      </c>
    </row>
    <row r="41" spans="1:8">
      <c r="A41" s="479">
        <v>18</v>
      </c>
      <c r="B41" s="2128" t="s">
        <v>5207</v>
      </c>
      <c r="E41" s="1756">
        <v>1000</v>
      </c>
    </row>
    <row r="42" spans="1:8">
      <c r="A42" s="479">
        <v>19</v>
      </c>
      <c r="B42" s="2128" t="s">
        <v>5063</v>
      </c>
      <c r="E42" s="1756">
        <v>1000</v>
      </c>
    </row>
    <row r="43" spans="1:8">
      <c r="A43" s="479">
        <v>20</v>
      </c>
      <c r="B43" s="2128" t="s">
        <v>5208</v>
      </c>
      <c r="E43" s="1756">
        <v>5000</v>
      </c>
    </row>
    <row r="44" spans="1:8">
      <c r="A44" s="479">
        <v>21</v>
      </c>
      <c r="B44" s="2128" t="s">
        <v>5209</v>
      </c>
      <c r="E44" s="1756">
        <v>3500</v>
      </c>
    </row>
    <row r="45" spans="1:8">
      <c r="A45" s="479">
        <v>22</v>
      </c>
      <c r="B45" s="2128" t="s">
        <v>5339</v>
      </c>
      <c r="E45" s="1756">
        <v>2300</v>
      </c>
    </row>
    <row r="46" spans="1:8">
      <c r="A46" s="479">
        <v>23</v>
      </c>
      <c r="B46" s="2128" t="s">
        <v>5340</v>
      </c>
      <c r="E46" s="1756">
        <v>500</v>
      </c>
    </row>
    <row r="47" spans="1:8">
      <c r="A47" s="479">
        <v>24</v>
      </c>
      <c r="B47" s="2128" t="s">
        <v>5210</v>
      </c>
      <c r="E47" s="1756">
        <v>500</v>
      </c>
    </row>
    <row r="48" spans="1:8">
      <c r="A48" s="479">
        <v>25</v>
      </c>
      <c r="B48" s="2128" t="s">
        <v>5341</v>
      </c>
      <c r="E48" s="1756">
        <v>300</v>
      </c>
    </row>
    <row r="49" spans="1:6">
      <c r="A49" s="479">
        <v>26</v>
      </c>
      <c r="B49" t="s">
        <v>5064</v>
      </c>
      <c r="E49" s="1756">
        <v>2500</v>
      </c>
    </row>
    <row r="50" spans="1:6">
      <c r="A50" s="479">
        <v>27</v>
      </c>
      <c r="B50" t="s">
        <v>5342</v>
      </c>
      <c r="E50" s="1756">
        <v>3503.69</v>
      </c>
    </row>
    <row r="51" spans="1:6">
      <c r="A51" s="479">
        <v>28</v>
      </c>
      <c r="B51" t="s">
        <v>5211</v>
      </c>
      <c r="E51" s="1756">
        <v>3000</v>
      </c>
    </row>
    <row r="52" spans="1:6">
      <c r="A52" s="479">
        <v>29</v>
      </c>
      <c r="B52" t="s">
        <v>5065</v>
      </c>
      <c r="E52" s="1756">
        <v>5000</v>
      </c>
    </row>
    <row r="53" spans="1:6">
      <c r="A53" s="479">
        <v>30</v>
      </c>
      <c r="B53" t="s">
        <v>5343</v>
      </c>
      <c r="E53" s="1756">
        <v>188.51</v>
      </c>
    </row>
    <row r="54" spans="1:6">
      <c r="A54" s="479">
        <v>31</v>
      </c>
      <c r="B54" t="s">
        <v>5344</v>
      </c>
      <c r="E54" s="1756">
        <v>1000</v>
      </c>
      <c r="F54" s="136"/>
    </row>
    <row r="55" spans="1:6">
      <c r="A55" s="479">
        <v>32</v>
      </c>
      <c r="B55" t="s">
        <v>5345</v>
      </c>
      <c r="E55" s="1756">
        <v>1000</v>
      </c>
      <c r="F55" s="136"/>
    </row>
    <row r="56" spans="1:6">
      <c r="A56" s="479">
        <v>33</v>
      </c>
      <c r="B56" t="s">
        <v>5212</v>
      </c>
      <c r="E56" s="1756">
        <v>2000</v>
      </c>
      <c r="F56" s="136"/>
    </row>
    <row r="57" spans="1:6">
      <c r="A57" s="479">
        <v>34</v>
      </c>
      <c r="B57" t="s">
        <v>5346</v>
      </c>
      <c r="E57" s="1756">
        <v>1000</v>
      </c>
    </row>
    <row r="58" spans="1:6">
      <c r="A58" s="479">
        <v>35</v>
      </c>
      <c r="B58" t="s">
        <v>5347</v>
      </c>
      <c r="E58" s="588">
        <v>500</v>
      </c>
    </row>
    <row r="59" spans="1:6">
      <c r="A59" s="479">
        <v>36</v>
      </c>
      <c r="B59" s="86" t="s">
        <v>5213</v>
      </c>
      <c r="E59" s="588">
        <v>1000</v>
      </c>
    </row>
    <row r="60" spans="1:6">
      <c r="A60" s="479">
        <v>37</v>
      </c>
      <c r="B60" t="s">
        <v>5348</v>
      </c>
      <c r="E60" s="588">
        <v>7500</v>
      </c>
    </row>
    <row r="61" spans="1:6">
      <c r="A61" s="479">
        <v>38</v>
      </c>
      <c r="B61" t="s">
        <v>4676</v>
      </c>
      <c r="E61" s="588">
        <v>3000</v>
      </c>
    </row>
    <row r="62" spans="1:6">
      <c r="A62" s="479">
        <v>39</v>
      </c>
      <c r="B62" t="s">
        <v>5349</v>
      </c>
      <c r="E62" s="588">
        <v>1000</v>
      </c>
    </row>
    <row r="63" spans="1:6">
      <c r="A63" s="479">
        <v>40</v>
      </c>
      <c r="B63" t="s">
        <v>5214</v>
      </c>
      <c r="E63" s="588">
        <v>250</v>
      </c>
    </row>
    <row r="64" spans="1:6">
      <c r="A64" s="479">
        <v>41</v>
      </c>
      <c r="E64" s="588"/>
    </row>
    <row r="65" spans="1:7">
      <c r="A65" s="479">
        <v>42</v>
      </c>
      <c r="E65" s="588"/>
    </row>
    <row r="66" spans="1:7" ht="15.75" thickBot="1">
      <c r="A66" s="583">
        <v>43</v>
      </c>
      <c r="B66" s="125"/>
      <c r="C66" s="584" t="s">
        <v>979</v>
      </c>
      <c r="D66" s="125"/>
      <c r="E66" s="585">
        <f>SUM(E35:E65)</f>
        <v>56842.200000000004</v>
      </c>
      <c r="F66" s="136"/>
      <c r="G66" s="136" t="s">
        <v>4519</v>
      </c>
    </row>
    <row r="67" spans="1:7">
      <c r="A67" s="977" t="s">
        <v>2024</v>
      </c>
      <c r="F67" s="136"/>
    </row>
    <row r="68" spans="1:7">
      <c r="A68" s="4" t="s">
        <v>980</v>
      </c>
      <c r="B68" s="4"/>
      <c r="C68" s="4"/>
      <c r="D68" s="4"/>
      <c r="E68" s="4"/>
      <c r="F68" s="136"/>
      <c r="G68" s="136"/>
    </row>
    <row r="69" spans="1:7" ht="15.75" thickBot="1">
      <c r="A69" t="str">
        <f>'Data sheet'!A59</f>
        <v>Annual Report of Veolia Water New York, Inc.                                                             Year Ended  December 31, 2023</v>
      </c>
      <c r="D69" s="128"/>
    </row>
    <row r="70" spans="1:7">
      <c r="A70" s="80"/>
      <c r="B70" s="81"/>
      <c r="C70" s="81"/>
      <c r="D70" s="81"/>
      <c r="E70" s="82"/>
    </row>
    <row r="71" spans="1:7" ht="15.75">
      <c r="A71" s="118" t="s">
        <v>501</v>
      </c>
      <c r="B71" s="3"/>
      <c r="C71" s="4"/>
      <c r="D71" s="4"/>
      <c r="E71" s="119"/>
    </row>
    <row r="72" spans="1:7">
      <c r="A72" s="83"/>
      <c r="E72" s="214"/>
    </row>
    <row r="73" spans="1:7">
      <c r="A73" s="580" t="s">
        <v>1727</v>
      </c>
      <c r="B73" s="322" t="s">
        <v>1290</v>
      </c>
      <c r="C73" s="322"/>
      <c r="D73" s="322"/>
      <c r="E73" s="791" t="s">
        <v>1291</v>
      </c>
    </row>
    <row r="74" spans="1:7">
      <c r="A74" s="567" t="s">
        <v>1739</v>
      </c>
      <c r="B74" s="121" t="s">
        <v>3279</v>
      </c>
      <c r="C74" s="121"/>
      <c r="D74" s="121"/>
      <c r="E74" s="792" t="s">
        <v>3280</v>
      </c>
    </row>
    <row r="75" spans="1:7">
      <c r="A75" s="479">
        <v>1</v>
      </c>
      <c r="B75" s="581" t="s">
        <v>981</v>
      </c>
      <c r="E75" s="523"/>
    </row>
    <row r="76" spans="1:7">
      <c r="A76" s="479">
        <v>2</v>
      </c>
      <c r="E76" s="589"/>
    </row>
    <row r="77" spans="1:7">
      <c r="A77" s="479">
        <v>3</v>
      </c>
      <c r="B77" s="86" t="s">
        <v>2289</v>
      </c>
      <c r="E77" s="588"/>
    </row>
    <row r="78" spans="1:7">
      <c r="A78" s="479">
        <v>4</v>
      </c>
      <c r="E78" s="588"/>
    </row>
    <row r="79" spans="1:7">
      <c r="A79" s="479">
        <v>5</v>
      </c>
      <c r="E79" s="588"/>
    </row>
    <row r="80" spans="1:7">
      <c r="A80" s="479">
        <v>6</v>
      </c>
      <c r="E80" s="588"/>
    </row>
    <row r="81" spans="1:7" ht="15.75" thickBot="1">
      <c r="A81" s="479">
        <v>7</v>
      </c>
      <c r="C81" s="600" t="s">
        <v>982</v>
      </c>
      <c r="E81" s="697">
        <f>SUM(E76:E80)</f>
        <v>0</v>
      </c>
    </row>
    <row r="82" spans="1:7" ht="15.75" thickTop="1">
      <c r="A82" s="479">
        <v>8</v>
      </c>
      <c r="B82" s="581" t="s">
        <v>983</v>
      </c>
      <c r="E82" s="523"/>
    </row>
    <row r="83" spans="1:7">
      <c r="A83" s="479">
        <v>9</v>
      </c>
      <c r="E83" s="589"/>
    </row>
    <row r="84" spans="1:7">
      <c r="A84" s="479">
        <v>10</v>
      </c>
      <c r="B84" s="86" t="s">
        <v>5350</v>
      </c>
      <c r="E84" s="588">
        <v>2400</v>
      </c>
    </row>
    <row r="85" spans="1:7">
      <c r="A85" s="479">
        <v>11</v>
      </c>
      <c r="E85" s="1756"/>
    </row>
    <row r="86" spans="1:7">
      <c r="A86" s="479">
        <v>12</v>
      </c>
      <c r="E86" s="1756"/>
    </row>
    <row r="87" spans="1:7">
      <c r="A87" s="479">
        <v>13</v>
      </c>
      <c r="E87" s="1756"/>
    </row>
    <row r="88" spans="1:7">
      <c r="A88" s="479">
        <v>14</v>
      </c>
      <c r="E88" s="1756"/>
    </row>
    <row r="89" spans="1:7" ht="15.75" thickBot="1">
      <c r="A89" s="479">
        <v>15</v>
      </c>
      <c r="C89" s="600" t="s">
        <v>984</v>
      </c>
      <c r="E89" s="697">
        <f>SUM(E83:E88)</f>
        <v>2400</v>
      </c>
      <c r="G89" t="s">
        <v>4519</v>
      </c>
    </row>
    <row r="90" spans="1:7" ht="15.75" thickTop="1">
      <c r="A90" s="479">
        <v>16</v>
      </c>
      <c r="B90" s="581" t="s">
        <v>985</v>
      </c>
      <c r="E90" s="523"/>
    </row>
    <row r="91" spans="1:7">
      <c r="A91" s="479">
        <v>17</v>
      </c>
      <c r="E91" s="589"/>
    </row>
    <row r="92" spans="1:7">
      <c r="A92" s="479">
        <v>18</v>
      </c>
      <c r="B92" s="86" t="s">
        <v>2289</v>
      </c>
      <c r="E92" s="588"/>
    </row>
    <row r="93" spans="1:7">
      <c r="A93" s="479">
        <v>19</v>
      </c>
      <c r="E93" s="588"/>
    </row>
    <row r="94" spans="1:7">
      <c r="A94" s="479">
        <v>20</v>
      </c>
      <c r="E94" s="588"/>
    </row>
    <row r="95" spans="1:7">
      <c r="A95" s="479">
        <v>21</v>
      </c>
      <c r="E95" s="588"/>
    </row>
    <row r="96" spans="1:7">
      <c r="A96" s="479">
        <v>22</v>
      </c>
      <c r="E96" s="588"/>
    </row>
    <row r="97" spans="1:5">
      <c r="A97" s="479">
        <v>23</v>
      </c>
      <c r="E97" s="588"/>
    </row>
    <row r="98" spans="1:5">
      <c r="A98" s="479">
        <v>24</v>
      </c>
      <c r="E98" s="588"/>
    </row>
    <row r="99" spans="1:5">
      <c r="A99" s="479">
        <v>25</v>
      </c>
      <c r="E99" s="588"/>
    </row>
    <row r="100" spans="1:5">
      <c r="A100" s="479">
        <v>26</v>
      </c>
      <c r="E100" s="588"/>
    </row>
    <row r="101" spans="1:5">
      <c r="A101" s="479">
        <v>27</v>
      </c>
      <c r="E101" s="588"/>
    </row>
    <row r="102" spans="1:5">
      <c r="A102" s="479">
        <v>28</v>
      </c>
      <c r="E102" s="588"/>
    </row>
    <row r="103" spans="1:5">
      <c r="A103" s="479">
        <v>29</v>
      </c>
      <c r="E103" s="588"/>
    </row>
    <row r="104" spans="1:5">
      <c r="A104" s="479">
        <v>30</v>
      </c>
      <c r="E104" s="588"/>
    </row>
    <row r="105" spans="1:5">
      <c r="A105" s="479">
        <v>31</v>
      </c>
      <c r="E105" s="588"/>
    </row>
    <row r="106" spans="1:5">
      <c r="A106" s="479">
        <v>32</v>
      </c>
      <c r="E106" s="588"/>
    </row>
    <row r="107" spans="1:5">
      <c r="A107" s="479">
        <v>33</v>
      </c>
      <c r="E107" s="588"/>
    </row>
    <row r="108" spans="1:5">
      <c r="A108" s="479">
        <v>34</v>
      </c>
      <c r="E108" s="588"/>
    </row>
    <row r="109" spans="1:5">
      <c r="A109" s="479">
        <v>35</v>
      </c>
      <c r="E109" s="588"/>
    </row>
    <row r="110" spans="1:5">
      <c r="A110" s="479">
        <v>36</v>
      </c>
      <c r="E110" s="588"/>
    </row>
    <row r="111" spans="1:5">
      <c r="A111" s="479">
        <v>37</v>
      </c>
      <c r="E111" s="588"/>
    </row>
    <row r="112" spans="1:5">
      <c r="A112" s="479">
        <v>38</v>
      </c>
      <c r="E112" s="588"/>
    </row>
    <row r="113" spans="1:5">
      <c r="A113" s="479">
        <v>39</v>
      </c>
      <c r="E113" s="588"/>
    </row>
    <row r="114" spans="1:5">
      <c r="A114" s="479">
        <v>40</v>
      </c>
      <c r="E114" s="588"/>
    </row>
    <row r="115" spans="1:5">
      <c r="A115" s="479">
        <v>41</v>
      </c>
      <c r="E115" s="588"/>
    </row>
    <row r="116" spans="1:5">
      <c r="A116" s="479">
        <v>42</v>
      </c>
      <c r="E116" s="588"/>
    </row>
    <row r="117" spans="1:5">
      <c r="A117" s="479">
        <v>43</v>
      </c>
      <c r="E117" s="588"/>
    </row>
    <row r="118" spans="1:5">
      <c r="A118" s="479">
        <v>44</v>
      </c>
      <c r="E118" s="588"/>
    </row>
    <row r="119" spans="1:5">
      <c r="A119" s="479">
        <v>45</v>
      </c>
      <c r="E119" s="588"/>
    </row>
    <row r="120" spans="1:5">
      <c r="A120" s="479">
        <v>46</v>
      </c>
      <c r="E120" s="588"/>
    </row>
    <row r="121" spans="1:5">
      <c r="A121" s="479">
        <v>47</v>
      </c>
      <c r="E121" s="588"/>
    </row>
    <row r="122" spans="1:5">
      <c r="A122" s="479">
        <v>48</v>
      </c>
      <c r="E122" s="588"/>
    </row>
    <row r="123" spans="1:5">
      <c r="A123" s="479">
        <v>49</v>
      </c>
      <c r="E123" s="588"/>
    </row>
    <row r="124" spans="1:5">
      <c r="A124" s="479">
        <v>50</v>
      </c>
      <c r="E124" s="588"/>
    </row>
    <row r="125" spans="1:5">
      <c r="A125" s="479">
        <v>51</v>
      </c>
      <c r="E125" s="588"/>
    </row>
    <row r="126" spans="1:5" ht="45.75" thickBot="1">
      <c r="A126" s="583">
        <v>52</v>
      </c>
      <c r="B126" s="125"/>
      <c r="C126" s="805" t="s">
        <v>986</v>
      </c>
      <c r="D126" s="125"/>
      <c r="E126" s="585">
        <f>SUM(E91:E125)</f>
        <v>0</v>
      </c>
    </row>
    <row r="127" spans="1:5">
      <c r="E127" t="s">
        <v>2024</v>
      </c>
    </row>
    <row r="128" spans="1:5">
      <c r="A128" s="4" t="s">
        <v>987</v>
      </c>
      <c r="B128" s="4"/>
      <c r="C128" s="4"/>
      <c r="D128" s="4"/>
      <c r="E128" s="4"/>
    </row>
    <row r="129" spans="1:7" ht="15.75" thickBot="1">
      <c r="A129" t="str">
        <f>'Data sheet'!A59</f>
        <v>Annual Report of Veolia Water New York, Inc.                                                             Year Ended  December 31, 2023</v>
      </c>
      <c r="B129" s="4"/>
      <c r="C129" s="4"/>
      <c r="D129" s="128"/>
    </row>
    <row r="130" spans="1:7">
      <c r="A130" s="80"/>
      <c r="B130" s="81"/>
      <c r="C130" s="81"/>
      <c r="D130" s="81"/>
      <c r="E130" s="82"/>
    </row>
    <row r="131" spans="1:7" ht="15.75">
      <c r="A131" s="118" t="s">
        <v>501</v>
      </c>
      <c r="B131" s="3"/>
      <c r="C131" s="4"/>
      <c r="D131" s="4"/>
      <c r="E131" s="119"/>
    </row>
    <row r="132" spans="1:7">
      <c r="A132" s="83"/>
      <c r="E132" s="214"/>
    </row>
    <row r="133" spans="1:7">
      <c r="A133" s="580" t="s">
        <v>1727</v>
      </c>
      <c r="B133" s="322" t="s">
        <v>1290</v>
      </c>
      <c r="C133" s="322"/>
      <c r="D133" s="322"/>
      <c r="E133" s="791" t="s">
        <v>1291</v>
      </c>
    </row>
    <row r="134" spans="1:7">
      <c r="A134" s="567" t="s">
        <v>1739</v>
      </c>
      <c r="B134" s="121" t="s">
        <v>3279</v>
      </c>
      <c r="C134" s="121"/>
      <c r="D134" s="121"/>
      <c r="E134" s="792" t="s">
        <v>3280</v>
      </c>
    </row>
    <row r="135" spans="1:7">
      <c r="A135" s="479">
        <v>1</v>
      </c>
      <c r="B135" s="581" t="s">
        <v>990</v>
      </c>
      <c r="E135" s="523"/>
    </row>
    <row r="136" spans="1:7">
      <c r="A136" s="479">
        <v>2</v>
      </c>
      <c r="B136" t="s">
        <v>5067</v>
      </c>
      <c r="E136" s="589">
        <v>106667</v>
      </c>
      <c r="G136" t="s">
        <v>4519</v>
      </c>
    </row>
    <row r="137" spans="1:7">
      <c r="A137" s="479">
        <v>3</v>
      </c>
      <c r="B137" s="86" t="s">
        <v>5351</v>
      </c>
      <c r="E137" s="589">
        <v>10000</v>
      </c>
      <c r="G137" t="s">
        <v>4519</v>
      </c>
    </row>
    <row r="138" spans="1:7">
      <c r="A138" s="479">
        <v>4</v>
      </c>
      <c r="B138" s="86" t="s">
        <v>5215</v>
      </c>
      <c r="E138" s="588">
        <v>17123</v>
      </c>
      <c r="F138" s="136"/>
      <c r="G138" t="s">
        <v>4519</v>
      </c>
    </row>
    <row r="139" spans="1:7">
      <c r="A139" s="479">
        <v>5</v>
      </c>
      <c r="B139" s="86" t="s">
        <v>5352</v>
      </c>
      <c r="E139" s="588">
        <v>25000</v>
      </c>
      <c r="G139" t="s">
        <v>4519</v>
      </c>
    </row>
    <row r="140" spans="1:7">
      <c r="A140" s="479">
        <v>6</v>
      </c>
      <c r="B140" t="s">
        <v>4713</v>
      </c>
      <c r="E140" s="588">
        <v>31425</v>
      </c>
      <c r="G140" t="s">
        <v>4519</v>
      </c>
    </row>
    <row r="141" spans="1:7">
      <c r="A141" s="479">
        <v>7</v>
      </c>
      <c r="B141" t="s">
        <v>5353</v>
      </c>
      <c r="E141" s="588">
        <v>16883</v>
      </c>
      <c r="G141" t="s">
        <v>4519</v>
      </c>
    </row>
    <row r="142" spans="1:7">
      <c r="A142" s="479">
        <v>8</v>
      </c>
      <c r="B142" t="s">
        <v>5354</v>
      </c>
      <c r="E142" s="588">
        <v>73584</v>
      </c>
      <c r="G142" t="s">
        <v>4519</v>
      </c>
    </row>
    <row r="143" spans="1:7">
      <c r="A143" s="479">
        <v>9</v>
      </c>
      <c r="B143" t="s">
        <v>5068</v>
      </c>
      <c r="E143" s="588">
        <v>27734</v>
      </c>
      <c r="G143" t="s">
        <v>4519</v>
      </c>
    </row>
    <row r="144" spans="1:7">
      <c r="A144" s="479">
        <v>10</v>
      </c>
      <c r="B144" t="s">
        <v>5069</v>
      </c>
      <c r="E144" s="588">
        <v>87973.799999999988</v>
      </c>
      <c r="G144" t="s">
        <v>4519</v>
      </c>
    </row>
    <row r="145" spans="1:7">
      <c r="A145" s="479">
        <v>11</v>
      </c>
      <c r="B145" t="s">
        <v>5074</v>
      </c>
      <c r="E145" s="588">
        <v>246469</v>
      </c>
      <c r="G145" t="s">
        <v>4519</v>
      </c>
    </row>
    <row r="146" spans="1:7">
      <c r="A146" s="479">
        <v>12</v>
      </c>
      <c r="B146" t="s">
        <v>5066</v>
      </c>
      <c r="E146" s="588">
        <v>16074</v>
      </c>
      <c r="G146" t="s">
        <v>4519</v>
      </c>
    </row>
    <row r="147" spans="1:7">
      <c r="A147" s="479">
        <v>13</v>
      </c>
      <c r="E147" s="588"/>
      <c r="G147" t="s">
        <v>4519</v>
      </c>
    </row>
    <row r="148" spans="1:7">
      <c r="A148" s="479">
        <v>14</v>
      </c>
      <c r="E148" s="588"/>
      <c r="G148" t="s">
        <v>4519</v>
      </c>
    </row>
    <row r="149" spans="1:7">
      <c r="A149" s="479">
        <v>15</v>
      </c>
      <c r="E149" s="588"/>
      <c r="G149" t="s">
        <v>4519</v>
      </c>
    </row>
    <row r="150" spans="1:7">
      <c r="A150" s="479">
        <v>16</v>
      </c>
      <c r="E150" s="588"/>
      <c r="G150" t="s">
        <v>4519</v>
      </c>
    </row>
    <row r="151" spans="1:7">
      <c r="A151" s="479">
        <v>17</v>
      </c>
      <c r="E151" s="588"/>
      <c r="G151" t="s">
        <v>4519</v>
      </c>
    </row>
    <row r="152" spans="1:7">
      <c r="A152" s="479">
        <v>18</v>
      </c>
      <c r="E152" s="588"/>
      <c r="G152" t="s">
        <v>4519</v>
      </c>
    </row>
    <row r="153" spans="1:7">
      <c r="A153" s="479">
        <v>19</v>
      </c>
      <c r="E153" s="588"/>
      <c r="G153" t="s">
        <v>4519</v>
      </c>
    </row>
    <row r="154" spans="1:7">
      <c r="A154" s="479">
        <v>20</v>
      </c>
      <c r="E154" s="588"/>
      <c r="G154" t="s">
        <v>4519</v>
      </c>
    </row>
    <row r="155" spans="1:7">
      <c r="A155" s="479">
        <v>21</v>
      </c>
      <c r="E155" s="588"/>
      <c r="G155" t="s">
        <v>4519</v>
      </c>
    </row>
    <row r="156" spans="1:7">
      <c r="A156" s="479">
        <v>22</v>
      </c>
      <c r="E156" s="588"/>
      <c r="G156" t="s">
        <v>4519</v>
      </c>
    </row>
    <row r="157" spans="1:7">
      <c r="A157" s="479">
        <v>23</v>
      </c>
      <c r="E157" s="588"/>
      <c r="G157" t="s">
        <v>4519</v>
      </c>
    </row>
    <row r="158" spans="1:7">
      <c r="A158" s="479">
        <v>24</v>
      </c>
      <c r="E158" s="588"/>
      <c r="G158" t="s">
        <v>4519</v>
      </c>
    </row>
    <row r="159" spans="1:7">
      <c r="A159" s="479">
        <v>25</v>
      </c>
      <c r="E159" s="588"/>
      <c r="G159" t="s">
        <v>4519</v>
      </c>
    </row>
    <row r="160" spans="1:7">
      <c r="A160" s="479">
        <v>26</v>
      </c>
      <c r="E160" s="588"/>
      <c r="G160" t="s">
        <v>4519</v>
      </c>
    </row>
    <row r="161" spans="1:8">
      <c r="A161" s="479">
        <v>27</v>
      </c>
      <c r="E161" s="588"/>
      <c r="G161" t="s">
        <v>4519</v>
      </c>
    </row>
    <row r="162" spans="1:8">
      <c r="A162" s="479">
        <v>28</v>
      </c>
      <c r="E162" s="588"/>
      <c r="G162" t="s">
        <v>4519</v>
      </c>
    </row>
    <row r="163" spans="1:8">
      <c r="A163" s="479">
        <v>29</v>
      </c>
      <c r="E163" s="588"/>
      <c r="G163" t="s">
        <v>4519</v>
      </c>
    </row>
    <row r="164" spans="1:8">
      <c r="A164" s="479">
        <v>30</v>
      </c>
      <c r="E164" s="588"/>
      <c r="G164" t="s">
        <v>4519</v>
      </c>
    </row>
    <row r="165" spans="1:8">
      <c r="A165" s="479">
        <v>31</v>
      </c>
      <c r="E165" s="588"/>
      <c r="G165" t="s">
        <v>4519</v>
      </c>
    </row>
    <row r="166" spans="1:8">
      <c r="A166" s="479">
        <v>32</v>
      </c>
      <c r="E166" s="588"/>
      <c r="G166" t="s">
        <v>4519</v>
      </c>
    </row>
    <row r="167" spans="1:8">
      <c r="A167" s="479">
        <v>33</v>
      </c>
      <c r="E167" s="588"/>
      <c r="G167" t="s">
        <v>4519</v>
      </c>
    </row>
    <row r="168" spans="1:8">
      <c r="A168" s="479">
        <v>34</v>
      </c>
      <c r="E168" s="588"/>
      <c r="G168" t="s">
        <v>4519</v>
      </c>
    </row>
    <row r="169" spans="1:8">
      <c r="A169" s="479">
        <v>35</v>
      </c>
      <c r="E169" s="588"/>
      <c r="G169" t="s">
        <v>4519</v>
      </c>
    </row>
    <row r="170" spans="1:8">
      <c r="A170" s="479">
        <v>36</v>
      </c>
      <c r="E170" s="588"/>
      <c r="G170" t="s">
        <v>4805</v>
      </c>
    </row>
    <row r="171" spans="1:8">
      <c r="A171" s="479">
        <v>37</v>
      </c>
      <c r="E171" s="588"/>
      <c r="G171" t="s">
        <v>4805</v>
      </c>
    </row>
    <row r="172" spans="1:8">
      <c r="A172" s="479">
        <v>38</v>
      </c>
      <c r="E172" s="588"/>
      <c r="G172" t="s">
        <v>4805</v>
      </c>
    </row>
    <row r="173" spans="1:8">
      <c r="A173" s="479">
        <v>39</v>
      </c>
      <c r="E173" s="588"/>
      <c r="G173" t="s">
        <v>4805</v>
      </c>
    </row>
    <row r="174" spans="1:8">
      <c r="A174" s="479">
        <v>54</v>
      </c>
      <c r="E174" s="588"/>
    </row>
    <row r="175" spans="1:8" ht="15.75" thickBot="1">
      <c r="A175" s="479">
        <v>55</v>
      </c>
      <c r="C175" s="600" t="s">
        <v>991</v>
      </c>
      <c r="E175" s="697">
        <f>SUM(E136:E174)</f>
        <v>658932.80000000005</v>
      </c>
      <c r="G175" t="s">
        <v>4519</v>
      </c>
      <c r="H175" s="140">
        <f>+E89+E66+SUM(E136:E169)</f>
        <v>718175</v>
      </c>
    </row>
    <row r="176" spans="1:8" ht="15.75" thickTop="1">
      <c r="A176" s="479">
        <v>56</v>
      </c>
      <c r="E176" s="588"/>
      <c r="G176" s="86" t="s">
        <v>4805</v>
      </c>
      <c r="H176" s="140">
        <f>SUM(E170:E173)</f>
        <v>0</v>
      </c>
    </row>
    <row r="177" spans="1:9" ht="15.75" thickBot="1">
      <c r="A177" s="479">
        <v>57</v>
      </c>
      <c r="B177" s="581" t="s">
        <v>1667</v>
      </c>
      <c r="E177" s="588"/>
      <c r="H177" s="2386">
        <f>SUM(H175:H176)</f>
        <v>718175</v>
      </c>
      <c r="I177" t="str">
        <f>IF(ROUND(H177, 0)=ROUND('116119'!G85, 0), "ok","error")</f>
        <v>ok</v>
      </c>
    </row>
    <row r="178" spans="1:9" ht="15.75" thickTop="1">
      <c r="A178" s="479">
        <v>58</v>
      </c>
      <c r="E178" s="588"/>
      <c r="F178" s="1575"/>
    </row>
    <row r="179" spans="1:9">
      <c r="A179" s="479">
        <v>59</v>
      </c>
      <c r="B179" s="86" t="s">
        <v>2289</v>
      </c>
      <c r="E179" s="1969"/>
      <c r="F179" s="1576"/>
    </row>
    <row r="180" spans="1:9">
      <c r="A180" s="479">
        <v>62</v>
      </c>
      <c r="B180" s="86"/>
      <c r="E180" s="442"/>
      <c r="F180" s="1576"/>
    </row>
    <row r="181" spans="1:9" ht="30.75" thickBot="1">
      <c r="A181" s="479">
        <v>63</v>
      </c>
      <c r="C181" s="806" t="s">
        <v>4355</v>
      </c>
      <c r="E181" s="697">
        <f>SUM(E178:E180)</f>
        <v>0</v>
      </c>
      <c r="F181" s="1576" t="str">
        <f>IF(ROUND(E181, 0)=ROUND('116119'!G103, 0),"ok","error")</f>
        <v>ok</v>
      </c>
    </row>
    <row r="182" spans="1:9" ht="15.75" thickTop="1">
      <c r="A182" s="479">
        <v>64</v>
      </c>
      <c r="E182" s="442"/>
      <c r="F182" s="1576"/>
    </row>
    <row r="183" spans="1:9">
      <c r="A183" s="479">
        <v>65</v>
      </c>
      <c r="B183" t="s">
        <v>3078</v>
      </c>
      <c r="E183" s="442"/>
      <c r="F183" s="1576"/>
    </row>
    <row r="184" spans="1:9">
      <c r="A184" s="479">
        <v>67</v>
      </c>
      <c r="E184" s="442"/>
      <c r="F184" s="1576"/>
    </row>
    <row r="185" spans="1:9">
      <c r="A185" s="479">
        <v>68</v>
      </c>
      <c r="B185" t="s">
        <v>5072</v>
      </c>
      <c r="E185" s="442">
        <v>12091631</v>
      </c>
      <c r="F185" s="1576"/>
    </row>
    <row r="186" spans="1:9">
      <c r="A186" s="479">
        <v>69</v>
      </c>
      <c r="B186" t="s">
        <v>5070</v>
      </c>
      <c r="E186" s="442">
        <v>-25804</v>
      </c>
      <c r="F186" s="1576"/>
    </row>
    <row r="187" spans="1:9">
      <c r="A187" s="479">
        <v>70</v>
      </c>
      <c r="B187" t="s">
        <v>4715</v>
      </c>
      <c r="E187" s="442">
        <v>1831941</v>
      </c>
      <c r="F187" s="1576"/>
    </row>
    <row r="188" spans="1:9">
      <c r="A188" s="479">
        <v>71</v>
      </c>
      <c r="B188" t="s">
        <v>5071</v>
      </c>
      <c r="E188" s="442">
        <v>73337</v>
      </c>
      <c r="F188" s="1576"/>
    </row>
    <row r="189" spans="1:9">
      <c r="A189" s="479">
        <v>72</v>
      </c>
      <c r="B189" t="s">
        <v>4806</v>
      </c>
      <c r="E189" s="442">
        <v>200994</v>
      </c>
      <c r="F189" s="1576"/>
    </row>
    <row r="190" spans="1:9">
      <c r="A190" s="479">
        <v>73</v>
      </c>
      <c r="B190" t="s">
        <v>4716</v>
      </c>
      <c r="E190" s="442">
        <v>531518</v>
      </c>
      <c r="F190" s="1576"/>
    </row>
    <row r="191" spans="1:9">
      <c r="A191" s="479">
        <v>74</v>
      </c>
      <c r="B191" t="s">
        <v>5355</v>
      </c>
      <c r="E191" s="588">
        <v>947</v>
      </c>
    </row>
    <row r="192" spans="1:9">
      <c r="A192" s="479">
        <v>80</v>
      </c>
      <c r="E192" s="588"/>
    </row>
    <row r="193" spans="1:9" ht="15.75" thickBot="1">
      <c r="A193" s="479">
        <v>81</v>
      </c>
      <c r="C193" t="s">
        <v>1761</v>
      </c>
      <c r="E193" s="1970">
        <f>SUM(E184:E192)</f>
        <v>14704564</v>
      </c>
      <c r="F193" s="1576" t="str">
        <f>IF(ROUND(E193, 0)=ROUND('116119'!G104, 0),"ok","error")</f>
        <v>ok</v>
      </c>
      <c r="H193" s="1576">
        <f>'116119'!G104</f>
        <v>14704564</v>
      </c>
      <c r="I193" s="1574">
        <f>+E193-H193</f>
        <v>0</v>
      </c>
    </row>
    <row r="194" spans="1:9" ht="16.5" thickTop="1" thickBot="1">
      <c r="A194" s="479">
        <v>82</v>
      </c>
      <c r="B194" s="125"/>
      <c r="C194" s="125"/>
      <c r="D194" s="125"/>
      <c r="E194" s="807"/>
    </row>
    <row r="195" spans="1:9">
      <c r="A195" t="s">
        <v>2024</v>
      </c>
    </row>
    <row r="196" spans="1:9">
      <c r="A196" s="4" t="s">
        <v>3079</v>
      </c>
      <c r="B196" s="4"/>
      <c r="C196" s="4"/>
      <c r="D196" s="4"/>
      <c r="E196" s="1888"/>
    </row>
    <row r="199" spans="1:9">
      <c r="B199" s="977" t="str">
        <f>+'116119'!B84</f>
        <v xml:space="preserve">    Miscellaneous Amortization (425)</v>
      </c>
      <c r="C199" s="977" t="str">
        <f>+'116119'!A119</f>
        <v>Page 118</v>
      </c>
      <c r="E199" s="1592">
        <f>+'116119'!G84</f>
        <v>0</v>
      </c>
    </row>
    <row r="200" spans="1:9">
      <c r="B200" s="977" t="str">
        <f>+'116119'!B85</f>
        <v xml:space="preserve">    Miscellaneous Income Deductions (426)</v>
      </c>
      <c r="C200" s="977" t="str">
        <f>+'116119'!A119</f>
        <v>Page 118</v>
      </c>
      <c r="E200" s="1592">
        <f>+'116119'!G85</f>
        <v>718175</v>
      </c>
    </row>
    <row r="201" spans="1:9">
      <c r="B201" s="977" t="str">
        <f>+'116119'!B103</f>
        <v>Interest on Debt to Assoc. Companies (430)</v>
      </c>
      <c r="C201" s="977" t="str">
        <f>+'116119'!A119</f>
        <v>Page 118</v>
      </c>
      <c r="E201" s="1592">
        <f>+'116119'!G103</f>
        <v>0</v>
      </c>
    </row>
    <row r="202" spans="1:9">
      <c r="B202" s="977" t="str">
        <f>+'116119'!B104</f>
        <v>Other Interest Expense (431)</v>
      </c>
      <c r="C202" s="977" t="str">
        <f>+'116119'!A119</f>
        <v>Page 118</v>
      </c>
      <c r="E202" s="1592">
        <f>+'116119'!G104</f>
        <v>14704564</v>
      </c>
    </row>
    <row r="203" spans="1:9">
      <c r="E203" s="1594"/>
    </row>
    <row r="204" spans="1:9">
      <c r="E204" s="1594"/>
    </row>
    <row r="205" spans="1:9">
      <c r="E205" s="1594"/>
    </row>
    <row r="206" spans="1:9">
      <c r="E206" s="1594"/>
    </row>
    <row r="207" spans="1:9">
      <c r="E207" s="1594"/>
    </row>
  </sheetData>
  <phoneticPr fontId="0" type="noConversion"/>
  <pageMargins left="0.4" right="0.4" top="0.3" bottom="0.25" header="0.5" footer="0.25"/>
  <pageSetup scale="73" fitToHeight="3" orientation="portrait" r:id="rId1"/>
  <headerFooter alignWithMargins="0"/>
  <rowBreaks count="2" manualBreakCount="2">
    <brk id="68" max="16383" man="1"/>
    <brk id="128"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ransitionEvaluation="1" codeName="Sheet67">
    <pageSetUpPr fitToPage="1"/>
  </sheetPr>
  <dimension ref="A1:D77"/>
  <sheetViews>
    <sheetView defaultGridColor="0" colorId="22" zoomScaleNormal="100" workbookViewId="0">
      <selection activeCell="B25" sqref="B25"/>
    </sheetView>
  </sheetViews>
  <sheetFormatPr defaultColWidth="9.77734375" defaultRowHeight="15"/>
  <cols>
    <col min="1" max="1" width="4.77734375" customWidth="1"/>
    <col min="2" max="2" width="60.77734375" customWidth="1"/>
    <col min="3" max="4" width="15.77734375" customWidth="1"/>
  </cols>
  <sheetData>
    <row r="1" spans="1:4" ht="15.75" thickBot="1">
      <c r="A1" t="str">
        <f>'Data sheet'!A57</f>
        <v>Annual Report of Veolia Water New York, Inc.                                              Year Ended  December 31, 2023</v>
      </c>
      <c r="C1" s="16"/>
      <c r="D1" s="4"/>
    </row>
    <row r="2" spans="1:4">
      <c r="A2" s="80"/>
      <c r="B2" s="81"/>
      <c r="C2" s="81"/>
      <c r="D2" s="82"/>
    </row>
    <row r="3" spans="1:4" ht="15.75">
      <c r="A3" s="118" t="s">
        <v>3304</v>
      </c>
      <c r="B3" s="3"/>
      <c r="C3" s="4"/>
      <c r="D3" s="119"/>
    </row>
    <row r="4" spans="1:4">
      <c r="A4" s="123"/>
      <c r="B4" s="224"/>
      <c r="C4" s="224"/>
      <c r="D4" s="225"/>
    </row>
    <row r="5" spans="1:4">
      <c r="A5" s="83"/>
      <c r="B5" t="s">
        <v>3757</v>
      </c>
      <c r="D5" s="214"/>
    </row>
    <row r="6" spans="1:4">
      <c r="A6" s="83"/>
      <c r="B6" t="s">
        <v>3758</v>
      </c>
      <c r="D6" s="214"/>
    </row>
    <row r="7" spans="1:4">
      <c r="A7" s="83"/>
      <c r="B7" t="s">
        <v>3759</v>
      </c>
      <c r="D7" s="214"/>
    </row>
    <row r="8" spans="1:4">
      <c r="A8" s="83"/>
      <c r="B8" t="s">
        <v>3132</v>
      </c>
      <c r="D8" s="214"/>
    </row>
    <row r="9" spans="1:4">
      <c r="A9" s="83"/>
      <c r="B9" t="s">
        <v>1914</v>
      </c>
      <c r="D9" s="214"/>
    </row>
    <row r="10" spans="1:4">
      <c r="A10" s="83"/>
      <c r="B10" t="s">
        <v>1915</v>
      </c>
      <c r="D10" s="214"/>
    </row>
    <row r="11" spans="1:4">
      <c r="A11" s="123"/>
      <c r="B11" s="224"/>
      <c r="C11" s="224"/>
      <c r="D11" s="225"/>
    </row>
    <row r="12" spans="1:4">
      <c r="A12" s="83"/>
      <c r="B12" s="238"/>
      <c r="C12" s="600" t="s">
        <v>1916</v>
      </c>
      <c r="D12" s="796" t="s">
        <v>1917</v>
      </c>
    </row>
    <row r="13" spans="1:4">
      <c r="A13" s="595" t="s">
        <v>3963</v>
      </c>
      <c r="B13" s="714" t="s">
        <v>1918</v>
      </c>
      <c r="C13" s="600" t="s">
        <v>427</v>
      </c>
      <c r="D13" s="796" t="s">
        <v>428</v>
      </c>
    </row>
    <row r="14" spans="1:4">
      <c r="A14" s="596" t="s">
        <v>1690</v>
      </c>
      <c r="B14" s="715" t="s">
        <v>3279</v>
      </c>
      <c r="C14" s="797" t="s">
        <v>3280</v>
      </c>
      <c r="D14" s="792" t="s">
        <v>3281</v>
      </c>
    </row>
    <row r="15" spans="1:4">
      <c r="A15" s="595">
        <v>1</v>
      </c>
      <c r="B15" s="238" t="s">
        <v>429</v>
      </c>
      <c r="C15" s="808"/>
      <c r="D15" s="696"/>
    </row>
    <row r="16" spans="1:4">
      <c r="A16" s="595">
        <v>2</v>
      </c>
      <c r="B16" s="238"/>
      <c r="C16" s="136"/>
      <c r="D16" s="589"/>
    </row>
    <row r="17" spans="1:4">
      <c r="A17" s="595">
        <v>3</v>
      </c>
      <c r="B17" s="238" t="s">
        <v>2289</v>
      </c>
      <c r="C17" s="140"/>
      <c r="D17" s="588"/>
    </row>
    <row r="18" spans="1:4">
      <c r="A18" s="595">
        <v>4</v>
      </c>
      <c r="B18" s="238"/>
      <c r="C18" s="140"/>
      <c r="D18" s="588"/>
    </row>
    <row r="19" spans="1:4">
      <c r="A19" s="595">
        <v>5</v>
      </c>
      <c r="B19" s="238"/>
      <c r="C19" s="140"/>
      <c r="D19" s="588"/>
    </row>
    <row r="20" spans="1:4">
      <c r="A20" s="595">
        <v>6</v>
      </c>
      <c r="B20" s="238"/>
      <c r="C20" s="140"/>
      <c r="D20" s="588"/>
    </row>
    <row r="21" spans="1:4">
      <c r="A21" s="595">
        <v>7</v>
      </c>
      <c r="B21" s="238"/>
      <c r="C21" s="140"/>
      <c r="D21" s="588"/>
    </row>
    <row r="22" spans="1:4">
      <c r="A22" s="595">
        <v>8</v>
      </c>
      <c r="B22" s="238"/>
      <c r="C22" s="140"/>
      <c r="D22" s="588"/>
    </row>
    <row r="23" spans="1:4">
      <c r="A23" s="595">
        <v>9</v>
      </c>
      <c r="B23" s="238"/>
      <c r="C23" s="140"/>
      <c r="D23" s="588"/>
    </row>
    <row r="24" spans="1:4">
      <c r="A24" s="595">
        <v>10</v>
      </c>
      <c r="B24" s="238"/>
      <c r="C24" s="140"/>
      <c r="D24" s="588"/>
    </row>
    <row r="25" spans="1:4">
      <c r="A25" s="595">
        <v>11</v>
      </c>
      <c r="B25" s="238"/>
      <c r="C25" s="140"/>
      <c r="D25" s="588"/>
    </row>
    <row r="26" spans="1:4">
      <c r="A26" s="595">
        <v>12</v>
      </c>
      <c r="B26" s="238"/>
      <c r="C26" s="140"/>
      <c r="D26" s="588"/>
    </row>
    <row r="27" spans="1:4">
      <c r="A27" s="595">
        <v>13</v>
      </c>
      <c r="B27" s="238"/>
      <c r="C27" s="140"/>
      <c r="D27" s="588"/>
    </row>
    <row r="28" spans="1:4">
      <c r="A28" s="595">
        <v>14</v>
      </c>
      <c r="B28" s="238"/>
      <c r="C28" s="140"/>
      <c r="D28" s="588"/>
    </row>
    <row r="29" spans="1:4">
      <c r="A29" s="595">
        <v>15</v>
      </c>
      <c r="B29" s="238"/>
      <c r="C29" s="140"/>
      <c r="D29" s="588"/>
    </row>
    <row r="30" spans="1:4">
      <c r="A30" s="595">
        <v>16</v>
      </c>
      <c r="B30" s="238"/>
      <c r="C30" s="140"/>
      <c r="D30" s="588"/>
    </row>
    <row r="31" spans="1:4">
      <c r="A31" s="595">
        <v>17</v>
      </c>
      <c r="B31" s="238"/>
      <c r="C31" s="140"/>
      <c r="D31" s="588"/>
    </row>
    <row r="32" spans="1:4">
      <c r="A32" s="595">
        <v>18</v>
      </c>
      <c r="B32" s="238"/>
      <c r="C32" s="140"/>
      <c r="D32" s="588"/>
    </row>
    <row r="33" spans="1:4">
      <c r="A33" s="595">
        <v>19</v>
      </c>
      <c r="B33" s="238"/>
      <c r="C33" s="140"/>
      <c r="D33" s="588"/>
    </row>
    <row r="34" spans="1:4">
      <c r="A34" s="595">
        <v>20</v>
      </c>
      <c r="B34" s="238"/>
      <c r="C34" s="140"/>
      <c r="D34" s="588"/>
    </row>
    <row r="35" spans="1:4">
      <c r="A35" s="595">
        <v>21</v>
      </c>
      <c r="B35" s="1033" t="s">
        <v>430</v>
      </c>
      <c r="C35" s="802">
        <f>SUM(C16:C34)</f>
        <v>0</v>
      </c>
      <c r="D35" s="590">
        <f>SUM(D16:D34)</f>
        <v>0</v>
      </c>
    </row>
    <row r="36" spans="1:4">
      <c r="A36" s="595">
        <v>22</v>
      </c>
      <c r="B36" s="238" t="s">
        <v>431</v>
      </c>
      <c r="C36" s="808"/>
      <c r="D36" s="809"/>
    </row>
    <row r="37" spans="1:4">
      <c r="A37" s="595">
        <v>23</v>
      </c>
      <c r="B37" s="238"/>
      <c r="C37" s="136"/>
      <c r="D37" s="589"/>
    </row>
    <row r="38" spans="1:4">
      <c r="A38" s="595">
        <v>24</v>
      </c>
      <c r="B38" s="238" t="s">
        <v>2289</v>
      </c>
      <c r="C38" s="140"/>
      <c r="D38" s="588"/>
    </row>
    <row r="39" spans="1:4">
      <c r="A39" s="595">
        <v>25</v>
      </c>
      <c r="B39" s="238"/>
      <c r="C39" s="140"/>
      <c r="D39" s="588"/>
    </row>
    <row r="40" spans="1:4">
      <c r="A40" s="595">
        <v>26</v>
      </c>
      <c r="B40" s="238"/>
      <c r="C40" s="140"/>
      <c r="D40" s="588"/>
    </row>
    <row r="41" spans="1:4">
      <c r="A41" s="595">
        <v>27</v>
      </c>
      <c r="B41" s="238"/>
      <c r="C41" s="140"/>
      <c r="D41" s="588"/>
    </row>
    <row r="42" spans="1:4">
      <c r="A42" s="595">
        <v>28</v>
      </c>
      <c r="B42" s="238"/>
      <c r="C42" s="140"/>
      <c r="D42" s="588"/>
    </row>
    <row r="43" spans="1:4">
      <c r="A43" s="595">
        <v>29</v>
      </c>
      <c r="B43" s="238"/>
      <c r="C43" s="140"/>
      <c r="D43" s="588"/>
    </row>
    <row r="44" spans="1:4">
      <c r="A44" s="595">
        <v>30</v>
      </c>
      <c r="B44" s="238"/>
      <c r="C44" s="140"/>
      <c r="D44" s="588"/>
    </row>
    <row r="45" spans="1:4">
      <c r="A45" s="595">
        <v>31</v>
      </c>
      <c r="B45" s="238"/>
      <c r="C45" s="140"/>
      <c r="D45" s="588"/>
    </row>
    <row r="46" spans="1:4">
      <c r="A46" s="595">
        <v>32</v>
      </c>
      <c r="B46" s="238"/>
      <c r="C46" s="140"/>
      <c r="D46" s="588"/>
    </row>
    <row r="47" spans="1:4">
      <c r="A47" s="595">
        <v>33</v>
      </c>
      <c r="B47" s="238"/>
      <c r="C47" s="140"/>
      <c r="D47" s="588"/>
    </row>
    <row r="48" spans="1:4">
      <c r="A48" s="595">
        <v>34</v>
      </c>
      <c r="B48" s="238"/>
      <c r="C48" s="140"/>
      <c r="D48" s="588"/>
    </row>
    <row r="49" spans="1:4">
      <c r="A49" s="595">
        <v>35</v>
      </c>
      <c r="B49" s="238"/>
      <c r="C49" s="140"/>
      <c r="D49" s="588"/>
    </row>
    <row r="50" spans="1:4">
      <c r="A50" s="595">
        <v>36</v>
      </c>
      <c r="B50" s="238"/>
      <c r="C50" s="140"/>
      <c r="D50" s="588"/>
    </row>
    <row r="51" spans="1:4">
      <c r="A51" s="595">
        <v>37</v>
      </c>
      <c r="B51" s="238"/>
      <c r="C51" s="140"/>
      <c r="D51" s="588"/>
    </row>
    <row r="52" spans="1:4">
      <c r="A52" s="595">
        <v>38</v>
      </c>
      <c r="B52" s="238"/>
      <c r="C52" s="140"/>
      <c r="D52" s="588"/>
    </row>
    <row r="53" spans="1:4">
      <c r="A53" s="595">
        <v>40</v>
      </c>
      <c r="B53" s="238"/>
      <c r="C53" s="140"/>
      <c r="D53" s="588"/>
    </row>
    <row r="54" spans="1:4">
      <c r="A54" s="595">
        <v>41</v>
      </c>
      <c r="B54" s="238"/>
      <c r="C54" s="140"/>
      <c r="D54" s="588"/>
    </row>
    <row r="55" spans="1:4">
      <c r="A55" s="595">
        <v>42</v>
      </c>
      <c r="B55" s="238"/>
      <c r="C55" s="140"/>
      <c r="D55" s="588"/>
    </row>
    <row r="56" spans="1:4">
      <c r="A56" s="595">
        <v>43</v>
      </c>
      <c r="B56" s="238"/>
      <c r="C56" s="140"/>
      <c r="D56" s="588"/>
    </row>
    <row r="57" spans="1:4">
      <c r="A57" s="595">
        <v>44</v>
      </c>
      <c r="B57" s="238"/>
      <c r="C57" s="140"/>
      <c r="D57" s="588"/>
    </row>
    <row r="58" spans="1:4">
      <c r="A58" s="595">
        <v>45</v>
      </c>
      <c r="B58" s="238"/>
      <c r="C58" s="140"/>
      <c r="D58" s="588"/>
    </row>
    <row r="59" spans="1:4">
      <c r="A59" s="595">
        <v>46</v>
      </c>
      <c r="B59" s="1033" t="s">
        <v>1262</v>
      </c>
      <c r="C59" s="802">
        <f>SUM(C37:C58)</f>
        <v>0</v>
      </c>
      <c r="D59" s="590">
        <f>SUM(D37:D58)</f>
        <v>0</v>
      </c>
    </row>
    <row r="60" spans="1:4" ht="15.75" thickBot="1">
      <c r="A60" s="603">
        <v>47</v>
      </c>
      <c r="B60" s="1034" t="s">
        <v>1263</v>
      </c>
      <c r="C60" s="592">
        <f>C35+C59</f>
        <v>0</v>
      </c>
      <c r="D60" s="585">
        <f>D35+D59</f>
        <v>0</v>
      </c>
    </row>
    <row r="61" spans="1:4">
      <c r="C61" s="140"/>
      <c r="D61" s="213" t="s">
        <v>2024</v>
      </c>
    </row>
    <row r="62" spans="1:4">
      <c r="A62" s="4" t="s">
        <v>1264</v>
      </c>
      <c r="B62" s="4"/>
      <c r="C62" s="4"/>
      <c r="D62" s="4"/>
    </row>
    <row r="69" spans="2:2">
      <c r="B69" s="108"/>
    </row>
    <row r="72" spans="2:2">
      <c r="B72" s="108"/>
    </row>
    <row r="73" spans="2:2">
      <c r="B73" s="108"/>
    </row>
    <row r="74" spans="2:2">
      <c r="B74" s="108"/>
    </row>
    <row r="75" spans="2:2">
      <c r="B75" s="108"/>
    </row>
    <row r="76" spans="2:2">
      <c r="B76" s="177"/>
    </row>
    <row r="77" spans="2:2">
      <c r="B77" s="108"/>
    </row>
  </sheetData>
  <phoneticPr fontId="0" type="noConversion"/>
  <pageMargins left="0.4" right="0.4" top="0.3" bottom="0.3" header="0.5" footer="0.5"/>
  <pageSetup scale="81"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ransitionEvaluation="1" codeName="Sheet68"/>
  <dimension ref="A1:Q99"/>
  <sheetViews>
    <sheetView defaultGridColor="0" colorId="22" zoomScaleNormal="100" workbookViewId="0">
      <pane xSplit="2" ySplit="16" topLeftCell="C17" activePane="bottomRight" state="frozen"/>
      <selection activeCell="R36" sqref="R36"/>
      <selection pane="topRight" activeCell="R36" sqref="R36"/>
      <selection pane="bottomLeft" activeCell="R36" sqref="R36"/>
      <selection pane="bottomRight" activeCell="O62" sqref="O62"/>
    </sheetView>
  </sheetViews>
  <sheetFormatPr defaultColWidth="9.77734375" defaultRowHeight="15"/>
  <cols>
    <col min="1" max="1" width="4.77734375" customWidth="1"/>
    <col min="2" max="2" width="47.5546875" customWidth="1"/>
    <col min="3" max="6" width="12.77734375" customWidth="1"/>
    <col min="7" max="7" width="15.77734375" customWidth="1"/>
    <col min="8" max="8" width="8.77734375" customWidth="1"/>
    <col min="9" max="10" width="15.77734375" customWidth="1"/>
    <col min="11" max="11" width="8.77734375" customWidth="1"/>
    <col min="12" max="13" width="15.77734375" customWidth="1"/>
    <col min="14" max="14" width="4.77734375" customWidth="1"/>
    <col min="15" max="15" width="4.88671875" bestFit="1" customWidth="1"/>
    <col min="16" max="16" width="12.88671875" bestFit="1" customWidth="1"/>
    <col min="17" max="17" width="10.33203125" bestFit="1" customWidth="1"/>
  </cols>
  <sheetData>
    <row r="1" spans="1:15" ht="15.75" thickBot="1">
      <c r="A1" t="str">
        <f>'Data sheet'!A57</f>
        <v>Annual Report of Veolia Water New York, Inc.                                              Year Ended  December 31, 2023</v>
      </c>
      <c r="G1" t="str">
        <f>'Data sheet'!A57</f>
        <v>Annual Report of Veolia Water New York, Inc.                                              Year Ended  December 31, 2023</v>
      </c>
    </row>
    <row r="2" spans="1:15">
      <c r="A2" s="80"/>
      <c r="B2" s="81"/>
      <c r="C2" s="81"/>
      <c r="D2" s="81"/>
      <c r="E2" s="81"/>
      <c r="F2" s="82"/>
      <c r="G2" s="80"/>
      <c r="H2" s="81"/>
      <c r="I2" s="81"/>
      <c r="J2" s="81"/>
      <c r="K2" s="81"/>
      <c r="L2" s="81"/>
      <c r="M2" s="81"/>
      <c r="N2" s="82"/>
      <c r="O2" s="83"/>
    </row>
    <row r="3" spans="1:15" ht="15.75">
      <c r="A3" s="329" t="s">
        <v>1265</v>
      </c>
      <c r="B3" s="810"/>
      <c r="C3" s="121"/>
      <c r="D3" s="121"/>
      <c r="E3" s="121"/>
      <c r="F3" s="811"/>
      <c r="G3" s="329" t="s">
        <v>1266</v>
      </c>
      <c r="H3" s="810"/>
      <c r="I3" s="810"/>
      <c r="J3" s="121"/>
      <c r="K3" s="121"/>
      <c r="L3" s="121"/>
      <c r="M3" s="121"/>
      <c r="N3" s="225"/>
      <c r="O3" s="83"/>
    </row>
    <row r="4" spans="1:15" ht="15.75">
      <c r="A4" s="328"/>
      <c r="B4" s="3"/>
      <c r="C4" s="4"/>
      <c r="D4" s="4"/>
      <c r="E4" s="4"/>
      <c r="F4" s="680"/>
      <c r="G4" s="328"/>
      <c r="H4" s="3"/>
      <c r="I4" s="3"/>
      <c r="J4" s="4"/>
      <c r="K4" s="4"/>
      <c r="L4" s="4"/>
      <c r="M4" s="4"/>
      <c r="N4" s="214"/>
    </row>
    <row r="5" spans="1:15">
      <c r="A5" s="351" t="s">
        <v>668</v>
      </c>
      <c r="C5" t="s">
        <v>669</v>
      </c>
      <c r="F5" s="681"/>
      <c r="G5" s="351" t="s">
        <v>1440</v>
      </c>
      <c r="K5" t="s">
        <v>1441</v>
      </c>
      <c r="N5" s="214"/>
    </row>
    <row r="6" spans="1:15">
      <c r="A6" s="351" t="s">
        <v>1442</v>
      </c>
      <c r="C6" t="s">
        <v>1443</v>
      </c>
      <c r="F6" s="681"/>
      <c r="G6" s="351" t="s">
        <v>1444</v>
      </c>
      <c r="K6" t="s">
        <v>1445</v>
      </c>
      <c r="N6" s="214"/>
    </row>
    <row r="7" spans="1:15">
      <c r="A7" s="351" t="s">
        <v>7</v>
      </c>
      <c r="C7" t="s">
        <v>3744</v>
      </c>
      <c r="F7" s="681"/>
      <c r="G7" s="351" t="s">
        <v>3745</v>
      </c>
      <c r="K7" t="s">
        <v>3746</v>
      </c>
      <c r="N7" s="214"/>
    </row>
    <row r="8" spans="1:15">
      <c r="A8" s="351" t="s">
        <v>3875</v>
      </c>
      <c r="F8" s="681"/>
      <c r="G8" s="351"/>
      <c r="K8" t="s">
        <v>3876</v>
      </c>
      <c r="N8" s="214"/>
    </row>
    <row r="9" spans="1:15">
      <c r="A9" s="351" t="s">
        <v>218</v>
      </c>
      <c r="F9" s="681"/>
      <c r="G9" s="351"/>
      <c r="N9" s="214"/>
    </row>
    <row r="10" spans="1:15">
      <c r="A10" s="351"/>
      <c r="F10" s="681"/>
      <c r="G10" s="351"/>
      <c r="N10" s="214"/>
    </row>
    <row r="11" spans="1:15">
      <c r="A11" s="812"/>
      <c r="B11" s="712" t="s">
        <v>1121</v>
      </c>
      <c r="C11" s="712"/>
      <c r="D11" s="712"/>
      <c r="E11" s="712"/>
      <c r="F11" s="813"/>
      <c r="G11" s="451" t="s">
        <v>3877</v>
      </c>
      <c r="H11" s="453"/>
      <c r="I11" s="453"/>
      <c r="J11" s="814"/>
      <c r="K11" s="815" t="s">
        <v>3878</v>
      </c>
      <c r="L11" s="453"/>
      <c r="M11" s="814"/>
      <c r="N11" s="816"/>
    </row>
    <row r="12" spans="1:15">
      <c r="A12" s="817"/>
      <c r="B12" s="109" t="s">
        <v>3879</v>
      </c>
      <c r="C12" s="714" t="s">
        <v>3880</v>
      </c>
      <c r="D12" s="714" t="s">
        <v>3881</v>
      </c>
      <c r="E12" s="714" t="s">
        <v>1738</v>
      </c>
      <c r="F12" s="818" t="s">
        <v>3882</v>
      </c>
      <c r="G12" s="451" t="s">
        <v>3883</v>
      </c>
      <c r="H12" s="121"/>
      <c r="I12" s="819"/>
      <c r="J12" s="714"/>
      <c r="K12" s="714"/>
      <c r="L12" s="714"/>
      <c r="M12" s="820"/>
      <c r="N12" s="727"/>
    </row>
    <row r="13" spans="1:15">
      <c r="A13" s="817" t="s">
        <v>1727</v>
      </c>
      <c r="B13" s="109" t="s">
        <v>2652</v>
      </c>
      <c r="C13" s="714" t="s">
        <v>2653</v>
      </c>
      <c r="D13" s="714" t="s">
        <v>2086</v>
      </c>
      <c r="E13" s="714" t="s">
        <v>2654</v>
      </c>
      <c r="F13" s="818" t="s">
        <v>2655</v>
      </c>
      <c r="G13" s="817"/>
      <c r="H13" s="714"/>
      <c r="I13" s="821"/>
      <c r="J13" s="714" t="s">
        <v>2656</v>
      </c>
      <c r="K13" s="714" t="s">
        <v>1288</v>
      </c>
      <c r="L13" s="714" t="s">
        <v>1291</v>
      </c>
      <c r="M13" s="822" t="s">
        <v>3882</v>
      </c>
      <c r="N13" s="727"/>
    </row>
    <row r="14" spans="1:15">
      <c r="A14" s="817" t="s">
        <v>1739</v>
      </c>
      <c r="B14" s="109" t="s">
        <v>2657</v>
      </c>
      <c r="C14" s="714" t="s">
        <v>2658</v>
      </c>
      <c r="D14" s="714" t="s">
        <v>4084</v>
      </c>
      <c r="E14" s="714" t="s">
        <v>4317</v>
      </c>
      <c r="F14" s="818" t="s">
        <v>3962</v>
      </c>
      <c r="G14" s="817" t="s">
        <v>2659</v>
      </c>
      <c r="H14" s="714" t="s">
        <v>4315</v>
      </c>
      <c r="I14" s="714" t="s">
        <v>1291</v>
      </c>
      <c r="J14" s="822" t="s">
        <v>2655</v>
      </c>
      <c r="K14" s="714" t="s">
        <v>4315</v>
      </c>
      <c r="L14" s="714"/>
      <c r="M14" s="822" t="s">
        <v>2655</v>
      </c>
      <c r="N14" s="727" t="s">
        <v>1727</v>
      </c>
    </row>
    <row r="15" spans="1:15">
      <c r="A15" s="817"/>
      <c r="B15" s="238"/>
      <c r="C15" s="238"/>
      <c r="D15" s="238"/>
      <c r="E15" s="714" t="s">
        <v>2660</v>
      </c>
      <c r="F15" s="818" t="s">
        <v>1689</v>
      </c>
      <c r="G15" s="817"/>
      <c r="H15" s="714" t="s">
        <v>1739</v>
      </c>
      <c r="I15" s="714"/>
      <c r="J15" s="714"/>
      <c r="K15" s="714"/>
      <c r="L15" s="714"/>
      <c r="M15" s="714" t="s">
        <v>1627</v>
      </c>
      <c r="N15" s="727" t="s">
        <v>1739</v>
      </c>
    </row>
    <row r="16" spans="1:15">
      <c r="A16" s="817"/>
      <c r="B16" s="715" t="s">
        <v>3279</v>
      </c>
      <c r="C16" s="715" t="s">
        <v>3280</v>
      </c>
      <c r="D16" s="715" t="s">
        <v>3281</v>
      </c>
      <c r="E16" s="715" t="s">
        <v>3282</v>
      </c>
      <c r="F16" s="818" t="s">
        <v>721</v>
      </c>
      <c r="G16" s="817" t="s">
        <v>722</v>
      </c>
      <c r="H16" s="715" t="s">
        <v>723</v>
      </c>
      <c r="I16" s="715" t="s">
        <v>335</v>
      </c>
      <c r="J16" s="715" t="s">
        <v>336</v>
      </c>
      <c r="K16" s="715" t="s">
        <v>337</v>
      </c>
      <c r="L16" s="715" t="s">
        <v>338</v>
      </c>
      <c r="M16" s="715" t="s">
        <v>339</v>
      </c>
      <c r="N16" s="823"/>
    </row>
    <row r="17" spans="1:17">
      <c r="A17" s="824">
        <v>1</v>
      </c>
      <c r="B17" s="581"/>
      <c r="C17" s="1275"/>
      <c r="D17" s="622"/>
      <c r="E17" s="622"/>
      <c r="F17" s="825"/>
      <c r="G17" s="826"/>
      <c r="H17" s="827"/>
      <c r="I17" s="622"/>
      <c r="J17" s="622"/>
      <c r="K17" s="522"/>
      <c r="L17" s="622"/>
      <c r="M17" s="622"/>
      <c r="N17" s="796">
        <v>1</v>
      </c>
    </row>
    <row r="18" spans="1:17">
      <c r="A18" s="828">
        <v>2</v>
      </c>
      <c r="B18" s="1539" t="s">
        <v>4807</v>
      </c>
      <c r="C18" s="688">
        <v>401085</v>
      </c>
      <c r="D18" s="622"/>
      <c r="E18" s="688">
        <f>+C18+D18</f>
        <v>401085</v>
      </c>
      <c r="F18" s="640"/>
      <c r="G18" s="829"/>
      <c r="H18" s="713">
        <v>186</v>
      </c>
      <c r="I18" s="484"/>
      <c r="J18" s="2389"/>
      <c r="K18" s="522"/>
      <c r="L18" s="622"/>
      <c r="M18" s="688">
        <f>+F18+J18-L18</f>
        <v>0</v>
      </c>
      <c r="N18" s="796">
        <v>2</v>
      </c>
    </row>
    <row r="19" spans="1:17">
      <c r="A19" s="828">
        <v>3</v>
      </c>
      <c r="B19" s="1539"/>
      <c r="C19" s="622"/>
      <c r="D19" s="622"/>
      <c r="E19" s="622"/>
      <c r="F19" s="640"/>
      <c r="G19" s="829"/>
      <c r="H19" s="713"/>
      <c r="I19" s="622"/>
      <c r="J19" s="2389"/>
      <c r="K19" s="522"/>
      <c r="L19" s="622"/>
      <c r="M19" s="622"/>
      <c r="N19" s="796">
        <v>3</v>
      </c>
    </row>
    <row r="20" spans="1:17">
      <c r="A20" s="828">
        <v>4</v>
      </c>
      <c r="B20" s="86" t="s">
        <v>4808</v>
      </c>
      <c r="C20" s="1275"/>
      <c r="D20" s="622"/>
      <c r="E20" s="688"/>
      <c r="F20" s="640">
        <v>-1107.0400000000002</v>
      </c>
      <c r="G20" s="829"/>
      <c r="H20" s="713">
        <v>186</v>
      </c>
      <c r="I20" s="484">
        <v>15.199999999999996</v>
      </c>
      <c r="J20" s="2389">
        <f>+I20</f>
        <v>15.199999999999996</v>
      </c>
      <c r="K20" s="522"/>
      <c r="L20" s="622"/>
      <c r="M20" s="622">
        <f>+F20+I20-L20</f>
        <v>-1091.8400000000001</v>
      </c>
      <c r="N20" s="796">
        <v>4</v>
      </c>
      <c r="O20" t="str">
        <f>IF(ROUND(M20+M18,0)=ROUND(+'216'!G44,0),"ok","error")</f>
        <v>ok</v>
      </c>
      <c r="Q20" s="140"/>
    </row>
    <row r="21" spans="1:17">
      <c r="A21" s="828">
        <v>5</v>
      </c>
      <c r="C21" s="1275"/>
      <c r="D21" s="622"/>
      <c r="E21" s="688"/>
      <c r="F21" s="640"/>
      <c r="G21" s="829"/>
      <c r="H21" s="713"/>
      <c r="I21" s="688"/>
      <c r="J21" s="2389"/>
      <c r="K21" s="522"/>
      <c r="L21" s="622"/>
      <c r="M21" s="622"/>
      <c r="N21" s="796">
        <v>5</v>
      </c>
    </row>
    <row r="22" spans="1:17">
      <c r="A22" s="828">
        <v>6</v>
      </c>
      <c r="C22" s="1275"/>
      <c r="D22" s="622"/>
      <c r="E22" s="622"/>
      <c r="F22" s="640"/>
      <c r="G22" s="829"/>
      <c r="H22" s="713"/>
      <c r="I22" s="622"/>
      <c r="J22" s="2389"/>
      <c r="K22" s="522"/>
      <c r="L22" s="622"/>
      <c r="M22" s="622"/>
      <c r="N22" s="796">
        <v>6</v>
      </c>
    </row>
    <row r="23" spans="1:17">
      <c r="A23" s="828">
        <v>7</v>
      </c>
      <c r="C23" s="1275"/>
      <c r="D23" s="622"/>
      <c r="E23" s="622"/>
      <c r="F23" s="640"/>
      <c r="G23" s="829"/>
      <c r="H23" s="713"/>
      <c r="I23" s="622"/>
      <c r="J23" s="2389"/>
      <c r="K23" s="522"/>
      <c r="L23" s="622"/>
      <c r="M23" s="622"/>
      <c r="N23" s="796">
        <v>7</v>
      </c>
    </row>
    <row r="24" spans="1:17">
      <c r="A24" s="828">
        <v>8</v>
      </c>
      <c r="B24" t="s">
        <v>4438</v>
      </c>
      <c r="C24" s="1275"/>
      <c r="D24" s="622">
        <v>43750</v>
      </c>
      <c r="E24" s="622">
        <f>+C24+D24</f>
        <v>43750</v>
      </c>
      <c r="F24" s="640">
        <v>52119.920000000006</v>
      </c>
      <c r="G24" s="829"/>
      <c r="H24" s="713">
        <v>186</v>
      </c>
      <c r="I24" s="484">
        <v>519072</v>
      </c>
      <c r="J24" s="2389">
        <f>+I24</f>
        <v>519072</v>
      </c>
      <c r="K24" s="522"/>
      <c r="L24" s="622">
        <f>+D24</f>
        <v>43750</v>
      </c>
      <c r="M24" s="622">
        <f>F24+J24-L24</f>
        <v>527441.92000000004</v>
      </c>
      <c r="N24" s="796">
        <v>8</v>
      </c>
      <c r="O24" t="str">
        <f>IF(ROUND(M24,0)=ROUND(+'216'!G52,0),"ok","error")</f>
        <v>ok</v>
      </c>
    </row>
    <row r="25" spans="1:17">
      <c r="A25" s="828">
        <v>9</v>
      </c>
      <c r="C25" s="1275"/>
      <c r="D25" s="622"/>
      <c r="E25" s="622"/>
      <c r="F25" s="640"/>
      <c r="G25" s="829"/>
      <c r="H25" s="827"/>
      <c r="I25" s="622"/>
      <c r="J25" s="622"/>
      <c r="K25" s="522"/>
      <c r="L25" s="622"/>
      <c r="M25" s="622"/>
      <c r="N25" s="796">
        <v>9</v>
      </c>
    </row>
    <row r="26" spans="1:17">
      <c r="A26" s="828">
        <v>10</v>
      </c>
      <c r="C26" s="1275"/>
      <c r="D26" s="622"/>
      <c r="E26" s="622"/>
      <c r="F26" s="640"/>
      <c r="G26" s="829"/>
      <c r="H26" s="827"/>
      <c r="I26" s="622"/>
      <c r="J26" s="622"/>
      <c r="K26" s="522"/>
      <c r="L26" s="622"/>
      <c r="M26" s="622"/>
      <c r="N26" s="796">
        <v>10</v>
      </c>
    </row>
    <row r="27" spans="1:17">
      <c r="A27" s="828">
        <v>11</v>
      </c>
      <c r="C27" s="1275"/>
      <c r="D27" s="622"/>
      <c r="E27" s="622"/>
      <c r="F27" s="640"/>
      <c r="G27" s="829"/>
      <c r="H27" s="827"/>
      <c r="I27" s="622"/>
      <c r="J27" s="622"/>
      <c r="K27" s="522"/>
      <c r="L27" s="622"/>
      <c r="M27" s="622"/>
      <c r="N27" s="796">
        <v>11</v>
      </c>
    </row>
    <row r="28" spans="1:17">
      <c r="A28" s="828">
        <v>12</v>
      </c>
      <c r="B28" t="s">
        <v>5366</v>
      </c>
      <c r="C28" s="1275"/>
      <c r="D28" s="622"/>
      <c r="E28" s="622"/>
      <c r="F28" s="640"/>
      <c r="G28" s="351"/>
      <c r="H28" s="522"/>
      <c r="I28" s="622"/>
      <c r="J28" s="622"/>
      <c r="K28" s="522"/>
      <c r="L28" s="622"/>
      <c r="M28" s="622"/>
      <c r="N28" s="796">
        <v>12</v>
      </c>
    </row>
    <row r="29" spans="1:17">
      <c r="A29" s="828">
        <v>13</v>
      </c>
      <c r="B29" t="s">
        <v>5367</v>
      </c>
      <c r="C29" s="1275"/>
      <c r="D29" s="622"/>
      <c r="E29" s="622"/>
      <c r="F29" s="640"/>
      <c r="G29" s="351"/>
      <c r="H29" s="522"/>
      <c r="I29" s="622"/>
      <c r="J29" s="622"/>
      <c r="K29" s="522"/>
      <c r="L29" s="622"/>
      <c r="M29" s="622"/>
      <c r="N29" s="796">
        <v>13</v>
      </c>
    </row>
    <row r="30" spans="1:17">
      <c r="A30" s="828">
        <v>14</v>
      </c>
      <c r="B30" s="2193"/>
      <c r="C30" s="1275"/>
      <c r="D30" s="622"/>
      <c r="E30" s="622"/>
      <c r="F30" s="640"/>
      <c r="G30" s="351"/>
      <c r="H30" s="522"/>
      <c r="I30" s="622"/>
      <c r="J30" s="622"/>
      <c r="K30" s="522"/>
      <c r="L30" s="622"/>
      <c r="M30" s="622"/>
      <c r="N30" s="796">
        <v>14</v>
      </c>
    </row>
    <row r="31" spans="1:17">
      <c r="A31" s="828">
        <v>15</v>
      </c>
      <c r="B31" s="2193"/>
      <c r="C31" s="1275"/>
      <c r="D31" s="622"/>
      <c r="E31" s="622"/>
      <c r="F31" s="640"/>
      <c r="G31" s="351"/>
      <c r="H31" s="522"/>
      <c r="I31" s="622"/>
      <c r="J31" s="622"/>
      <c r="K31" s="522"/>
      <c r="L31" s="622"/>
      <c r="M31" s="622"/>
      <c r="N31" s="796">
        <v>15</v>
      </c>
    </row>
    <row r="32" spans="1:17">
      <c r="A32" s="828">
        <v>16</v>
      </c>
      <c r="B32" s="2193"/>
      <c r="C32" s="1275"/>
      <c r="D32" s="622"/>
      <c r="E32" s="622"/>
      <c r="F32" s="640"/>
      <c r="G32" s="351"/>
      <c r="H32" s="522"/>
      <c r="I32" s="622"/>
      <c r="J32" s="622"/>
      <c r="K32" s="522"/>
      <c r="L32" s="622"/>
      <c r="M32" s="622"/>
      <c r="N32" s="796">
        <v>16</v>
      </c>
    </row>
    <row r="33" spans="1:14">
      <c r="A33" s="828">
        <v>17</v>
      </c>
      <c r="B33" s="2193"/>
      <c r="C33" s="1275"/>
      <c r="D33" s="622"/>
      <c r="E33" s="622"/>
      <c r="F33" s="640"/>
      <c r="G33" s="351"/>
      <c r="H33" s="522"/>
      <c r="I33" s="622"/>
      <c r="J33" s="622"/>
      <c r="K33" s="522"/>
      <c r="L33" s="622"/>
      <c r="M33" s="622"/>
      <c r="N33" s="796">
        <v>17</v>
      </c>
    </row>
    <row r="34" spans="1:14">
      <c r="A34" s="828">
        <v>18</v>
      </c>
      <c r="B34" s="2193"/>
      <c r="C34" s="1275"/>
      <c r="D34" s="622"/>
      <c r="E34" s="622"/>
      <c r="F34" s="640"/>
      <c r="G34" s="351"/>
      <c r="H34" s="522"/>
      <c r="I34" s="622"/>
      <c r="J34" s="622"/>
      <c r="K34" s="522"/>
      <c r="L34" s="622"/>
      <c r="M34" s="622"/>
      <c r="N34" s="796">
        <v>18</v>
      </c>
    </row>
    <row r="35" spans="1:14">
      <c r="A35" s="828">
        <v>19</v>
      </c>
      <c r="B35" s="2193"/>
      <c r="C35" s="1276"/>
      <c r="D35" s="830"/>
      <c r="E35" s="830"/>
      <c r="F35" s="640"/>
      <c r="G35" s="351"/>
      <c r="H35" s="522"/>
      <c r="I35" s="830"/>
      <c r="J35" s="830"/>
      <c r="K35" s="522"/>
      <c r="L35" s="830"/>
      <c r="M35" s="830"/>
      <c r="N35" s="796">
        <v>19</v>
      </c>
    </row>
    <row r="36" spans="1:14">
      <c r="A36" s="828">
        <v>20</v>
      </c>
      <c r="B36" s="2193"/>
      <c r="C36" s="1275"/>
      <c r="D36" s="622"/>
      <c r="E36" s="622"/>
      <c r="F36" s="640"/>
      <c r="G36" s="351"/>
      <c r="H36" s="522"/>
      <c r="I36" s="622"/>
      <c r="J36" s="622"/>
      <c r="K36" s="522"/>
      <c r="L36" s="622"/>
      <c r="M36" s="622"/>
      <c r="N36" s="796">
        <v>20</v>
      </c>
    </row>
    <row r="37" spans="1:14">
      <c r="A37" s="828">
        <v>21</v>
      </c>
      <c r="C37" s="1275"/>
      <c r="D37" s="622"/>
      <c r="E37" s="622"/>
      <c r="F37" s="640"/>
      <c r="G37" s="351"/>
      <c r="H37" s="522"/>
      <c r="I37" s="622"/>
      <c r="J37" s="622"/>
      <c r="K37" s="522"/>
      <c r="L37" s="622"/>
      <c r="M37" s="622"/>
      <c r="N37" s="796">
        <v>21</v>
      </c>
    </row>
    <row r="38" spans="1:14">
      <c r="A38" s="828">
        <v>22</v>
      </c>
      <c r="C38" s="1275"/>
      <c r="D38" s="622"/>
      <c r="E38" s="622"/>
      <c r="F38" s="640"/>
      <c r="G38" s="351"/>
      <c r="H38" s="522"/>
      <c r="I38" s="622"/>
      <c r="J38" s="622"/>
      <c r="K38" s="522"/>
      <c r="L38" s="622"/>
      <c r="M38" s="622"/>
      <c r="N38" s="796">
        <v>22</v>
      </c>
    </row>
    <row r="39" spans="1:14">
      <c r="A39" s="828">
        <v>23</v>
      </c>
      <c r="C39" s="1275"/>
      <c r="D39" s="622"/>
      <c r="E39" s="622"/>
      <c r="F39" s="640"/>
      <c r="G39" s="351"/>
      <c r="H39" s="522"/>
      <c r="I39" s="622"/>
      <c r="J39" s="622"/>
      <c r="K39" s="522"/>
      <c r="L39" s="622"/>
      <c r="M39" s="622"/>
      <c r="N39" s="796">
        <v>23</v>
      </c>
    </row>
    <row r="40" spans="1:14">
      <c r="A40" s="828">
        <v>24</v>
      </c>
      <c r="C40" s="1275"/>
      <c r="D40" s="622"/>
      <c r="E40" s="622"/>
      <c r="F40" s="640"/>
      <c r="G40" s="351"/>
      <c r="H40" s="522"/>
      <c r="I40" s="622"/>
      <c r="J40" s="622"/>
      <c r="K40" s="522"/>
      <c r="L40" s="622"/>
      <c r="M40" s="622"/>
      <c r="N40" s="796">
        <v>24</v>
      </c>
    </row>
    <row r="41" spans="1:14">
      <c r="A41" s="828">
        <v>25</v>
      </c>
      <c r="C41" s="1275"/>
      <c r="D41" s="622"/>
      <c r="E41" s="622"/>
      <c r="F41" s="640"/>
      <c r="G41" s="351"/>
      <c r="H41" s="522"/>
      <c r="I41" s="622"/>
      <c r="J41" s="622"/>
      <c r="K41" s="522"/>
      <c r="L41" s="622"/>
      <c r="M41" s="622"/>
      <c r="N41" s="796">
        <v>25</v>
      </c>
    </row>
    <row r="42" spans="1:14">
      <c r="A42" s="828">
        <v>26</v>
      </c>
      <c r="C42" s="1275"/>
      <c r="D42" s="622"/>
      <c r="E42" s="622"/>
      <c r="F42" s="640"/>
      <c r="G42" s="351"/>
      <c r="H42" s="522"/>
      <c r="I42" s="622"/>
      <c r="J42" s="622"/>
      <c r="K42" s="522"/>
      <c r="L42" s="622"/>
      <c r="M42" s="622"/>
      <c r="N42" s="796">
        <v>26</v>
      </c>
    </row>
    <row r="43" spans="1:14">
      <c r="A43" s="828">
        <v>27</v>
      </c>
      <c r="C43" s="1275"/>
      <c r="D43" s="622"/>
      <c r="E43" s="622"/>
      <c r="F43" s="640"/>
      <c r="G43" s="351"/>
      <c r="H43" s="522"/>
      <c r="I43" s="622"/>
      <c r="J43" s="622"/>
      <c r="K43" s="522"/>
      <c r="L43" s="622"/>
      <c r="M43" s="622"/>
      <c r="N43" s="796">
        <v>27</v>
      </c>
    </row>
    <row r="44" spans="1:14">
      <c r="A44" s="828">
        <v>28</v>
      </c>
      <c r="C44" s="1275"/>
      <c r="D44" s="622"/>
      <c r="E44" s="622"/>
      <c r="F44" s="640"/>
      <c r="G44" s="351"/>
      <c r="H44" s="522"/>
      <c r="I44" s="622"/>
      <c r="J44" s="622"/>
      <c r="K44" s="522"/>
      <c r="L44" s="622"/>
      <c r="M44" s="622"/>
      <c r="N44" s="796">
        <v>28</v>
      </c>
    </row>
    <row r="45" spans="1:14">
      <c r="A45" s="828">
        <v>29</v>
      </c>
      <c r="C45" s="1275"/>
      <c r="D45" s="622"/>
      <c r="E45" s="622"/>
      <c r="F45" s="640"/>
      <c r="G45" s="351"/>
      <c r="H45" s="522"/>
      <c r="I45" s="622"/>
      <c r="J45" s="622"/>
      <c r="K45" s="522"/>
      <c r="L45" s="622"/>
      <c r="M45" s="622"/>
      <c r="N45" s="796">
        <v>29</v>
      </c>
    </row>
    <row r="46" spans="1:14">
      <c r="A46" s="828">
        <v>30</v>
      </c>
      <c r="C46" s="1275"/>
      <c r="D46" s="622"/>
      <c r="E46" s="622"/>
      <c r="F46" s="640"/>
      <c r="G46" s="351"/>
      <c r="H46" s="522"/>
      <c r="I46" s="622"/>
      <c r="J46" s="622"/>
      <c r="K46" s="522"/>
      <c r="L46" s="622"/>
      <c r="M46" s="622"/>
      <c r="N46" s="796">
        <v>30</v>
      </c>
    </row>
    <row r="47" spans="1:14">
      <c r="A47" s="828">
        <v>31</v>
      </c>
      <c r="C47" s="1276"/>
      <c r="D47" s="830"/>
      <c r="E47" s="830"/>
      <c r="F47" s="640"/>
      <c r="G47" s="351"/>
      <c r="H47" s="522"/>
      <c r="I47" s="830"/>
      <c r="J47" s="830"/>
      <c r="K47" s="522"/>
      <c r="L47" s="830"/>
      <c r="M47" s="830"/>
      <c r="N47" s="796">
        <v>31</v>
      </c>
    </row>
    <row r="48" spans="1:14">
      <c r="A48" s="828">
        <v>32</v>
      </c>
      <c r="B48" s="581"/>
      <c r="C48" s="1275"/>
      <c r="D48" s="622"/>
      <c r="E48" s="622"/>
      <c r="F48" s="640"/>
      <c r="G48" s="351"/>
      <c r="H48" s="522"/>
      <c r="I48" s="622"/>
      <c r="J48" s="622"/>
      <c r="K48" s="522"/>
      <c r="L48" s="622"/>
      <c r="M48" s="622"/>
      <c r="N48" s="796">
        <v>32</v>
      </c>
    </row>
    <row r="49" spans="1:17">
      <c r="A49" s="828">
        <v>33</v>
      </c>
      <c r="C49" s="1275"/>
      <c r="D49" s="622"/>
      <c r="E49" s="622"/>
      <c r="F49" s="640"/>
      <c r="G49" s="351"/>
      <c r="H49" s="522"/>
      <c r="I49" s="622"/>
      <c r="J49" s="622"/>
      <c r="K49" s="522"/>
      <c r="L49" s="622"/>
      <c r="M49" s="622"/>
      <c r="N49" s="796">
        <v>33</v>
      </c>
    </row>
    <row r="50" spans="1:17">
      <c r="A50" s="828">
        <v>34</v>
      </c>
      <c r="C50" s="1275"/>
      <c r="D50" s="622"/>
      <c r="E50" s="622"/>
      <c r="F50" s="640"/>
      <c r="G50" s="351"/>
      <c r="H50" s="522"/>
      <c r="I50" s="622"/>
      <c r="J50" s="622"/>
      <c r="K50" s="522"/>
      <c r="L50" s="622"/>
      <c r="M50" s="622"/>
      <c r="N50" s="796">
        <v>34</v>
      </c>
    </row>
    <row r="51" spans="1:17">
      <c r="A51" s="828">
        <v>35</v>
      </c>
      <c r="C51" s="1275"/>
      <c r="D51" s="622"/>
      <c r="E51" s="622"/>
      <c r="F51" s="640"/>
      <c r="G51" s="351"/>
      <c r="H51" s="522"/>
      <c r="I51" s="622"/>
      <c r="J51" s="622"/>
      <c r="K51" s="522"/>
      <c r="L51" s="622"/>
      <c r="M51" s="622"/>
      <c r="N51" s="796">
        <v>35</v>
      </c>
    </row>
    <row r="52" spans="1:17">
      <c r="A52" s="828">
        <v>36</v>
      </c>
      <c r="C52" s="1275"/>
      <c r="D52" s="622"/>
      <c r="E52" s="622"/>
      <c r="F52" s="640"/>
      <c r="G52" s="351"/>
      <c r="H52" s="522"/>
      <c r="I52" s="622"/>
      <c r="J52" s="622"/>
      <c r="K52" s="522"/>
      <c r="L52" s="622"/>
      <c r="M52" s="622"/>
      <c r="N52" s="796">
        <v>36</v>
      </c>
    </row>
    <row r="53" spans="1:17">
      <c r="A53" s="828">
        <v>37</v>
      </c>
      <c r="C53" s="1275"/>
      <c r="D53" s="622"/>
      <c r="E53" s="622"/>
      <c r="F53" s="640"/>
      <c r="G53" s="351"/>
      <c r="H53" s="522"/>
      <c r="I53" s="622"/>
      <c r="J53" s="622"/>
      <c r="K53" s="522"/>
      <c r="L53" s="622"/>
      <c r="M53" s="622"/>
      <c r="N53" s="796">
        <v>37</v>
      </c>
    </row>
    <row r="54" spans="1:17">
      <c r="A54" s="828">
        <v>38</v>
      </c>
      <c r="C54" s="1275"/>
      <c r="D54" s="622"/>
      <c r="E54" s="622"/>
      <c r="F54" s="640"/>
      <c r="G54" s="351"/>
      <c r="H54" s="522"/>
      <c r="I54" s="622"/>
      <c r="J54" s="622"/>
      <c r="K54" s="522"/>
      <c r="L54" s="622"/>
      <c r="M54" s="622"/>
      <c r="N54" s="796">
        <v>38</v>
      </c>
    </row>
    <row r="55" spans="1:17">
      <c r="A55" s="828">
        <v>39</v>
      </c>
      <c r="C55" s="1275"/>
      <c r="D55" s="622"/>
      <c r="E55" s="622"/>
      <c r="F55" s="640"/>
      <c r="G55" s="351"/>
      <c r="H55" s="522"/>
      <c r="I55" s="622"/>
      <c r="J55" s="622"/>
      <c r="K55" s="522"/>
      <c r="L55" s="622"/>
      <c r="M55" s="622"/>
      <c r="N55" s="796">
        <v>39</v>
      </c>
    </row>
    <row r="56" spans="1:17">
      <c r="A56" s="828">
        <v>40</v>
      </c>
      <c r="C56" s="1275"/>
      <c r="D56" s="622"/>
      <c r="E56" s="622"/>
      <c r="F56" s="640"/>
      <c r="G56" s="351"/>
      <c r="H56" s="522"/>
      <c r="I56" s="622"/>
      <c r="J56" s="622"/>
      <c r="K56" s="522"/>
      <c r="L56" s="622"/>
      <c r="M56" s="622"/>
      <c r="N56" s="796">
        <v>40</v>
      </c>
    </row>
    <row r="57" spans="1:17">
      <c r="A57" s="828">
        <v>41</v>
      </c>
      <c r="C57" s="1275"/>
      <c r="D57" s="622"/>
      <c r="E57" s="622"/>
      <c r="F57" s="640"/>
      <c r="G57" s="351"/>
      <c r="H57" s="522"/>
      <c r="I57" s="622"/>
      <c r="J57" s="622"/>
      <c r="K57" s="522"/>
      <c r="L57" s="622"/>
      <c r="M57" s="622"/>
      <c r="N57" s="796">
        <v>41</v>
      </c>
    </row>
    <row r="58" spans="1:17">
      <c r="A58" s="828">
        <v>42</v>
      </c>
      <c r="C58" s="1275"/>
      <c r="D58" s="622"/>
      <c r="E58" s="622"/>
      <c r="F58" s="640"/>
      <c r="G58" s="351"/>
      <c r="H58" s="522"/>
      <c r="I58" s="622"/>
      <c r="J58" s="622"/>
      <c r="K58" s="522"/>
      <c r="L58" s="622"/>
      <c r="M58" s="622"/>
      <c r="N58" s="796">
        <v>42</v>
      </c>
    </row>
    <row r="59" spans="1:17">
      <c r="A59" s="828">
        <v>43</v>
      </c>
      <c r="C59" s="1275"/>
      <c r="D59" s="622"/>
      <c r="E59" s="622"/>
      <c r="F59" s="640"/>
      <c r="G59" s="351"/>
      <c r="H59" s="522"/>
      <c r="I59" s="622"/>
      <c r="J59" s="622"/>
      <c r="K59" s="522"/>
      <c r="L59" s="622"/>
      <c r="M59" s="622"/>
      <c r="N59" s="796">
        <v>43</v>
      </c>
    </row>
    <row r="60" spans="1:17">
      <c r="A60" s="828">
        <v>44</v>
      </c>
      <c r="C60" s="1275"/>
      <c r="D60" s="622"/>
      <c r="E60" s="622"/>
      <c r="F60" s="640"/>
      <c r="G60" s="351"/>
      <c r="H60" s="522"/>
      <c r="I60" s="622"/>
      <c r="J60" s="622"/>
      <c r="K60" s="522"/>
      <c r="L60" s="622"/>
      <c r="M60" s="622"/>
      <c r="N60" s="796">
        <v>44</v>
      </c>
    </row>
    <row r="61" spans="1:17">
      <c r="A61" s="479">
        <v>45</v>
      </c>
      <c r="C61" s="1277"/>
      <c r="D61" s="831"/>
      <c r="E61" s="831"/>
      <c r="F61" s="550"/>
      <c r="G61" s="83"/>
      <c r="H61" s="522"/>
      <c r="I61" s="831"/>
      <c r="J61" s="831"/>
      <c r="K61" s="522"/>
      <c r="L61" s="831"/>
      <c r="M61" s="831"/>
      <c r="N61" s="796">
        <v>45</v>
      </c>
    </row>
    <row r="62" spans="1:17" ht="15.75" thickBot="1">
      <c r="A62" s="832">
        <v>46</v>
      </c>
      <c r="B62" s="833" t="s">
        <v>4311</v>
      </c>
      <c r="C62" s="834">
        <f>SUM(C17:C61)</f>
        <v>401085</v>
      </c>
      <c r="D62" s="834">
        <f>SUM(D17:D61)</f>
        <v>43750</v>
      </c>
      <c r="E62" s="834">
        <f>SUM(E17:E61)</f>
        <v>444835</v>
      </c>
      <c r="F62" s="553">
        <f>SUM(F17:F61)</f>
        <v>51012.880000000005</v>
      </c>
      <c r="G62" s="835"/>
      <c r="H62" s="836"/>
      <c r="I62" s="834">
        <f>SUM(I17:I61)</f>
        <v>519087.2</v>
      </c>
      <c r="J62" s="834">
        <f>SUM(J17:J61)</f>
        <v>519087.2</v>
      </c>
      <c r="K62" s="836"/>
      <c r="L62" s="834">
        <f>SUM(L17:L61)</f>
        <v>43750</v>
      </c>
      <c r="M62" s="834">
        <f>SUM(M17:M61)</f>
        <v>526350.08000000007</v>
      </c>
      <c r="N62" s="837">
        <v>46</v>
      </c>
      <c r="O62" t="str">
        <f>IF(E62='307309'!D148,"ok","error")</f>
        <v>ok</v>
      </c>
      <c r="P62" s="1574"/>
      <c r="Q62" s="1574"/>
    </row>
    <row r="63" spans="1:17" ht="15.75">
      <c r="A63" t="s">
        <v>2024</v>
      </c>
      <c r="C63" s="233" t="s">
        <v>218</v>
      </c>
      <c r="I63" s="233"/>
      <c r="J63" s="233" t="s">
        <v>218</v>
      </c>
      <c r="M63" t="s">
        <v>2024</v>
      </c>
    </row>
    <row r="64" spans="1:17">
      <c r="A64" s="4" t="s">
        <v>2661</v>
      </c>
      <c r="B64" s="4"/>
      <c r="C64" s="4"/>
      <c r="D64" s="4"/>
      <c r="E64" s="4"/>
      <c r="F64" s="4"/>
      <c r="G64" s="4" t="s">
        <v>2662</v>
      </c>
      <c r="H64" s="4"/>
      <c r="I64" s="4"/>
      <c r="J64" s="4"/>
      <c r="K64" s="4"/>
      <c r="L64" s="4"/>
      <c r="M64" s="4"/>
      <c r="N64" s="4"/>
    </row>
    <row r="72" spans="7:7">
      <c r="G72" s="600"/>
    </row>
    <row r="99" spans="1:1">
      <c r="A99" s="600"/>
    </row>
  </sheetData>
  <phoneticPr fontId="0" type="noConversion"/>
  <pageMargins left="0.4" right="0.4" top="0.3" bottom="0.3" header="0" footer="0"/>
  <pageSetup scale="78" fitToWidth="0" fitToHeight="0" orientation="portrait" r:id="rId1"/>
  <headerFooter alignWithMargins="0"/>
  <colBreaks count="1" manualBreakCount="1">
    <brk id="6"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ransitionEvaluation="1" codeName="Sheet69"/>
  <dimension ref="A1:M130"/>
  <sheetViews>
    <sheetView defaultGridColor="0" colorId="22" zoomScaleNormal="100" workbookViewId="0">
      <selection activeCell="G38" sqref="G38"/>
    </sheetView>
  </sheetViews>
  <sheetFormatPr defaultColWidth="9.77734375" defaultRowHeight="15"/>
  <cols>
    <col min="1" max="1" width="4.77734375" customWidth="1"/>
    <col min="2" max="2" width="25.77734375" customWidth="1"/>
    <col min="3" max="4" width="24.77734375" customWidth="1"/>
    <col min="5" max="5" width="23.77734375" customWidth="1"/>
    <col min="6" max="6" width="1.77734375" customWidth="1"/>
    <col min="7" max="7" width="21.77734375" customWidth="1"/>
    <col min="8" max="8" width="23.77734375" customWidth="1"/>
    <col min="10" max="10" width="25.77734375" customWidth="1"/>
    <col min="11" max="11" width="21.33203125" customWidth="1"/>
    <col min="12" max="12" width="4.77734375" customWidth="1"/>
  </cols>
  <sheetData>
    <row r="1" spans="1:13" ht="15.75" thickBot="1">
      <c r="A1" t="str">
        <f>'Data sheet'!A59</f>
        <v>Annual Report of Veolia Water New York, Inc.                                                             Year Ended  December 31, 2023</v>
      </c>
      <c r="G1" t="str">
        <f>'Data sheet'!A59</f>
        <v>Annual Report of Veolia Water New York, Inc.                                                             Year Ended  December 31, 2023</v>
      </c>
    </row>
    <row r="2" spans="1:13">
      <c r="A2" s="80"/>
      <c r="B2" s="81"/>
      <c r="C2" s="81"/>
      <c r="D2" s="81"/>
      <c r="E2" s="82"/>
      <c r="F2" s="80"/>
      <c r="G2" s="81"/>
      <c r="H2" s="81"/>
      <c r="I2" s="81"/>
      <c r="J2" s="81"/>
      <c r="K2" s="81"/>
      <c r="L2" s="82"/>
      <c r="M2" s="83"/>
    </row>
    <row r="3" spans="1:13" ht="16.5" thickBot="1">
      <c r="A3" s="838" t="s">
        <v>2663</v>
      </c>
      <c r="B3" s="839"/>
      <c r="C3" s="126"/>
      <c r="D3" s="126"/>
      <c r="E3" s="127"/>
      <c r="F3" s="838" t="s">
        <v>2664</v>
      </c>
      <c r="G3" s="839"/>
      <c r="H3" s="839"/>
      <c r="I3" s="126"/>
      <c r="J3" s="126"/>
      <c r="K3" s="126"/>
      <c r="L3" s="217"/>
      <c r="M3" s="83"/>
    </row>
    <row r="4" spans="1:13" ht="15.75">
      <c r="A4" s="118"/>
      <c r="B4" s="3"/>
      <c r="C4" s="4"/>
      <c r="D4" s="4"/>
      <c r="E4" s="119"/>
      <c r="F4" s="118"/>
      <c r="G4" s="3"/>
      <c r="H4" s="3"/>
      <c r="I4" s="4"/>
      <c r="J4" s="4"/>
      <c r="K4" s="4"/>
      <c r="L4" s="214"/>
    </row>
    <row r="5" spans="1:13">
      <c r="A5" s="83" t="s">
        <v>2757</v>
      </c>
      <c r="D5" t="s">
        <v>2758</v>
      </c>
      <c r="E5" s="214"/>
      <c r="F5" s="83"/>
      <c r="G5" t="s">
        <v>2759</v>
      </c>
      <c r="J5" t="s">
        <v>2760</v>
      </c>
      <c r="L5" s="214"/>
    </row>
    <row r="6" spans="1:13">
      <c r="A6" s="83" t="s">
        <v>2761</v>
      </c>
      <c r="D6" t="s">
        <v>4093</v>
      </c>
      <c r="E6" s="214"/>
      <c r="F6" s="83"/>
      <c r="G6" t="s">
        <v>2014</v>
      </c>
      <c r="J6" t="s">
        <v>2015</v>
      </c>
      <c r="L6" s="214"/>
    </row>
    <row r="7" spans="1:13">
      <c r="A7" s="83" t="s">
        <v>50</v>
      </c>
      <c r="D7" t="s">
        <v>51</v>
      </c>
      <c r="E7" s="214"/>
      <c r="F7" s="83"/>
      <c r="G7" t="s">
        <v>52</v>
      </c>
      <c r="J7" t="s">
        <v>53</v>
      </c>
      <c r="L7" s="214"/>
    </row>
    <row r="8" spans="1:13">
      <c r="A8" s="83" t="s">
        <v>3204</v>
      </c>
      <c r="D8" t="s">
        <v>3205</v>
      </c>
      <c r="E8" s="214"/>
      <c r="F8" s="83"/>
      <c r="G8" t="s">
        <v>3206</v>
      </c>
      <c r="J8" t="s">
        <v>3207</v>
      </c>
      <c r="L8" s="214"/>
    </row>
    <row r="9" spans="1:13">
      <c r="A9" s="83" t="s">
        <v>3208</v>
      </c>
      <c r="D9" t="s">
        <v>3209</v>
      </c>
      <c r="E9" s="214"/>
      <c r="F9" s="83"/>
      <c r="G9" t="s">
        <v>3210</v>
      </c>
      <c r="J9" t="s">
        <v>3211</v>
      </c>
      <c r="L9" s="214"/>
    </row>
    <row r="10" spans="1:13">
      <c r="A10" s="83" t="s">
        <v>3212</v>
      </c>
      <c r="D10" t="s">
        <v>3213</v>
      </c>
      <c r="E10" s="214"/>
      <c r="F10" s="83"/>
      <c r="L10" s="214"/>
    </row>
    <row r="11" spans="1:13">
      <c r="A11" s="83" t="s">
        <v>3214</v>
      </c>
      <c r="D11" t="s">
        <v>1448</v>
      </c>
      <c r="E11" s="214"/>
      <c r="F11" s="83"/>
      <c r="G11" t="s">
        <v>1449</v>
      </c>
      <c r="L11" s="214"/>
    </row>
    <row r="12" spans="1:13">
      <c r="A12" s="83" t="s">
        <v>1450</v>
      </c>
      <c r="D12" t="s">
        <v>1451</v>
      </c>
      <c r="E12" s="214"/>
      <c r="F12" s="83"/>
      <c r="G12" t="s">
        <v>4131</v>
      </c>
      <c r="L12" s="214"/>
    </row>
    <row r="13" spans="1:13">
      <c r="A13" s="83" t="s">
        <v>3688</v>
      </c>
      <c r="D13" t="s">
        <v>218</v>
      </c>
      <c r="E13" s="214"/>
      <c r="F13" s="83"/>
      <c r="G13" t="s">
        <v>1900</v>
      </c>
      <c r="L13" s="214"/>
    </row>
    <row r="14" spans="1:13">
      <c r="A14" s="83" t="s">
        <v>1901</v>
      </c>
      <c r="E14" s="214"/>
      <c r="F14" s="83"/>
      <c r="L14" s="214"/>
    </row>
    <row r="15" spans="1:13">
      <c r="A15" s="83" t="s">
        <v>3094</v>
      </c>
      <c r="E15" s="214"/>
      <c r="F15" s="83"/>
      <c r="L15" s="214"/>
    </row>
    <row r="16" spans="1:13">
      <c r="A16" s="83" t="s">
        <v>3095</v>
      </c>
      <c r="E16" s="214"/>
      <c r="F16" s="83"/>
      <c r="L16" s="214"/>
    </row>
    <row r="17" spans="1:12">
      <c r="A17" s="83" t="s">
        <v>2956</v>
      </c>
      <c r="E17" s="214"/>
      <c r="F17" s="83"/>
      <c r="L17" s="214"/>
    </row>
    <row r="18" spans="1:12">
      <c r="A18" s="83" t="s">
        <v>3926</v>
      </c>
      <c r="E18" s="214"/>
      <c r="F18" s="83"/>
      <c r="L18" s="214"/>
    </row>
    <row r="19" spans="1:12">
      <c r="A19" s="83" t="s">
        <v>3927</v>
      </c>
      <c r="E19" s="214"/>
      <c r="F19" s="83"/>
      <c r="L19" s="214"/>
    </row>
    <row r="20" spans="1:12">
      <c r="A20" s="83" t="s">
        <v>3928</v>
      </c>
      <c r="B20" t="s">
        <v>218</v>
      </c>
      <c r="E20" s="214"/>
      <c r="F20" s="83"/>
      <c r="L20" s="214"/>
    </row>
    <row r="21" spans="1:12">
      <c r="A21" s="83" t="s">
        <v>2992</v>
      </c>
      <c r="B21" t="s">
        <v>218</v>
      </c>
      <c r="E21" s="214"/>
      <c r="F21" s="83"/>
      <c r="L21" s="214"/>
    </row>
    <row r="22" spans="1:12" ht="15.75" thickBot="1">
      <c r="A22" s="83"/>
      <c r="E22" s="214"/>
      <c r="F22" s="83"/>
      <c r="L22" s="214"/>
    </row>
    <row r="23" spans="1:12" ht="15.75" thickBot="1">
      <c r="A23" s="840"/>
      <c r="B23" s="447" t="s">
        <v>2993</v>
      </c>
      <c r="C23" s="708" t="s">
        <v>1121</v>
      </c>
      <c r="D23" s="708"/>
      <c r="E23" s="841"/>
      <c r="F23" s="842" t="s">
        <v>2994</v>
      </c>
      <c r="G23" s="708"/>
      <c r="H23" s="841"/>
      <c r="I23" s="843" t="s">
        <v>2986</v>
      </c>
      <c r="J23" s="844"/>
      <c r="K23" s="841" t="s">
        <v>2987</v>
      </c>
      <c r="L23" s="840"/>
    </row>
    <row r="24" spans="1:12">
      <c r="A24" s="846" t="s">
        <v>1727</v>
      </c>
      <c r="B24" s="214"/>
      <c r="E24" s="214"/>
      <c r="F24" s="842"/>
      <c r="G24" s="790" t="s">
        <v>2988</v>
      </c>
      <c r="H24" s="840" t="s">
        <v>2989</v>
      </c>
      <c r="I24" s="119" t="s">
        <v>4315</v>
      </c>
      <c r="J24" s="119" t="s">
        <v>1291</v>
      </c>
      <c r="K24" s="119" t="s">
        <v>2990</v>
      </c>
      <c r="L24" s="846" t="s">
        <v>1727</v>
      </c>
    </row>
    <row r="25" spans="1:12" ht="15.75" thickBot="1">
      <c r="A25" s="847" t="s">
        <v>1739</v>
      </c>
      <c r="B25" s="848" t="s">
        <v>3279</v>
      </c>
      <c r="C25" s="125" t="s">
        <v>218</v>
      </c>
      <c r="D25" s="584" t="s">
        <v>3280</v>
      </c>
      <c r="E25" s="217"/>
      <c r="F25" s="849"/>
      <c r="G25" s="584" t="s">
        <v>3281</v>
      </c>
      <c r="H25" s="847" t="s">
        <v>3282</v>
      </c>
      <c r="I25" s="847" t="s">
        <v>721</v>
      </c>
      <c r="J25" s="847" t="s">
        <v>722</v>
      </c>
      <c r="K25" s="847" t="s">
        <v>723</v>
      </c>
      <c r="L25" s="847" t="s">
        <v>1739</v>
      </c>
    </row>
    <row r="26" spans="1:12">
      <c r="A26" s="851">
        <v>1</v>
      </c>
      <c r="B26" s="214"/>
      <c r="E26" s="214"/>
      <c r="F26" s="682"/>
      <c r="G26" s="852"/>
      <c r="H26" s="245"/>
      <c r="I26" s="214"/>
      <c r="J26" s="245"/>
      <c r="K26" s="245"/>
      <c r="L26" s="846">
        <v>1</v>
      </c>
    </row>
    <row r="27" spans="1:12">
      <c r="A27" s="851">
        <v>2</v>
      </c>
      <c r="B27" s="87" t="s">
        <v>2289</v>
      </c>
      <c r="E27" s="214"/>
      <c r="F27" s="682"/>
      <c r="G27" s="852"/>
      <c r="H27" s="232"/>
      <c r="I27" s="727"/>
      <c r="J27" s="232"/>
      <c r="K27" s="245"/>
      <c r="L27" s="846">
        <v>2</v>
      </c>
    </row>
    <row r="28" spans="1:12">
      <c r="A28" s="851">
        <v>3</v>
      </c>
      <c r="B28" s="214"/>
      <c r="E28" s="214"/>
      <c r="F28" s="682"/>
      <c r="G28" s="852"/>
      <c r="H28" s="245"/>
      <c r="I28" s="727"/>
      <c r="J28" s="245"/>
      <c r="K28" s="245"/>
      <c r="L28" s="846">
        <v>3</v>
      </c>
    </row>
    <row r="29" spans="1:12">
      <c r="A29" s="851">
        <v>4</v>
      </c>
      <c r="B29" s="214"/>
      <c r="E29" s="214"/>
      <c r="F29" s="682"/>
      <c r="G29" s="852"/>
      <c r="H29" s="245"/>
      <c r="I29" s="727"/>
      <c r="J29" s="245"/>
      <c r="K29" s="245"/>
      <c r="L29" s="846">
        <v>4</v>
      </c>
    </row>
    <row r="30" spans="1:12">
      <c r="A30" s="851">
        <v>5</v>
      </c>
      <c r="B30" s="214"/>
      <c r="E30" s="214"/>
      <c r="F30" s="682"/>
      <c r="G30" s="852"/>
      <c r="H30" s="245"/>
      <c r="I30" s="214"/>
      <c r="J30" s="245"/>
      <c r="K30" s="245"/>
      <c r="L30" s="846">
        <v>5</v>
      </c>
    </row>
    <row r="31" spans="1:12">
      <c r="A31" s="851">
        <v>6</v>
      </c>
      <c r="B31" s="214"/>
      <c r="E31" s="214"/>
      <c r="F31" s="682"/>
      <c r="G31" s="852"/>
      <c r="H31" s="245"/>
      <c r="I31" s="214"/>
      <c r="J31" s="245"/>
      <c r="K31" s="245"/>
      <c r="L31" s="846">
        <v>6</v>
      </c>
    </row>
    <row r="32" spans="1:12">
      <c r="A32" s="851">
        <v>7</v>
      </c>
      <c r="B32" s="214"/>
      <c r="E32" s="214"/>
      <c r="F32" s="682"/>
      <c r="G32" s="852"/>
      <c r="H32" s="245"/>
      <c r="I32" s="214"/>
      <c r="J32" s="245"/>
      <c r="K32" s="245"/>
      <c r="L32" s="846">
        <v>7</v>
      </c>
    </row>
    <row r="33" spans="1:12">
      <c r="A33" s="851">
        <v>8</v>
      </c>
      <c r="B33" s="214"/>
      <c r="E33" s="214"/>
      <c r="F33" s="682"/>
      <c r="G33" s="852"/>
      <c r="H33" s="245"/>
      <c r="I33" s="214"/>
      <c r="J33" s="245"/>
      <c r="K33" s="245"/>
      <c r="L33" s="846">
        <v>8</v>
      </c>
    </row>
    <row r="34" spans="1:12">
      <c r="A34" s="851">
        <v>9</v>
      </c>
      <c r="B34" s="214"/>
      <c r="E34" s="214"/>
      <c r="F34" s="682"/>
      <c r="G34" s="852"/>
      <c r="H34" s="245"/>
      <c r="I34" s="214"/>
      <c r="J34" s="245"/>
      <c r="K34" s="245"/>
      <c r="L34" s="846">
        <v>9</v>
      </c>
    </row>
    <row r="35" spans="1:12">
      <c r="A35" s="851">
        <v>10</v>
      </c>
      <c r="B35" s="214"/>
      <c r="E35" s="214"/>
      <c r="F35" s="682"/>
      <c r="G35" s="852"/>
      <c r="H35" s="245"/>
      <c r="I35" s="214"/>
      <c r="J35" s="245"/>
      <c r="K35" s="245"/>
      <c r="L35" s="846">
        <v>10</v>
      </c>
    </row>
    <row r="36" spans="1:12">
      <c r="A36" s="851">
        <v>11</v>
      </c>
      <c r="B36" s="214"/>
      <c r="E36" s="214"/>
      <c r="F36" s="682"/>
      <c r="G36" s="852"/>
      <c r="H36" s="245"/>
      <c r="I36" s="214"/>
      <c r="J36" s="245"/>
      <c r="K36" s="245"/>
      <c r="L36" s="846">
        <v>11</v>
      </c>
    </row>
    <row r="37" spans="1:12">
      <c r="A37" s="845">
        <v>12</v>
      </c>
      <c r="B37" s="214"/>
      <c r="E37" s="214"/>
      <c r="F37" s="83"/>
      <c r="G37" s="245"/>
      <c r="H37" s="245"/>
      <c r="I37" s="214"/>
      <c r="J37" s="245"/>
      <c r="K37" s="245"/>
      <c r="L37" s="846">
        <v>12</v>
      </c>
    </row>
    <row r="38" spans="1:12">
      <c r="A38" s="845">
        <v>13</v>
      </c>
      <c r="B38" s="214"/>
      <c r="E38" s="214"/>
      <c r="F38" s="83"/>
      <c r="G38" s="245"/>
      <c r="H38" s="245"/>
      <c r="I38" s="214"/>
      <c r="J38" s="245"/>
      <c r="K38" s="245"/>
      <c r="L38" s="846">
        <v>13</v>
      </c>
    </row>
    <row r="39" spans="1:12">
      <c r="A39" s="845">
        <v>14</v>
      </c>
      <c r="B39" s="214"/>
      <c r="E39" s="214"/>
      <c r="F39" s="83"/>
      <c r="G39" s="245"/>
      <c r="H39" s="245"/>
      <c r="I39" s="214"/>
      <c r="J39" s="245"/>
      <c r="K39" s="245"/>
      <c r="L39" s="846">
        <v>14</v>
      </c>
    </row>
    <row r="40" spans="1:12">
      <c r="A40" s="845">
        <v>15</v>
      </c>
      <c r="B40" s="214"/>
      <c r="E40" s="214"/>
      <c r="F40" s="83"/>
      <c r="G40" s="245"/>
      <c r="H40" s="245"/>
      <c r="I40" s="214"/>
      <c r="J40" s="245"/>
      <c r="K40" s="245"/>
      <c r="L40" s="846">
        <v>15</v>
      </c>
    </row>
    <row r="41" spans="1:12">
      <c r="A41" s="845">
        <v>16</v>
      </c>
      <c r="B41" s="214"/>
      <c r="E41" s="214"/>
      <c r="F41" s="83"/>
      <c r="G41" s="245"/>
      <c r="H41" s="245"/>
      <c r="I41" s="214"/>
      <c r="J41" s="245"/>
      <c r="K41" s="245"/>
      <c r="L41" s="846">
        <v>16</v>
      </c>
    </row>
    <row r="42" spans="1:12">
      <c r="A42" s="845">
        <v>17</v>
      </c>
      <c r="B42" s="214"/>
      <c r="E42" s="214"/>
      <c r="F42" s="83"/>
      <c r="G42" s="245"/>
      <c r="H42" s="245"/>
      <c r="I42" s="214"/>
      <c r="J42" s="245"/>
      <c r="K42" s="245"/>
      <c r="L42" s="846">
        <v>17</v>
      </c>
    </row>
    <row r="43" spans="1:12">
      <c r="A43" s="845">
        <v>18</v>
      </c>
      <c r="B43" s="214"/>
      <c r="E43" s="214"/>
      <c r="F43" s="83"/>
      <c r="G43" s="245"/>
      <c r="H43" s="245"/>
      <c r="I43" s="214"/>
      <c r="J43" s="245"/>
      <c r="K43" s="245"/>
      <c r="L43" s="846">
        <v>18</v>
      </c>
    </row>
    <row r="44" spans="1:12">
      <c r="A44" s="845">
        <v>19</v>
      </c>
      <c r="B44" s="214"/>
      <c r="E44" s="214"/>
      <c r="F44" s="83"/>
      <c r="G44" s="245"/>
      <c r="H44" s="245"/>
      <c r="I44" s="214"/>
      <c r="J44" s="245"/>
      <c r="K44" s="245"/>
      <c r="L44" s="846">
        <v>19</v>
      </c>
    </row>
    <row r="45" spans="1:12">
      <c r="A45" s="845">
        <v>20</v>
      </c>
      <c r="B45" s="214"/>
      <c r="E45" s="214"/>
      <c r="F45" s="83"/>
      <c r="G45" s="245"/>
      <c r="H45" s="245"/>
      <c r="I45" s="214"/>
      <c r="J45" s="245"/>
      <c r="K45" s="245"/>
      <c r="L45" s="846">
        <v>20</v>
      </c>
    </row>
    <row r="46" spans="1:12">
      <c r="A46" s="845">
        <v>21</v>
      </c>
      <c r="B46" s="214"/>
      <c r="E46" s="214"/>
      <c r="F46" s="83"/>
      <c r="G46" s="245"/>
      <c r="H46" s="245"/>
      <c r="I46" s="214"/>
      <c r="J46" s="245"/>
      <c r="K46" s="245"/>
      <c r="L46" s="846">
        <v>21</v>
      </c>
    </row>
    <row r="47" spans="1:12">
      <c r="A47" s="845">
        <v>22</v>
      </c>
      <c r="B47" s="214"/>
      <c r="E47" s="214"/>
      <c r="F47" s="83"/>
      <c r="G47" s="245"/>
      <c r="H47" s="245"/>
      <c r="I47" s="214"/>
      <c r="J47" s="245"/>
      <c r="K47" s="245"/>
      <c r="L47" s="846">
        <v>22</v>
      </c>
    </row>
    <row r="48" spans="1:12">
      <c r="A48" s="845">
        <v>23</v>
      </c>
      <c r="B48" s="214"/>
      <c r="E48" s="214"/>
      <c r="F48" s="83"/>
      <c r="G48" s="245"/>
      <c r="H48" s="245"/>
      <c r="I48" s="214"/>
      <c r="J48" s="245"/>
      <c r="K48" s="245"/>
      <c r="L48" s="846">
        <v>23</v>
      </c>
    </row>
    <row r="49" spans="1:12">
      <c r="A49" s="845">
        <v>24</v>
      </c>
      <c r="B49" s="214"/>
      <c r="E49" s="214"/>
      <c r="F49" s="83"/>
      <c r="G49" s="245"/>
      <c r="H49" s="245"/>
      <c r="I49" s="214"/>
      <c r="J49" s="245"/>
      <c r="K49" s="245"/>
      <c r="L49" s="846">
        <v>24</v>
      </c>
    </row>
    <row r="50" spans="1:12">
      <c r="A50" s="845">
        <v>25</v>
      </c>
      <c r="B50" s="214"/>
      <c r="E50" s="214"/>
      <c r="F50" s="83"/>
      <c r="G50" s="245"/>
      <c r="H50" s="245"/>
      <c r="I50" s="214"/>
      <c r="J50" s="245"/>
      <c r="K50" s="245"/>
      <c r="L50" s="846">
        <v>25</v>
      </c>
    </row>
    <row r="51" spans="1:12">
      <c r="A51" s="845">
        <v>26</v>
      </c>
      <c r="B51" s="214"/>
      <c r="E51" s="214"/>
      <c r="F51" s="83"/>
      <c r="G51" s="245"/>
      <c r="H51" s="245"/>
      <c r="I51" s="214"/>
      <c r="J51" s="245"/>
      <c r="K51" s="245"/>
      <c r="L51" s="846">
        <v>26</v>
      </c>
    </row>
    <row r="52" spans="1:12">
      <c r="A52" s="845">
        <v>27</v>
      </c>
      <c r="B52" s="214"/>
      <c r="E52" s="214"/>
      <c r="F52" s="83"/>
      <c r="G52" s="245"/>
      <c r="H52" s="245"/>
      <c r="I52" s="214"/>
      <c r="J52" s="245"/>
      <c r="K52" s="245"/>
      <c r="L52" s="846">
        <v>27</v>
      </c>
    </row>
    <row r="53" spans="1:12">
      <c r="A53" s="845">
        <v>28</v>
      </c>
      <c r="B53" s="214"/>
      <c r="E53" s="214"/>
      <c r="F53" s="83"/>
      <c r="G53" s="245"/>
      <c r="H53" s="245"/>
      <c r="I53" s="214"/>
      <c r="J53" s="245"/>
      <c r="K53" s="245"/>
      <c r="L53" s="846">
        <v>28</v>
      </c>
    </row>
    <row r="54" spans="1:12">
      <c r="A54" s="845">
        <v>29</v>
      </c>
      <c r="B54" s="214"/>
      <c r="E54" s="214"/>
      <c r="F54" s="83"/>
      <c r="G54" s="245"/>
      <c r="H54" s="245"/>
      <c r="I54" s="214"/>
      <c r="J54" s="245"/>
      <c r="K54" s="245"/>
      <c r="L54" s="846">
        <v>29</v>
      </c>
    </row>
    <row r="55" spans="1:12">
      <c r="A55" s="845">
        <v>30</v>
      </c>
      <c r="B55" s="214"/>
      <c r="E55" s="214"/>
      <c r="F55" s="83"/>
      <c r="G55" s="245"/>
      <c r="H55" s="245"/>
      <c r="I55" s="214"/>
      <c r="J55" s="245"/>
      <c r="K55" s="245"/>
      <c r="L55" s="846">
        <v>30</v>
      </c>
    </row>
    <row r="56" spans="1:12">
      <c r="A56" s="845">
        <v>31</v>
      </c>
      <c r="B56" s="214"/>
      <c r="E56" s="214"/>
      <c r="F56" s="83"/>
      <c r="G56" s="245"/>
      <c r="H56" s="245"/>
      <c r="I56" s="214"/>
      <c r="J56" s="245"/>
      <c r="K56" s="245"/>
      <c r="L56" s="846">
        <v>31</v>
      </c>
    </row>
    <row r="57" spans="1:12">
      <c r="A57" s="845">
        <v>32</v>
      </c>
      <c r="B57" s="214"/>
      <c r="E57" s="214"/>
      <c r="F57" s="83"/>
      <c r="G57" s="245"/>
      <c r="H57" s="245"/>
      <c r="I57" s="214"/>
      <c r="J57" s="245"/>
      <c r="K57" s="245"/>
      <c r="L57" s="846">
        <v>32</v>
      </c>
    </row>
    <row r="58" spans="1:12">
      <c r="A58" s="845">
        <v>33</v>
      </c>
      <c r="B58" s="214"/>
      <c r="E58" s="214"/>
      <c r="F58" s="83"/>
      <c r="G58" s="245"/>
      <c r="H58" s="245"/>
      <c r="I58" s="214"/>
      <c r="J58" s="245"/>
      <c r="K58" s="245"/>
      <c r="L58" s="846">
        <v>33</v>
      </c>
    </row>
    <row r="59" spans="1:12">
      <c r="A59" s="845">
        <v>34</v>
      </c>
      <c r="B59" s="214"/>
      <c r="E59" s="214"/>
      <c r="F59" s="83"/>
      <c r="G59" s="245"/>
      <c r="H59" s="245"/>
      <c r="I59" s="214"/>
      <c r="J59" s="245"/>
      <c r="K59" s="245"/>
      <c r="L59" s="846">
        <v>34</v>
      </c>
    </row>
    <row r="60" spans="1:12">
      <c r="A60" s="845">
        <v>35</v>
      </c>
      <c r="B60" s="214"/>
      <c r="E60" s="214"/>
      <c r="F60" s="83"/>
      <c r="G60" s="245"/>
      <c r="H60" s="245"/>
      <c r="I60" s="214"/>
      <c r="J60" s="245"/>
      <c r="K60" s="245"/>
      <c r="L60" s="846">
        <v>35</v>
      </c>
    </row>
    <row r="61" spans="1:12">
      <c r="A61" s="845">
        <v>36</v>
      </c>
      <c r="B61" s="214"/>
      <c r="E61" s="214"/>
      <c r="F61" s="83"/>
      <c r="G61" s="245"/>
      <c r="H61" s="245"/>
      <c r="I61" s="214"/>
      <c r="J61" s="245"/>
      <c r="K61" s="245"/>
      <c r="L61" s="846">
        <v>36</v>
      </c>
    </row>
    <row r="62" spans="1:12">
      <c r="A62" s="845">
        <v>37</v>
      </c>
      <c r="B62" s="214"/>
      <c r="E62" s="214"/>
      <c r="F62" s="83"/>
      <c r="G62" s="245"/>
      <c r="H62" s="245"/>
      <c r="I62" s="214"/>
      <c r="J62" s="245"/>
      <c r="K62" s="245"/>
      <c r="L62" s="846">
        <v>37</v>
      </c>
    </row>
    <row r="63" spans="1:12" ht="15.75" thickBot="1">
      <c r="A63" s="850">
        <v>38</v>
      </c>
      <c r="B63" s="848" t="s">
        <v>1738</v>
      </c>
      <c r="C63" s="125"/>
      <c r="D63" s="125"/>
      <c r="E63" s="217"/>
      <c r="F63" s="853"/>
      <c r="G63" s="236">
        <f>SUM(G26:G62)</f>
        <v>0</v>
      </c>
      <c r="H63" s="236">
        <f>SUM(H26:H62)</f>
        <v>0</v>
      </c>
      <c r="I63" s="217"/>
      <c r="J63" s="236">
        <f>SUM(J26:J62)</f>
        <v>0</v>
      </c>
      <c r="K63" s="236">
        <f>SUM(K26:K62)</f>
        <v>0</v>
      </c>
      <c r="L63" s="847">
        <v>38</v>
      </c>
    </row>
    <row r="64" spans="1:12">
      <c r="A64" t="s">
        <v>2024</v>
      </c>
      <c r="H64" s="4"/>
      <c r="K64" t="s">
        <v>2024</v>
      </c>
    </row>
    <row r="65" spans="1:12">
      <c r="A65" s="4" t="s">
        <v>2991</v>
      </c>
      <c r="B65" s="4"/>
      <c r="C65" s="4"/>
      <c r="D65" s="4"/>
      <c r="E65" s="4"/>
      <c r="F65" s="4" t="s">
        <v>3393</v>
      </c>
      <c r="G65" s="4"/>
      <c r="H65" s="4"/>
      <c r="I65" s="4"/>
      <c r="J65" s="4"/>
      <c r="K65" s="4"/>
      <c r="L65" s="4"/>
    </row>
    <row r="67" spans="1:12" ht="15.75">
      <c r="B67" s="233" t="s">
        <v>3656</v>
      </c>
    </row>
    <row r="69" spans="1:12" ht="15.75">
      <c r="B69" s="3" t="s">
        <v>2663</v>
      </c>
      <c r="C69" s="3"/>
      <c r="D69" s="4"/>
      <c r="E69" s="4"/>
      <c r="F69" s="4"/>
      <c r="G69" s="3" t="s">
        <v>2664</v>
      </c>
      <c r="H69" s="3"/>
      <c r="I69" s="3"/>
      <c r="J69" s="4"/>
      <c r="K69" s="4"/>
      <c r="L69" s="4"/>
    </row>
    <row r="70" spans="1:12" ht="15.75" thickBot="1"/>
    <row r="71" spans="1:12" ht="15.75" thickBot="1">
      <c r="A71" s="840"/>
      <c r="B71" s="447" t="s">
        <v>2993</v>
      </c>
      <c r="C71" s="708" t="s">
        <v>1121</v>
      </c>
      <c r="D71" s="708"/>
      <c r="E71" s="841"/>
      <c r="F71" s="842" t="s">
        <v>2880</v>
      </c>
      <c r="G71" s="708"/>
      <c r="H71" s="841"/>
      <c r="I71" s="843" t="s">
        <v>2986</v>
      </c>
      <c r="J71" s="844"/>
      <c r="K71" s="841" t="s">
        <v>2987</v>
      </c>
      <c r="L71" s="840"/>
    </row>
    <row r="72" spans="1:12">
      <c r="A72" s="846" t="s">
        <v>1727</v>
      </c>
      <c r="B72" s="214"/>
      <c r="E72" s="214"/>
      <c r="F72" s="473" t="s">
        <v>4317</v>
      </c>
      <c r="G72" s="4"/>
      <c r="H72" s="119"/>
      <c r="I72" s="119" t="s">
        <v>4315</v>
      </c>
      <c r="J72" s="119" t="s">
        <v>1291</v>
      </c>
      <c r="K72" s="119" t="s">
        <v>2990</v>
      </c>
      <c r="L72" s="846" t="s">
        <v>1727</v>
      </c>
    </row>
    <row r="73" spans="1:12" ht="15.75" thickBot="1">
      <c r="A73" s="847" t="s">
        <v>1739</v>
      </c>
      <c r="B73" s="848" t="s">
        <v>3279</v>
      </c>
      <c r="C73" s="126" t="s">
        <v>3280</v>
      </c>
      <c r="D73" s="126"/>
      <c r="E73" s="127"/>
      <c r="F73" s="849" t="s">
        <v>3281</v>
      </c>
      <c r="G73" s="126"/>
      <c r="H73" s="127"/>
      <c r="I73" s="847" t="s">
        <v>721</v>
      </c>
      <c r="J73" s="847" t="s">
        <v>722</v>
      </c>
      <c r="K73" s="847" t="s">
        <v>723</v>
      </c>
      <c r="L73" s="847" t="s">
        <v>1739</v>
      </c>
    </row>
    <row r="74" spans="1:12">
      <c r="A74" s="851">
        <v>1</v>
      </c>
      <c r="B74" s="214"/>
      <c r="E74" s="214"/>
      <c r="F74" s="682"/>
      <c r="G74" s="852"/>
      <c r="H74" s="245"/>
      <c r="I74" s="214"/>
      <c r="J74" s="245"/>
      <c r="K74" s="245"/>
      <c r="L74" s="851">
        <v>1</v>
      </c>
    </row>
    <row r="75" spans="1:12">
      <c r="A75" s="851">
        <v>2</v>
      </c>
      <c r="B75" s="214"/>
      <c r="E75" s="214"/>
      <c r="F75" s="682"/>
      <c r="G75" s="852"/>
      <c r="H75" s="245"/>
      <c r="I75" s="214"/>
      <c r="J75" s="245"/>
      <c r="K75" s="245"/>
      <c r="L75" s="851">
        <v>2</v>
      </c>
    </row>
    <row r="76" spans="1:12">
      <c r="A76" s="851">
        <v>3</v>
      </c>
      <c r="B76" s="214"/>
      <c r="E76" s="214"/>
      <c r="F76" s="682"/>
      <c r="G76" s="852"/>
      <c r="H76" s="245"/>
      <c r="I76" s="214"/>
      <c r="J76" s="245"/>
      <c r="K76" s="245"/>
      <c r="L76" s="851">
        <v>3</v>
      </c>
    </row>
    <row r="77" spans="1:12">
      <c r="A77" s="851">
        <v>4</v>
      </c>
      <c r="B77" s="214"/>
      <c r="E77" s="214"/>
      <c r="F77" s="682"/>
      <c r="G77" s="852"/>
      <c r="H77" s="245"/>
      <c r="I77" s="214"/>
      <c r="J77" s="245"/>
      <c r="K77" s="245"/>
      <c r="L77" s="851">
        <v>4</v>
      </c>
    </row>
    <row r="78" spans="1:12">
      <c r="A78" s="851">
        <v>5</v>
      </c>
      <c r="B78" s="214"/>
      <c r="E78" s="214"/>
      <c r="F78" s="682"/>
      <c r="G78" s="852"/>
      <c r="H78" s="245"/>
      <c r="I78" s="214"/>
      <c r="J78" s="245"/>
      <c r="K78" s="245"/>
      <c r="L78" s="851">
        <v>5</v>
      </c>
    </row>
    <row r="79" spans="1:12">
      <c r="A79" s="851">
        <v>6</v>
      </c>
      <c r="B79" s="214"/>
      <c r="E79" s="214"/>
      <c r="F79" s="682"/>
      <c r="G79" s="852"/>
      <c r="H79" s="245"/>
      <c r="I79" s="214"/>
      <c r="J79" s="245"/>
      <c r="K79" s="245"/>
      <c r="L79" s="851">
        <v>6</v>
      </c>
    </row>
    <row r="80" spans="1:12">
      <c r="A80" s="851">
        <v>7</v>
      </c>
      <c r="B80" s="214"/>
      <c r="E80" s="214"/>
      <c r="F80" s="682"/>
      <c r="G80" s="852"/>
      <c r="H80" s="245"/>
      <c r="I80" s="214"/>
      <c r="J80" s="245"/>
      <c r="K80" s="245"/>
      <c r="L80" s="851">
        <v>7</v>
      </c>
    </row>
    <row r="81" spans="1:12">
      <c r="A81" s="851">
        <v>8</v>
      </c>
      <c r="B81" s="214"/>
      <c r="E81" s="214"/>
      <c r="F81" s="682"/>
      <c r="G81" s="852"/>
      <c r="H81" s="245"/>
      <c r="I81" s="214"/>
      <c r="J81" s="245"/>
      <c r="K81" s="245"/>
      <c r="L81" s="851">
        <v>8</v>
      </c>
    </row>
    <row r="82" spans="1:12">
      <c r="A82" s="851">
        <v>9</v>
      </c>
      <c r="B82" s="214"/>
      <c r="E82" s="214"/>
      <c r="F82" s="682"/>
      <c r="G82" s="852"/>
      <c r="H82" s="245"/>
      <c r="I82" s="214"/>
      <c r="J82" s="245"/>
      <c r="K82" s="245"/>
      <c r="L82" s="851">
        <v>9</v>
      </c>
    </row>
    <row r="83" spans="1:12">
      <c r="A83" s="851">
        <v>10</v>
      </c>
      <c r="B83" s="214"/>
      <c r="E83" s="214"/>
      <c r="F83" s="682"/>
      <c r="G83" s="852"/>
      <c r="H83" s="245"/>
      <c r="I83" s="214"/>
      <c r="J83" s="245"/>
      <c r="K83" s="245"/>
      <c r="L83" s="851">
        <v>10</v>
      </c>
    </row>
    <row r="84" spans="1:12">
      <c r="A84" s="851">
        <v>11</v>
      </c>
      <c r="B84" s="214"/>
      <c r="E84" s="214"/>
      <c r="F84" s="682"/>
      <c r="G84" s="852"/>
      <c r="H84" s="245"/>
      <c r="I84" s="214"/>
      <c r="J84" s="245"/>
      <c r="K84" s="245"/>
      <c r="L84" s="851">
        <v>11</v>
      </c>
    </row>
    <row r="85" spans="1:12">
      <c r="A85" s="845">
        <v>12</v>
      </c>
      <c r="B85" s="214"/>
      <c r="E85" s="214"/>
      <c r="F85" s="83"/>
      <c r="G85" s="245"/>
      <c r="H85" s="245"/>
      <c r="I85" s="214"/>
      <c r="J85" s="245"/>
      <c r="K85" s="245"/>
      <c r="L85" s="845">
        <v>12</v>
      </c>
    </row>
    <row r="86" spans="1:12">
      <c r="A86" s="845">
        <v>13</v>
      </c>
      <c r="B86" s="214"/>
      <c r="E86" s="214"/>
      <c r="F86" s="83"/>
      <c r="G86" s="245"/>
      <c r="H86" s="245"/>
      <c r="I86" s="214"/>
      <c r="J86" s="245"/>
      <c r="K86" s="245"/>
      <c r="L86" s="845">
        <v>13</v>
      </c>
    </row>
    <row r="87" spans="1:12">
      <c r="A87" s="845">
        <v>14</v>
      </c>
      <c r="B87" s="214"/>
      <c r="E87" s="214"/>
      <c r="F87" s="83"/>
      <c r="G87" s="245"/>
      <c r="H87" s="245"/>
      <c r="I87" s="214"/>
      <c r="J87" s="245"/>
      <c r="K87" s="245"/>
      <c r="L87" s="845">
        <v>14</v>
      </c>
    </row>
    <row r="88" spans="1:12">
      <c r="A88" s="845">
        <v>15</v>
      </c>
      <c r="B88" s="214"/>
      <c r="E88" s="214"/>
      <c r="F88" s="83"/>
      <c r="G88" s="245"/>
      <c r="H88" s="245"/>
      <c r="I88" s="214"/>
      <c r="J88" s="245"/>
      <c r="K88" s="245"/>
      <c r="L88" s="845">
        <v>15</v>
      </c>
    </row>
    <row r="89" spans="1:12">
      <c r="A89" s="845">
        <v>16</v>
      </c>
      <c r="B89" s="214"/>
      <c r="E89" s="214"/>
      <c r="F89" s="83"/>
      <c r="G89" s="245"/>
      <c r="H89" s="245"/>
      <c r="I89" s="214"/>
      <c r="J89" s="245"/>
      <c r="K89" s="245"/>
      <c r="L89" s="845">
        <v>16</v>
      </c>
    </row>
    <row r="90" spans="1:12">
      <c r="A90" s="845">
        <v>17</v>
      </c>
      <c r="B90" s="214"/>
      <c r="E90" s="214"/>
      <c r="F90" s="83"/>
      <c r="G90" s="245"/>
      <c r="H90" s="245"/>
      <c r="I90" s="214"/>
      <c r="J90" s="245"/>
      <c r="K90" s="245"/>
      <c r="L90" s="845">
        <v>17</v>
      </c>
    </row>
    <row r="91" spans="1:12">
      <c r="A91" s="845">
        <v>18</v>
      </c>
      <c r="B91" s="214"/>
      <c r="E91" s="214"/>
      <c r="F91" s="83"/>
      <c r="G91" s="245"/>
      <c r="H91" s="245"/>
      <c r="I91" s="214"/>
      <c r="J91" s="245"/>
      <c r="K91" s="245"/>
      <c r="L91" s="845">
        <v>18</v>
      </c>
    </row>
    <row r="92" spans="1:12">
      <c r="A92" s="845">
        <v>19</v>
      </c>
      <c r="B92" s="214"/>
      <c r="E92" s="214"/>
      <c r="F92" s="83"/>
      <c r="G92" s="245"/>
      <c r="H92" s="245"/>
      <c r="I92" s="214"/>
      <c r="J92" s="245"/>
      <c r="K92" s="245"/>
      <c r="L92" s="845">
        <v>19</v>
      </c>
    </row>
    <row r="93" spans="1:12">
      <c r="A93" s="845">
        <v>20</v>
      </c>
      <c r="B93" s="214"/>
      <c r="E93" s="214"/>
      <c r="F93" s="83"/>
      <c r="G93" s="245"/>
      <c r="H93" s="245"/>
      <c r="I93" s="214"/>
      <c r="J93" s="245"/>
      <c r="K93" s="245"/>
      <c r="L93" s="845">
        <v>20</v>
      </c>
    </row>
    <row r="94" spans="1:12">
      <c r="A94" s="845">
        <v>21</v>
      </c>
      <c r="B94" s="214"/>
      <c r="E94" s="214"/>
      <c r="F94" s="83"/>
      <c r="G94" s="245"/>
      <c r="H94" s="245"/>
      <c r="I94" s="214"/>
      <c r="J94" s="245"/>
      <c r="K94" s="245"/>
      <c r="L94" s="845">
        <v>21</v>
      </c>
    </row>
    <row r="95" spans="1:12">
      <c r="A95" s="845">
        <v>22</v>
      </c>
      <c r="B95" s="214"/>
      <c r="E95" s="214"/>
      <c r="F95" s="83"/>
      <c r="G95" s="245"/>
      <c r="H95" s="245"/>
      <c r="I95" s="214"/>
      <c r="J95" s="245"/>
      <c r="K95" s="245"/>
      <c r="L95" s="845">
        <v>22</v>
      </c>
    </row>
    <row r="96" spans="1:12">
      <c r="A96" s="845">
        <v>23</v>
      </c>
      <c r="B96" s="214"/>
      <c r="E96" s="214"/>
      <c r="F96" s="83"/>
      <c r="G96" s="245"/>
      <c r="H96" s="245"/>
      <c r="I96" s="214"/>
      <c r="J96" s="245"/>
      <c r="K96" s="245"/>
      <c r="L96" s="845">
        <v>23</v>
      </c>
    </row>
    <row r="97" spans="1:12">
      <c r="A97" s="845">
        <v>24</v>
      </c>
      <c r="B97" s="214"/>
      <c r="E97" s="214"/>
      <c r="F97" s="83"/>
      <c r="G97" s="245"/>
      <c r="H97" s="245"/>
      <c r="I97" s="214"/>
      <c r="J97" s="245"/>
      <c r="K97" s="245"/>
      <c r="L97" s="845">
        <v>24</v>
      </c>
    </row>
    <row r="98" spans="1:12">
      <c r="A98" s="845">
        <v>25</v>
      </c>
      <c r="B98" s="214"/>
      <c r="E98" s="214"/>
      <c r="F98" s="83"/>
      <c r="G98" s="245"/>
      <c r="H98" s="245"/>
      <c r="I98" s="214"/>
      <c r="J98" s="245"/>
      <c r="K98" s="245"/>
      <c r="L98" s="845">
        <v>25</v>
      </c>
    </row>
    <row r="99" spans="1:12">
      <c r="A99" s="845">
        <v>26</v>
      </c>
      <c r="B99" s="214"/>
      <c r="E99" s="214"/>
      <c r="F99" s="83"/>
      <c r="G99" s="245"/>
      <c r="H99" s="245"/>
      <c r="I99" s="214"/>
      <c r="J99" s="245"/>
      <c r="K99" s="245"/>
      <c r="L99" s="845">
        <v>26</v>
      </c>
    </row>
    <row r="100" spans="1:12">
      <c r="A100" s="845">
        <v>27</v>
      </c>
      <c r="B100" s="214"/>
      <c r="E100" s="214"/>
      <c r="F100" s="83"/>
      <c r="G100" s="245"/>
      <c r="H100" s="245"/>
      <c r="I100" s="214"/>
      <c r="J100" s="245"/>
      <c r="K100" s="245"/>
      <c r="L100" s="845">
        <v>27</v>
      </c>
    </row>
    <row r="101" spans="1:12">
      <c r="A101" s="845">
        <v>28</v>
      </c>
      <c r="B101" s="214"/>
      <c r="E101" s="214"/>
      <c r="F101" s="83"/>
      <c r="G101" s="245"/>
      <c r="H101" s="245"/>
      <c r="I101" s="214"/>
      <c r="J101" s="245"/>
      <c r="K101" s="245"/>
      <c r="L101" s="845">
        <v>28</v>
      </c>
    </row>
    <row r="102" spans="1:12">
      <c r="A102" s="845">
        <v>29</v>
      </c>
      <c r="B102" s="214"/>
      <c r="E102" s="214"/>
      <c r="F102" s="83"/>
      <c r="G102" s="245"/>
      <c r="H102" s="245"/>
      <c r="I102" s="214"/>
      <c r="J102" s="245"/>
      <c r="K102" s="245"/>
      <c r="L102" s="845">
        <v>29</v>
      </c>
    </row>
    <row r="103" spans="1:12">
      <c r="A103" s="845">
        <v>30</v>
      </c>
      <c r="B103" s="214"/>
      <c r="E103" s="214"/>
      <c r="F103" s="83"/>
      <c r="G103" s="245"/>
      <c r="H103" s="245"/>
      <c r="I103" s="214"/>
      <c r="J103" s="245"/>
      <c r="K103" s="245"/>
      <c r="L103" s="845">
        <v>30</v>
      </c>
    </row>
    <row r="104" spans="1:12">
      <c r="A104" s="845">
        <v>31</v>
      </c>
      <c r="B104" s="214"/>
      <c r="E104" s="214"/>
      <c r="F104" s="83"/>
      <c r="G104" s="245"/>
      <c r="H104" s="245"/>
      <c r="I104" s="214"/>
      <c r="J104" s="245"/>
      <c r="K104" s="245"/>
      <c r="L104" s="845">
        <v>31</v>
      </c>
    </row>
    <row r="105" spans="1:12">
      <c r="A105" s="845">
        <v>32</v>
      </c>
      <c r="B105" s="214"/>
      <c r="E105" s="214"/>
      <c r="F105" s="83"/>
      <c r="G105" s="245"/>
      <c r="H105" s="245"/>
      <c r="I105" s="214"/>
      <c r="J105" s="245"/>
      <c r="K105" s="245"/>
      <c r="L105" s="845">
        <v>32</v>
      </c>
    </row>
    <row r="106" spans="1:12">
      <c r="A106" s="845">
        <v>33</v>
      </c>
      <c r="B106" s="214"/>
      <c r="E106" s="214"/>
      <c r="F106" s="83"/>
      <c r="G106" s="245"/>
      <c r="H106" s="245"/>
      <c r="I106" s="214"/>
      <c r="J106" s="245"/>
      <c r="K106" s="245"/>
      <c r="L106" s="845">
        <v>33</v>
      </c>
    </row>
    <row r="107" spans="1:12">
      <c r="A107" s="845">
        <v>34</v>
      </c>
      <c r="B107" s="214"/>
      <c r="E107" s="214"/>
      <c r="F107" s="83"/>
      <c r="G107" s="245"/>
      <c r="H107" s="245"/>
      <c r="I107" s="214"/>
      <c r="J107" s="245"/>
      <c r="K107" s="245"/>
      <c r="L107" s="845">
        <v>34</v>
      </c>
    </row>
    <row r="108" spans="1:12">
      <c r="A108" s="845">
        <v>35</v>
      </c>
      <c r="B108" s="214"/>
      <c r="E108" s="214"/>
      <c r="F108" s="83"/>
      <c r="G108" s="245"/>
      <c r="H108" s="245"/>
      <c r="I108" s="214"/>
      <c r="J108" s="245"/>
      <c r="K108" s="245"/>
      <c r="L108" s="845">
        <v>35</v>
      </c>
    </row>
    <row r="109" spans="1:12">
      <c r="A109" s="845">
        <v>36</v>
      </c>
      <c r="B109" s="214"/>
      <c r="E109" s="214"/>
      <c r="F109" s="83"/>
      <c r="G109" s="245"/>
      <c r="H109" s="245"/>
      <c r="I109" s="214"/>
      <c r="J109" s="245"/>
      <c r="K109" s="245"/>
      <c r="L109" s="845">
        <v>36</v>
      </c>
    </row>
    <row r="110" spans="1:12">
      <c r="A110" s="845">
        <v>37</v>
      </c>
      <c r="B110" s="214"/>
      <c r="E110" s="214"/>
      <c r="F110" s="83"/>
      <c r="G110" s="245"/>
      <c r="H110" s="245"/>
      <c r="I110" s="214"/>
      <c r="J110" s="245"/>
      <c r="K110" s="245"/>
      <c r="L110" s="845">
        <v>37</v>
      </c>
    </row>
    <row r="111" spans="1:12">
      <c r="A111" s="845">
        <v>38</v>
      </c>
      <c r="B111" s="214"/>
      <c r="E111" s="214"/>
      <c r="F111" s="83"/>
      <c r="G111" s="245"/>
      <c r="H111" s="245"/>
      <c r="I111" s="214"/>
      <c r="J111" s="245"/>
      <c r="K111" s="245"/>
      <c r="L111" s="845">
        <v>38</v>
      </c>
    </row>
    <row r="112" spans="1:12">
      <c r="A112" s="845">
        <v>39</v>
      </c>
      <c r="B112" s="214"/>
      <c r="E112" s="214"/>
      <c r="F112" s="83"/>
      <c r="G112" s="245"/>
      <c r="H112" s="245"/>
      <c r="I112" s="214"/>
      <c r="J112" s="245"/>
      <c r="K112" s="245"/>
      <c r="L112" s="845">
        <v>39</v>
      </c>
    </row>
    <row r="113" spans="1:12">
      <c r="A113" s="845">
        <v>40</v>
      </c>
      <c r="B113" s="214"/>
      <c r="E113" s="214"/>
      <c r="F113" s="83"/>
      <c r="G113" s="245"/>
      <c r="H113" s="245"/>
      <c r="I113" s="214"/>
      <c r="J113" s="245"/>
      <c r="K113" s="245"/>
      <c r="L113" s="845">
        <v>40</v>
      </c>
    </row>
    <row r="114" spans="1:12">
      <c r="A114" s="845">
        <v>41</v>
      </c>
      <c r="B114" s="214"/>
      <c r="E114" s="214"/>
      <c r="F114" s="83"/>
      <c r="G114" s="245"/>
      <c r="H114" s="245"/>
      <c r="I114" s="214"/>
      <c r="J114" s="245"/>
      <c r="K114" s="245"/>
      <c r="L114" s="845">
        <v>41</v>
      </c>
    </row>
    <row r="115" spans="1:12">
      <c r="A115" s="845">
        <v>42</v>
      </c>
      <c r="B115" s="214"/>
      <c r="E115" s="214"/>
      <c r="F115" s="83"/>
      <c r="G115" s="245"/>
      <c r="H115" s="245"/>
      <c r="I115" s="214"/>
      <c r="J115" s="245"/>
      <c r="K115" s="245"/>
      <c r="L115" s="845">
        <v>42</v>
      </c>
    </row>
    <row r="116" spans="1:12">
      <c r="A116" s="845">
        <v>43</v>
      </c>
      <c r="B116" s="214"/>
      <c r="E116" s="214"/>
      <c r="F116" s="83"/>
      <c r="G116" s="245"/>
      <c r="H116" s="245"/>
      <c r="I116" s="214"/>
      <c r="J116" s="245"/>
      <c r="K116" s="245"/>
      <c r="L116" s="845">
        <v>43</v>
      </c>
    </row>
    <row r="117" spans="1:12">
      <c r="A117" s="845">
        <v>44</v>
      </c>
      <c r="B117" s="214"/>
      <c r="E117" s="214"/>
      <c r="F117" s="83"/>
      <c r="G117" s="245"/>
      <c r="H117" s="245"/>
      <c r="I117" s="214"/>
      <c r="J117" s="245"/>
      <c r="K117" s="245"/>
      <c r="L117" s="845">
        <v>44</v>
      </c>
    </row>
    <row r="118" spans="1:12">
      <c r="A118" s="845">
        <v>45</v>
      </c>
      <c r="B118" s="214"/>
      <c r="E118" s="214"/>
      <c r="F118" s="83"/>
      <c r="G118" s="245"/>
      <c r="H118" s="245"/>
      <c r="I118" s="214"/>
      <c r="J118" s="245"/>
      <c r="K118" s="245"/>
      <c r="L118" s="845">
        <v>45</v>
      </c>
    </row>
    <row r="119" spans="1:12">
      <c r="A119" s="845">
        <v>46</v>
      </c>
      <c r="B119" s="214"/>
      <c r="E119" s="214"/>
      <c r="F119" s="83"/>
      <c r="G119" s="245"/>
      <c r="H119" s="245"/>
      <c r="I119" s="214"/>
      <c r="J119" s="245"/>
      <c r="K119" s="245"/>
      <c r="L119" s="845">
        <v>46</v>
      </c>
    </row>
    <row r="120" spans="1:12">
      <c r="A120" s="845">
        <v>47</v>
      </c>
      <c r="B120" s="214"/>
      <c r="E120" s="214"/>
      <c r="F120" s="83"/>
      <c r="G120" s="245"/>
      <c r="H120" s="245"/>
      <c r="I120" s="214"/>
      <c r="J120" s="245"/>
      <c r="K120" s="245"/>
      <c r="L120" s="845">
        <v>47</v>
      </c>
    </row>
    <row r="121" spans="1:12">
      <c r="A121" s="845">
        <v>48</v>
      </c>
      <c r="B121" s="214"/>
      <c r="E121" s="214"/>
      <c r="F121" s="83"/>
      <c r="G121" s="245"/>
      <c r="H121" s="245"/>
      <c r="I121" s="214"/>
      <c r="J121" s="245"/>
      <c r="K121" s="245"/>
      <c r="L121" s="845">
        <v>48</v>
      </c>
    </row>
    <row r="122" spans="1:12">
      <c r="A122" s="845">
        <v>49</v>
      </c>
      <c r="B122" s="214"/>
      <c r="E122" s="214"/>
      <c r="F122" s="83"/>
      <c r="G122" s="245"/>
      <c r="H122" s="245"/>
      <c r="I122" s="214"/>
      <c r="J122" s="245"/>
      <c r="K122" s="245"/>
      <c r="L122" s="845">
        <v>49</v>
      </c>
    </row>
    <row r="123" spans="1:12">
      <c r="A123" s="845">
        <v>50</v>
      </c>
      <c r="B123" s="214"/>
      <c r="E123" s="214"/>
      <c r="F123" s="83"/>
      <c r="G123" s="245"/>
      <c r="H123" s="245"/>
      <c r="I123" s="214"/>
      <c r="J123" s="245"/>
      <c r="K123" s="245"/>
      <c r="L123" s="845">
        <v>50</v>
      </c>
    </row>
    <row r="124" spans="1:12">
      <c r="A124" s="845">
        <v>51</v>
      </c>
      <c r="B124" s="214"/>
      <c r="E124" s="214"/>
      <c r="F124" s="83"/>
      <c r="G124" s="245"/>
      <c r="H124" s="245"/>
      <c r="I124" s="214"/>
      <c r="J124" s="245"/>
      <c r="K124" s="245"/>
      <c r="L124" s="845">
        <v>51</v>
      </c>
    </row>
    <row r="125" spans="1:12">
      <c r="A125" s="845">
        <v>52</v>
      </c>
      <c r="B125" s="214"/>
      <c r="E125" s="214"/>
      <c r="F125" s="83"/>
      <c r="G125" s="245"/>
      <c r="H125" s="245"/>
      <c r="I125" s="214"/>
      <c r="J125" s="245"/>
      <c r="K125" s="245"/>
      <c r="L125" s="845">
        <v>52</v>
      </c>
    </row>
    <row r="126" spans="1:12">
      <c r="A126" s="845">
        <v>53</v>
      </c>
      <c r="B126" s="214"/>
      <c r="E126" s="214"/>
      <c r="F126" s="83"/>
      <c r="G126" s="245"/>
      <c r="H126" s="245"/>
      <c r="I126" s="214"/>
      <c r="J126" s="245"/>
      <c r="K126" s="245"/>
      <c r="L126" s="845">
        <v>53</v>
      </c>
    </row>
    <row r="127" spans="1:12">
      <c r="A127" s="845">
        <v>54</v>
      </c>
      <c r="B127" s="214"/>
      <c r="E127" s="214"/>
      <c r="F127" s="83"/>
      <c r="G127" s="245"/>
      <c r="H127" s="245"/>
      <c r="I127" s="214"/>
      <c r="J127" s="245"/>
      <c r="K127" s="245"/>
      <c r="L127" s="845">
        <v>54</v>
      </c>
    </row>
    <row r="128" spans="1:12" ht="15.75" thickBot="1">
      <c r="A128" s="850">
        <v>55</v>
      </c>
      <c r="B128" s="848" t="s">
        <v>1738</v>
      </c>
      <c r="C128" s="125"/>
      <c r="D128" s="125"/>
      <c r="E128" s="217"/>
      <c r="F128" s="853"/>
      <c r="G128" s="236">
        <f>SUM(G74:G127)</f>
        <v>0</v>
      </c>
      <c r="H128" s="236">
        <f>SUM(H74:H127)</f>
        <v>0</v>
      </c>
      <c r="I128" s="217"/>
      <c r="J128" s="236">
        <f>SUM(J74:J127)</f>
        <v>0</v>
      </c>
      <c r="K128" s="236">
        <f>SUM(K74:K127)</f>
        <v>0</v>
      </c>
      <c r="L128" s="850">
        <v>55</v>
      </c>
    </row>
    <row r="129" spans="1:12">
      <c r="A129" t="s">
        <v>2024</v>
      </c>
      <c r="F129" t="s">
        <v>2024</v>
      </c>
      <c r="H129" s="4"/>
    </row>
    <row r="130" spans="1:12">
      <c r="A130" s="4" t="s">
        <v>2881</v>
      </c>
      <c r="B130" s="4"/>
      <c r="C130" s="4"/>
      <c r="D130" s="4"/>
      <c r="E130" s="4"/>
      <c r="F130" s="4" t="s">
        <v>2882</v>
      </c>
      <c r="G130" s="4"/>
      <c r="H130" s="4"/>
      <c r="I130" s="4"/>
      <c r="J130" s="4"/>
      <c r="K130" s="4"/>
      <c r="L130" s="4"/>
    </row>
  </sheetData>
  <phoneticPr fontId="0" type="noConversion"/>
  <printOptions horizontalCentered="1" verticalCentered="1"/>
  <pageMargins left="0.4" right="0.4" top="0.3" bottom="0.3" header="0" footer="0"/>
  <pageSetup scale="71" fitToWidth="2" fitToHeight="2" pageOrder="overThenDown" orientation="portrait" r:id="rId1"/>
  <headerFooter alignWithMargins="0"/>
  <rowBreaks count="1" manualBreakCount="1">
    <brk id="66" max="16383" man="1"/>
  </rowBreaks>
  <colBreaks count="1" manualBreakCount="1">
    <brk id="5"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ransitionEvaluation="1" codeName="Sheet70">
    <pageSetUpPr fitToPage="1"/>
  </sheetPr>
  <dimension ref="A1:H70"/>
  <sheetViews>
    <sheetView defaultGridColor="0" colorId="22" zoomScaleNormal="100" workbookViewId="0">
      <selection activeCell="L23" sqref="L23"/>
    </sheetView>
  </sheetViews>
  <sheetFormatPr defaultColWidth="9.77734375" defaultRowHeight="15"/>
  <cols>
    <col min="1" max="1" width="4.77734375" customWidth="1"/>
    <col min="2" max="2" width="43.77734375" customWidth="1"/>
    <col min="3" max="3" width="5.77734375" customWidth="1"/>
    <col min="4" max="6" width="16.77734375" customWidth="1"/>
    <col min="7" max="7" width="13.5546875" style="1592" bestFit="1" customWidth="1"/>
    <col min="8" max="8" width="12.88671875" bestFit="1" customWidth="1"/>
  </cols>
  <sheetData>
    <row r="1" spans="1:7" ht="15.75" thickBot="1">
      <c r="A1" t="str">
        <f>'Data sheet'!A63</f>
        <v>Annual Report of Veolia Water New York, Inc.                                                                             Year Ended  December 31, 2023</v>
      </c>
    </row>
    <row r="2" spans="1:7">
      <c r="A2" s="80"/>
      <c r="B2" s="81"/>
      <c r="C2" s="81"/>
      <c r="D2" s="81"/>
      <c r="E2" s="81"/>
      <c r="F2" s="82"/>
      <c r="G2" s="1971"/>
    </row>
    <row r="3" spans="1:7" ht="15.75">
      <c r="A3" s="310" t="s">
        <v>2883</v>
      </c>
      <c r="B3" s="311"/>
      <c r="C3" s="121"/>
      <c r="D3" s="121"/>
      <c r="E3" s="121"/>
      <c r="F3" s="122"/>
    </row>
    <row r="4" spans="1:7" ht="15.75">
      <c r="A4" s="158"/>
      <c r="B4" s="265"/>
      <c r="C4" s="4"/>
      <c r="D4" s="4"/>
      <c r="E4" s="4"/>
      <c r="F4" s="854"/>
    </row>
    <row r="5" spans="1:7">
      <c r="A5" s="83" t="s">
        <v>1234</v>
      </c>
      <c r="D5" t="s">
        <v>4258</v>
      </c>
      <c r="F5" s="214"/>
    </row>
    <row r="6" spans="1:7">
      <c r="A6" s="83" t="s">
        <v>4259</v>
      </c>
      <c r="D6" t="s">
        <v>4260</v>
      </c>
      <c r="F6" s="214"/>
    </row>
    <row r="7" spans="1:7">
      <c r="A7" s="83" t="s">
        <v>1027</v>
      </c>
      <c r="D7" t="s">
        <v>1028</v>
      </c>
      <c r="F7" s="214"/>
    </row>
    <row r="8" spans="1:7">
      <c r="A8" s="83" t="s">
        <v>1029</v>
      </c>
      <c r="D8" t="s">
        <v>1030</v>
      </c>
      <c r="F8" s="214"/>
    </row>
    <row r="9" spans="1:7">
      <c r="A9" s="83"/>
      <c r="F9" s="214"/>
    </row>
    <row r="10" spans="1:7">
      <c r="A10" s="580"/>
      <c r="B10" s="855"/>
      <c r="C10" s="856"/>
      <c r="D10" s="856"/>
      <c r="E10" s="856" t="s">
        <v>1031</v>
      </c>
      <c r="F10" s="857"/>
    </row>
    <row r="11" spans="1:7">
      <c r="A11" s="479" t="s">
        <v>1727</v>
      </c>
      <c r="B11" s="4" t="s">
        <v>2993</v>
      </c>
      <c r="C11" s="858"/>
      <c r="D11" s="726" t="s">
        <v>1032</v>
      </c>
      <c r="E11" s="726" t="s">
        <v>1033</v>
      </c>
      <c r="F11" s="727" t="s">
        <v>1738</v>
      </c>
    </row>
    <row r="12" spans="1:7">
      <c r="A12" s="479" t="s">
        <v>1739</v>
      </c>
      <c r="B12" s="859"/>
      <c r="C12" s="227"/>
      <c r="D12" s="726" t="s">
        <v>1034</v>
      </c>
      <c r="E12" s="726" t="s">
        <v>2362</v>
      </c>
      <c r="F12" s="727"/>
    </row>
    <row r="13" spans="1:7">
      <c r="A13" s="567"/>
      <c r="B13" s="121" t="s">
        <v>3279</v>
      </c>
      <c r="C13" s="860"/>
      <c r="D13" s="861" t="s">
        <v>3280</v>
      </c>
      <c r="E13" s="861" t="s">
        <v>3281</v>
      </c>
      <c r="F13" s="823" t="s">
        <v>3282</v>
      </c>
    </row>
    <row r="14" spans="1:7">
      <c r="A14" s="862">
        <v>1</v>
      </c>
      <c r="B14" s="863" t="s">
        <v>218</v>
      </c>
      <c r="C14" s="864"/>
      <c r="D14" s="865"/>
      <c r="E14" s="866"/>
      <c r="F14" s="867"/>
    </row>
    <row r="15" spans="1:7">
      <c r="A15" s="567">
        <v>2</v>
      </c>
      <c r="B15" s="224" t="s">
        <v>852</v>
      </c>
      <c r="C15" s="228"/>
      <c r="D15" s="2099"/>
      <c r="E15" s="2100"/>
      <c r="F15" s="505"/>
    </row>
    <row r="16" spans="1:7">
      <c r="A16" s="567">
        <v>3</v>
      </c>
      <c r="B16" s="224" t="s">
        <v>853</v>
      </c>
      <c r="C16" s="228"/>
      <c r="D16" s="1271">
        <v>228447</v>
      </c>
      <c r="E16" s="2101"/>
      <c r="F16" s="505"/>
    </row>
    <row r="17" spans="1:8">
      <c r="A17" s="567">
        <v>4</v>
      </c>
      <c r="B17" s="224" t="s">
        <v>854</v>
      </c>
      <c r="C17" s="228"/>
      <c r="D17" s="1271">
        <v>970622</v>
      </c>
      <c r="E17" s="2101"/>
      <c r="F17" s="505"/>
    </row>
    <row r="18" spans="1:8">
      <c r="A18" s="567">
        <v>5</v>
      </c>
      <c r="B18" s="224" t="s">
        <v>1659</v>
      </c>
      <c r="C18" s="228"/>
      <c r="D18" s="1271">
        <v>1627700</v>
      </c>
      <c r="E18" s="2101"/>
      <c r="F18" s="505"/>
      <c r="G18" s="1574"/>
      <c r="H18" s="1940"/>
    </row>
    <row r="19" spans="1:8">
      <c r="A19" s="567">
        <v>6</v>
      </c>
      <c r="B19" s="224" t="s">
        <v>1660</v>
      </c>
      <c r="C19" s="228"/>
      <c r="D19" s="1271">
        <v>714240</v>
      </c>
      <c r="E19" s="2101"/>
      <c r="F19" s="505"/>
      <c r="G19" s="1574"/>
      <c r="H19" s="1940"/>
    </row>
    <row r="20" spans="1:8">
      <c r="A20" s="567">
        <v>7</v>
      </c>
      <c r="B20" s="224" t="s">
        <v>1661</v>
      </c>
      <c r="C20" s="228"/>
      <c r="D20" s="1271">
        <v>1365730</v>
      </c>
      <c r="E20" s="2101"/>
      <c r="F20" s="505"/>
    </row>
    <row r="21" spans="1:8">
      <c r="A21" s="567">
        <v>8</v>
      </c>
      <c r="B21" s="224" t="s">
        <v>1662</v>
      </c>
      <c r="C21" s="228"/>
      <c r="D21" s="1271">
        <v>37729</v>
      </c>
      <c r="E21" s="2101"/>
      <c r="F21" s="505"/>
    </row>
    <row r="22" spans="1:8">
      <c r="A22" s="567">
        <v>9</v>
      </c>
      <c r="B22" s="224" t="s">
        <v>1663</v>
      </c>
      <c r="C22" s="228"/>
      <c r="D22" s="1271">
        <v>1249351</v>
      </c>
      <c r="E22" s="2101"/>
      <c r="F22" s="505"/>
    </row>
    <row r="23" spans="1:8">
      <c r="A23" s="567">
        <v>10</v>
      </c>
      <c r="B23" s="224" t="s">
        <v>3779</v>
      </c>
      <c r="C23" s="228"/>
      <c r="D23" s="1271">
        <f>SUM(D16:D22)</f>
        <v>6193819</v>
      </c>
      <c r="E23" s="2101"/>
      <c r="F23" s="505"/>
    </row>
    <row r="24" spans="1:8">
      <c r="A24" s="567">
        <v>11</v>
      </c>
      <c r="B24" s="224" t="s">
        <v>3780</v>
      </c>
      <c r="C24" s="228"/>
      <c r="D24" s="374"/>
      <c r="E24" s="2100"/>
      <c r="F24" s="505"/>
    </row>
    <row r="25" spans="1:8">
      <c r="A25" s="567">
        <v>12</v>
      </c>
      <c r="B25" s="224" t="s">
        <v>853</v>
      </c>
      <c r="C25" s="228"/>
      <c r="D25" s="1271">
        <v>415185</v>
      </c>
      <c r="E25" s="2101"/>
      <c r="F25" s="505"/>
    </row>
    <row r="26" spans="1:8">
      <c r="A26" s="567">
        <v>13</v>
      </c>
      <c r="B26" s="224" t="s">
        <v>854</v>
      </c>
      <c r="C26" s="228"/>
      <c r="D26" s="1271">
        <v>317347</v>
      </c>
      <c r="E26" s="2101"/>
      <c r="F26" s="505"/>
    </row>
    <row r="27" spans="1:8">
      <c r="A27" s="567">
        <v>14</v>
      </c>
      <c r="B27" s="224" t="s">
        <v>1659</v>
      </c>
      <c r="C27" s="228"/>
      <c r="D27" s="1271">
        <v>120750</v>
      </c>
      <c r="E27" s="2101"/>
      <c r="F27" s="505"/>
    </row>
    <row r="28" spans="1:8">
      <c r="A28" s="567">
        <v>15</v>
      </c>
      <c r="B28" s="224" t="s">
        <v>1660</v>
      </c>
      <c r="C28" s="228"/>
      <c r="D28" s="1271">
        <v>1521964</v>
      </c>
      <c r="E28" s="2101"/>
      <c r="F28" s="505"/>
    </row>
    <row r="29" spans="1:8">
      <c r="A29" s="567">
        <v>16</v>
      </c>
      <c r="B29" s="224" t="s">
        <v>1663</v>
      </c>
      <c r="C29" s="228"/>
      <c r="D29" s="1271">
        <v>33978</v>
      </c>
      <c r="E29" s="2101"/>
      <c r="F29" s="505"/>
    </row>
    <row r="30" spans="1:8">
      <c r="A30" s="567">
        <v>17</v>
      </c>
      <c r="B30" s="224" t="s">
        <v>3781</v>
      </c>
      <c r="C30" s="228"/>
      <c r="D30" s="2102">
        <f>SUM(D25:D29)</f>
        <v>2409224</v>
      </c>
      <c r="E30" s="2101"/>
      <c r="F30" s="505"/>
    </row>
    <row r="31" spans="1:8">
      <c r="A31" s="567">
        <v>18</v>
      </c>
      <c r="B31" s="224" t="s">
        <v>3716</v>
      </c>
      <c r="C31" s="228"/>
      <c r="D31" s="374"/>
      <c r="E31" s="2100"/>
      <c r="F31" s="505"/>
    </row>
    <row r="32" spans="1:8">
      <c r="A32" s="567">
        <v>19</v>
      </c>
      <c r="B32" s="224" t="s">
        <v>853</v>
      </c>
      <c r="C32" s="228"/>
      <c r="D32" s="2102">
        <f>+D16+D25</f>
        <v>643632</v>
      </c>
      <c r="E32" s="2101"/>
      <c r="F32" s="505"/>
    </row>
    <row r="33" spans="1:7">
      <c r="A33" s="567">
        <v>20</v>
      </c>
      <c r="B33" s="224" t="s">
        <v>854</v>
      </c>
      <c r="C33" s="228"/>
      <c r="D33" s="2102">
        <f>+D17+D26</f>
        <v>1287969</v>
      </c>
      <c r="E33" s="2101"/>
      <c r="F33" s="505"/>
    </row>
    <row r="34" spans="1:7">
      <c r="A34" s="567">
        <v>21</v>
      </c>
      <c r="B34" s="224" t="s">
        <v>1659</v>
      </c>
      <c r="C34" s="228"/>
      <c r="D34" s="2102">
        <f>+D18+D27</f>
        <v>1748450</v>
      </c>
      <c r="E34" s="2101"/>
      <c r="F34" s="505"/>
    </row>
    <row r="35" spans="1:7">
      <c r="A35" s="567">
        <v>22</v>
      </c>
      <c r="B35" s="224" t="s">
        <v>1660</v>
      </c>
      <c r="C35" s="228"/>
      <c r="D35" s="2102">
        <f>+D19+D28</f>
        <v>2236204</v>
      </c>
      <c r="E35" s="2101"/>
      <c r="F35" s="505"/>
    </row>
    <row r="36" spans="1:7">
      <c r="A36" s="567">
        <v>23</v>
      </c>
      <c r="B36" s="224" t="s">
        <v>1661</v>
      </c>
      <c r="C36" s="228"/>
      <c r="D36" s="2102">
        <f>+D20</f>
        <v>1365730</v>
      </c>
      <c r="E36" s="2101"/>
      <c r="F36" s="505"/>
    </row>
    <row r="37" spans="1:7">
      <c r="A37" s="567">
        <v>24</v>
      </c>
      <c r="B37" s="224" t="s">
        <v>1662</v>
      </c>
      <c r="C37" s="228"/>
      <c r="D37" s="2102">
        <f>+D21</f>
        <v>37729</v>
      </c>
      <c r="E37" s="2101"/>
      <c r="F37" s="505"/>
    </row>
    <row r="38" spans="1:7">
      <c r="A38" s="567">
        <v>25</v>
      </c>
      <c r="B38" s="224" t="s">
        <v>1663</v>
      </c>
      <c r="C38" s="228"/>
      <c r="D38" s="2102">
        <f>+D22+D29</f>
        <v>1283329</v>
      </c>
      <c r="E38" s="2099"/>
      <c r="F38" s="2103"/>
    </row>
    <row r="39" spans="1:7">
      <c r="A39" s="567">
        <v>26</v>
      </c>
      <c r="B39" s="224" t="s">
        <v>3717</v>
      </c>
      <c r="C39" s="228"/>
      <c r="D39" s="2102">
        <f>SUM(D32:D38)</f>
        <v>8603043</v>
      </c>
      <c r="E39" s="2104"/>
      <c r="F39" s="423">
        <f>D39+E39</f>
        <v>8603043</v>
      </c>
    </row>
    <row r="40" spans="1:7">
      <c r="A40" s="567">
        <v>27</v>
      </c>
      <c r="B40" s="600" t="s">
        <v>1629</v>
      </c>
      <c r="C40" s="227"/>
      <c r="D40" s="508"/>
      <c r="E40" s="508"/>
      <c r="F40" s="442"/>
    </row>
    <row r="41" spans="1:7">
      <c r="A41" s="567">
        <v>28</v>
      </c>
      <c r="B41" s="563" t="s">
        <v>3718</v>
      </c>
      <c r="C41" s="864"/>
      <c r="D41" s="371"/>
      <c r="E41" s="395"/>
      <c r="F41" s="393"/>
    </row>
    <row r="42" spans="1:7">
      <c r="A42" s="567">
        <v>29</v>
      </c>
      <c r="B42" s="224" t="s">
        <v>3719</v>
      </c>
      <c r="C42" s="228"/>
      <c r="D42" s="2102">
        <v>5586820.1100000003</v>
      </c>
      <c r="E42" s="2102">
        <v>0</v>
      </c>
      <c r="F42" s="423">
        <f>D42+E42</f>
        <v>5586820.1100000003</v>
      </c>
      <c r="G42" s="1574"/>
    </row>
    <row r="43" spans="1:7">
      <c r="A43" s="567">
        <v>30</v>
      </c>
      <c r="B43" s="224" t="s">
        <v>3720</v>
      </c>
      <c r="C43" s="228"/>
      <c r="D43" s="2104"/>
      <c r="E43" s="2104"/>
      <c r="F43" s="423">
        <f>D43+E43</f>
        <v>0</v>
      </c>
      <c r="G43" s="1574"/>
    </row>
    <row r="44" spans="1:7">
      <c r="A44" s="567">
        <v>31</v>
      </c>
      <c r="B44" s="224" t="s">
        <v>3721</v>
      </c>
      <c r="C44" s="228"/>
      <c r="D44" s="2102">
        <f>SUM(D42:D43)</f>
        <v>5586820.1100000003</v>
      </c>
      <c r="E44" s="2102">
        <f>SUM(E42:E43)</f>
        <v>0</v>
      </c>
      <c r="F44" s="423">
        <f>SUM(F42:F43)</f>
        <v>5586820.1100000003</v>
      </c>
      <c r="G44" s="1574"/>
    </row>
    <row r="45" spans="1:7">
      <c r="A45" s="567">
        <v>32</v>
      </c>
      <c r="B45" s="224" t="s">
        <v>3722</v>
      </c>
      <c r="C45" s="228"/>
      <c r="D45" s="371"/>
      <c r="E45" s="395"/>
      <c r="F45" s="393"/>
      <c r="G45" s="1574"/>
    </row>
    <row r="46" spans="1:7">
      <c r="A46" s="567">
        <v>33</v>
      </c>
      <c r="B46" s="224" t="s">
        <v>3719</v>
      </c>
      <c r="C46" s="228"/>
      <c r="D46" s="2102">
        <v>374413.03</v>
      </c>
      <c r="E46" s="2102"/>
      <c r="F46" s="423">
        <f>D46+E46</f>
        <v>374413.03</v>
      </c>
      <c r="G46" s="1574"/>
    </row>
    <row r="47" spans="1:7">
      <c r="A47" s="567">
        <v>34</v>
      </c>
      <c r="B47" s="224" t="s">
        <v>3720</v>
      </c>
      <c r="C47" s="228"/>
      <c r="D47" s="2104">
        <v>1</v>
      </c>
      <c r="E47" s="2104"/>
      <c r="F47" s="423">
        <f>D47+E47</f>
        <v>1</v>
      </c>
      <c r="G47" s="1574"/>
    </row>
    <row r="48" spans="1:7">
      <c r="A48" s="567"/>
      <c r="B48" s="224"/>
      <c r="C48" s="228"/>
      <c r="D48" s="2105"/>
      <c r="E48" s="2105"/>
      <c r="F48" s="391"/>
      <c r="G48" s="1574"/>
    </row>
    <row r="49" spans="1:7">
      <c r="A49" s="567">
        <v>35</v>
      </c>
      <c r="B49" s="224" t="s">
        <v>3723</v>
      </c>
      <c r="C49" s="228"/>
      <c r="D49" s="2102">
        <f>SUM(D46:D47)</f>
        <v>374414.03</v>
      </c>
      <c r="E49" s="2102">
        <f>SUM(E46:E47)</f>
        <v>0</v>
      </c>
      <c r="F49" s="423">
        <f>SUM(F46:F47)</f>
        <v>374414.03</v>
      </c>
      <c r="G49" s="1574"/>
    </row>
    <row r="50" spans="1:7">
      <c r="A50" s="567">
        <v>36</v>
      </c>
      <c r="B50" s="224"/>
      <c r="C50" s="228"/>
      <c r="D50" s="2211"/>
      <c r="E50" s="506"/>
      <c r="F50" s="391">
        <f>D50+E50</f>
        <v>0</v>
      </c>
      <c r="G50" s="1574"/>
    </row>
    <row r="51" spans="1:7">
      <c r="A51" s="567">
        <v>37</v>
      </c>
      <c r="B51" s="86" t="s">
        <v>5297</v>
      </c>
      <c r="C51" s="227"/>
      <c r="D51" s="382">
        <v>771142</v>
      </c>
      <c r="E51" s="382"/>
      <c r="F51" s="391">
        <f>D51+E51</f>
        <v>771142</v>
      </c>
      <c r="G51" s="1574"/>
    </row>
    <row r="52" spans="1:7" ht="15.75" thickBot="1">
      <c r="A52" s="583">
        <v>38</v>
      </c>
      <c r="B52" s="591" t="s">
        <v>3724</v>
      </c>
      <c r="C52" s="869"/>
      <c r="D52" s="722">
        <f>D39+D44+D49+D50+D51</f>
        <v>15335419.139999999</v>
      </c>
      <c r="E52" s="722">
        <f>E39+E44+E49+E50+E51</f>
        <v>0</v>
      </c>
      <c r="F52" s="2106">
        <f>F39+F44+F49+F50+F51</f>
        <v>15335419.139999999</v>
      </c>
      <c r="G52" s="1574"/>
    </row>
    <row r="53" spans="1:7">
      <c r="A53" s="177" t="s">
        <v>2024</v>
      </c>
      <c r="G53" s="1940"/>
    </row>
    <row r="54" spans="1:7">
      <c r="A54" s="4" t="s">
        <v>3725</v>
      </c>
      <c r="B54" s="4"/>
      <c r="C54" s="4"/>
      <c r="D54" s="734"/>
      <c r="E54" s="734"/>
      <c r="F54" s="734"/>
      <c r="G54" s="734"/>
    </row>
    <row r="55" spans="1:7">
      <c r="A55" s="4"/>
      <c r="B55" s="4"/>
      <c r="C55" s="4"/>
      <c r="D55" s="4"/>
      <c r="E55" s="4"/>
      <c r="F55" s="4"/>
      <c r="G55" s="4"/>
    </row>
    <row r="56" spans="1:7">
      <c r="A56" s="4"/>
      <c r="B56" s="4"/>
      <c r="C56" s="4"/>
      <c r="D56" s="4"/>
      <c r="E56" s="4"/>
      <c r="F56" s="4"/>
    </row>
    <row r="57" spans="1:7">
      <c r="D57" s="4"/>
      <c r="F57" s="4"/>
    </row>
    <row r="58" spans="1:7">
      <c r="D58" s="4"/>
      <c r="F58" s="4"/>
    </row>
    <row r="59" spans="1:7">
      <c r="D59" s="4"/>
    </row>
    <row r="60" spans="1:7">
      <c r="D60" s="4"/>
    </row>
    <row r="61" spans="1:7">
      <c r="D61" s="4"/>
    </row>
    <row r="62" spans="1:7">
      <c r="A62" s="600"/>
      <c r="D62" s="4"/>
    </row>
    <row r="63" spans="1:7">
      <c r="D63" s="4"/>
    </row>
    <row r="64" spans="1:7">
      <c r="D64" s="4"/>
    </row>
    <row r="65" spans="4:4">
      <c r="D65" s="4"/>
    </row>
    <row r="66" spans="4:4">
      <c r="D66" s="4"/>
    </row>
    <row r="67" spans="4:4">
      <c r="D67" s="4"/>
    </row>
    <row r="68" spans="4:4">
      <c r="D68" s="4"/>
    </row>
    <row r="69" spans="4:4">
      <c r="D69" s="4"/>
    </row>
    <row r="70" spans="4:4">
      <c r="D70" s="4"/>
    </row>
  </sheetData>
  <phoneticPr fontId="0" type="noConversion"/>
  <printOptions horizontalCentered="1" verticalCentered="1"/>
  <pageMargins left="0.4" right="0.4" top="0.3" bottom="0.3" header="0" footer="0"/>
  <pageSetup scale="78"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ransitionEvaluation="1" codeName="Sheet71"/>
  <dimension ref="A1:H324"/>
  <sheetViews>
    <sheetView defaultGridColor="0" colorId="22" zoomScaleNormal="100" workbookViewId="0">
      <selection activeCell="A35" sqref="A35"/>
    </sheetView>
  </sheetViews>
  <sheetFormatPr defaultColWidth="9.77734375" defaultRowHeight="15"/>
  <cols>
    <col min="1" max="1" width="4.77734375" customWidth="1"/>
    <col min="2" max="2" width="45.5546875" customWidth="1"/>
    <col min="3" max="3" width="40" customWidth="1"/>
    <col min="4" max="4" width="14" bestFit="1" customWidth="1"/>
    <col min="5" max="5" width="11.88671875" bestFit="1" customWidth="1"/>
    <col min="7" max="7" width="4.44140625" bestFit="1" customWidth="1"/>
    <col min="8" max="8" width="15.21875" bestFit="1" customWidth="1"/>
    <col min="9" max="9" width="10.109375" bestFit="1" customWidth="1"/>
    <col min="10" max="10" width="11.109375" bestFit="1" customWidth="1"/>
  </cols>
  <sheetData>
    <row r="1" spans="1:5" ht="15.75" thickBot="1">
      <c r="A1" s="86" t="str">
        <f>'Data sheet'!A63</f>
        <v>Annual Report of Veolia Water New York, Inc.                                                                             Year Ended  December 31, 2023</v>
      </c>
      <c r="B1" s="86"/>
      <c r="C1" s="86"/>
      <c r="D1" s="86"/>
      <c r="E1" s="86"/>
    </row>
    <row r="2" spans="1:5">
      <c r="A2" s="129"/>
      <c r="B2" s="130"/>
      <c r="C2" s="130"/>
      <c r="D2" s="130"/>
      <c r="E2" s="131"/>
    </row>
    <row r="3" spans="1:5" ht="15.75">
      <c r="A3" s="118" t="s">
        <v>3726</v>
      </c>
      <c r="B3" s="3"/>
      <c r="C3" s="3"/>
      <c r="D3" s="3"/>
      <c r="E3" s="84"/>
    </row>
    <row r="4" spans="1:5">
      <c r="A4" s="85"/>
      <c r="B4" s="86"/>
      <c r="C4" s="86"/>
      <c r="D4" s="86"/>
      <c r="E4" s="87"/>
    </row>
    <row r="5" spans="1:5">
      <c r="A5" s="110" t="s">
        <v>284</v>
      </c>
      <c r="B5" s="1127" t="s">
        <v>54</v>
      </c>
      <c r="C5" s="86"/>
      <c r="D5" s="86"/>
      <c r="E5" s="428"/>
    </row>
    <row r="6" spans="1:5">
      <c r="A6" s="85"/>
      <c r="B6" s="1127" t="s">
        <v>309</v>
      </c>
      <c r="C6" s="86"/>
      <c r="D6" s="86"/>
      <c r="E6" s="87"/>
    </row>
    <row r="7" spans="1:5">
      <c r="A7" s="85"/>
      <c r="B7" s="1127" t="s">
        <v>2441</v>
      </c>
      <c r="C7" s="86"/>
      <c r="D7" s="86"/>
      <c r="E7" s="87"/>
    </row>
    <row r="8" spans="1:5">
      <c r="A8" s="85"/>
      <c r="B8" s="1127" t="s">
        <v>2789</v>
      </c>
      <c r="C8" s="86"/>
      <c r="D8" s="86"/>
      <c r="E8" s="87"/>
    </row>
    <row r="9" spans="1:5">
      <c r="A9" s="85"/>
      <c r="B9" s="1127" t="s">
        <v>2790</v>
      </c>
      <c r="C9" s="86"/>
      <c r="D9" s="86"/>
      <c r="E9" s="87"/>
    </row>
    <row r="10" spans="1:5">
      <c r="A10" s="85"/>
      <c r="B10" s="1127" t="s">
        <v>2325</v>
      </c>
      <c r="C10" s="86"/>
      <c r="D10" s="86"/>
      <c r="E10" s="87"/>
    </row>
    <row r="11" spans="1:5">
      <c r="A11" s="85"/>
      <c r="B11" s="1127" t="s">
        <v>2326</v>
      </c>
      <c r="C11" s="86"/>
      <c r="D11" s="86"/>
      <c r="E11" s="87"/>
    </row>
    <row r="12" spans="1:5">
      <c r="A12" s="85"/>
      <c r="B12" s="359" t="s">
        <v>2327</v>
      </c>
      <c r="C12" s="86"/>
      <c r="D12" s="86"/>
      <c r="E12" s="87"/>
    </row>
    <row r="13" spans="1:5">
      <c r="A13" s="85"/>
      <c r="B13" s="359" t="s">
        <v>2328</v>
      </c>
      <c r="C13" s="86"/>
      <c r="D13" s="86"/>
      <c r="E13" s="87"/>
    </row>
    <row r="14" spans="1:5">
      <c r="A14" s="85"/>
      <c r="B14" s="359" t="s">
        <v>3993</v>
      </c>
      <c r="C14" s="86"/>
      <c r="D14" s="86"/>
      <c r="E14" s="87"/>
    </row>
    <row r="15" spans="1:5">
      <c r="A15" s="85"/>
      <c r="B15" s="359" t="s">
        <v>2330</v>
      </c>
      <c r="C15" s="86"/>
      <c r="D15" s="86"/>
      <c r="E15" s="87"/>
    </row>
    <row r="16" spans="1:5">
      <c r="A16" s="85"/>
      <c r="B16" s="359"/>
      <c r="C16" s="86"/>
      <c r="D16" s="86"/>
      <c r="E16" s="87"/>
    </row>
    <row r="17" spans="1:8">
      <c r="A17" s="110" t="s">
        <v>1687</v>
      </c>
      <c r="B17" s="359" t="s">
        <v>2331</v>
      </c>
      <c r="C17" s="86"/>
      <c r="D17" s="86"/>
      <c r="E17" s="428"/>
    </row>
    <row r="18" spans="1:8">
      <c r="A18" s="85"/>
      <c r="B18" s="86"/>
      <c r="C18" s="86"/>
      <c r="D18" s="86"/>
      <c r="E18" s="87"/>
    </row>
    <row r="19" spans="1:8" ht="15.75" thickBot="1">
      <c r="A19" s="85"/>
      <c r="B19" s="86"/>
      <c r="C19" s="86"/>
      <c r="D19" s="86"/>
      <c r="E19" s="87"/>
    </row>
    <row r="20" spans="1:8">
      <c r="A20" s="1258" t="s">
        <v>1727</v>
      </c>
      <c r="B20" s="1078"/>
      <c r="C20" s="1078"/>
      <c r="D20" s="1078"/>
      <c r="E20" s="417"/>
    </row>
    <row r="21" spans="1:8" ht="15.75" thickBot="1">
      <c r="A21" s="443" t="s">
        <v>1739</v>
      </c>
      <c r="B21" s="1079" t="s">
        <v>2332</v>
      </c>
      <c r="C21" s="1079" t="s">
        <v>2333</v>
      </c>
      <c r="D21" s="1079" t="s">
        <v>2334</v>
      </c>
      <c r="E21" s="439" t="s">
        <v>2335</v>
      </c>
    </row>
    <row r="22" spans="1:8">
      <c r="A22" s="237">
        <v>1</v>
      </c>
      <c r="B22" s="2666" t="s">
        <v>4804</v>
      </c>
      <c r="C22" s="1078" t="s">
        <v>5107</v>
      </c>
      <c r="D22" s="96" t="s">
        <v>4520</v>
      </c>
      <c r="E22" s="2667">
        <v>53216.039999999994</v>
      </c>
      <c r="H22" s="1594"/>
    </row>
    <row r="23" spans="1:8">
      <c r="A23" s="237">
        <v>2</v>
      </c>
      <c r="B23" s="2666" t="s">
        <v>5092</v>
      </c>
      <c r="C23" s="96" t="s">
        <v>5405</v>
      </c>
      <c r="D23" s="96" t="s">
        <v>4520</v>
      </c>
      <c r="E23" s="1261">
        <v>344433.4</v>
      </c>
      <c r="H23" s="1594"/>
    </row>
    <row r="24" spans="1:8">
      <c r="A24" s="237">
        <v>3</v>
      </c>
      <c r="B24" s="2666" t="s">
        <v>5221</v>
      </c>
      <c r="C24" s="96" t="s">
        <v>4877</v>
      </c>
      <c r="D24" s="96" t="s">
        <v>4520</v>
      </c>
      <c r="E24" s="1261">
        <v>17331.57</v>
      </c>
      <c r="H24" s="1594"/>
    </row>
    <row r="25" spans="1:8">
      <c r="A25" s="237">
        <v>4</v>
      </c>
      <c r="B25" s="2666" t="s">
        <v>4874</v>
      </c>
      <c r="C25" s="96" t="s">
        <v>4875</v>
      </c>
      <c r="D25" s="96" t="s">
        <v>4520</v>
      </c>
      <c r="E25" s="1261">
        <v>84532.760000000009</v>
      </c>
      <c r="H25" s="1594"/>
    </row>
    <row r="26" spans="1:8">
      <c r="A26" s="237">
        <v>5</v>
      </c>
      <c r="B26" s="2666" t="s">
        <v>5094</v>
      </c>
      <c r="C26" s="96" t="s">
        <v>4873</v>
      </c>
      <c r="D26" s="96" t="s">
        <v>4520</v>
      </c>
      <c r="E26" s="1261">
        <v>312817.47999999992</v>
      </c>
      <c r="H26" s="1594"/>
    </row>
    <row r="27" spans="1:8">
      <c r="A27" s="237">
        <f>+A26+1</f>
        <v>6</v>
      </c>
      <c r="B27" s="2666" t="s">
        <v>5095</v>
      </c>
      <c r="C27" s="96" t="s">
        <v>4873</v>
      </c>
      <c r="D27" s="96" t="s">
        <v>4520</v>
      </c>
      <c r="E27" s="1261">
        <v>16280</v>
      </c>
      <c r="H27" s="1594"/>
    </row>
    <row r="28" spans="1:8">
      <c r="A28" s="237">
        <f>+A27+1</f>
        <v>7</v>
      </c>
      <c r="B28" s="2666" t="s">
        <v>5406</v>
      </c>
      <c r="C28" s="96" t="s">
        <v>4873</v>
      </c>
      <c r="D28" s="96" t="s">
        <v>4520</v>
      </c>
      <c r="E28" s="1261">
        <v>11268.54</v>
      </c>
      <c r="H28" s="1594"/>
    </row>
    <row r="29" spans="1:8">
      <c r="A29" s="237">
        <f t="shared" ref="A29:A34" si="0">+A28+1</f>
        <v>8</v>
      </c>
      <c r="B29" s="2666" t="s">
        <v>4876</v>
      </c>
      <c r="C29" s="96" t="s">
        <v>5222</v>
      </c>
      <c r="D29" s="96" t="s">
        <v>4520</v>
      </c>
      <c r="E29" s="1261">
        <v>54346</v>
      </c>
      <c r="H29" s="1594"/>
    </row>
    <row r="30" spans="1:8">
      <c r="A30" s="237">
        <f t="shared" si="0"/>
        <v>9</v>
      </c>
      <c r="B30" s="2666" t="s">
        <v>5223</v>
      </c>
      <c r="C30" s="96" t="s">
        <v>4877</v>
      </c>
      <c r="D30" s="96" t="s">
        <v>4520</v>
      </c>
      <c r="E30" s="1261">
        <v>153720</v>
      </c>
      <c r="H30" s="1594"/>
    </row>
    <row r="31" spans="1:8">
      <c r="A31" s="237">
        <f t="shared" si="0"/>
        <v>10</v>
      </c>
      <c r="B31" s="2666" t="s">
        <v>4878</v>
      </c>
      <c r="C31" s="96" t="s">
        <v>5222</v>
      </c>
      <c r="D31" s="96" t="s">
        <v>4520</v>
      </c>
      <c r="E31" s="1261">
        <v>261495.87999999998</v>
      </c>
      <c r="H31" s="1594"/>
    </row>
    <row r="32" spans="1:8">
      <c r="A32" s="237">
        <f t="shared" si="0"/>
        <v>11</v>
      </c>
      <c r="B32" s="2666" t="s">
        <v>5224</v>
      </c>
      <c r="C32" s="96" t="s">
        <v>4873</v>
      </c>
      <c r="D32" s="96" t="s">
        <v>4520</v>
      </c>
      <c r="E32" s="1261">
        <v>104659.62999999987</v>
      </c>
      <c r="H32" s="1594"/>
    </row>
    <row r="33" spans="1:8">
      <c r="A33" s="237">
        <f t="shared" si="0"/>
        <v>12</v>
      </c>
      <c r="B33" s="2666" t="s">
        <v>5096</v>
      </c>
      <c r="C33" s="96" t="s">
        <v>4872</v>
      </c>
      <c r="D33" s="96" t="s">
        <v>4520</v>
      </c>
      <c r="E33" s="1261">
        <v>86560.02</v>
      </c>
      <c r="H33" s="1594"/>
    </row>
    <row r="34" spans="1:8">
      <c r="A34" s="237">
        <f t="shared" si="0"/>
        <v>13</v>
      </c>
      <c r="B34" s="2666" t="s">
        <v>4733</v>
      </c>
      <c r="C34" s="96" t="s">
        <v>4873</v>
      </c>
      <c r="D34" s="96" t="s">
        <v>4520</v>
      </c>
      <c r="E34" s="1261">
        <v>1735434.2399999995</v>
      </c>
      <c r="H34" s="1594"/>
    </row>
    <row r="35" spans="1:8">
      <c r="A35" s="237">
        <f t="shared" ref="A35:A70" si="1">+A34+1</f>
        <v>14</v>
      </c>
      <c r="B35" s="2666" t="s">
        <v>4734</v>
      </c>
      <c r="C35" s="96" t="s">
        <v>4873</v>
      </c>
      <c r="D35" s="96" t="s">
        <v>4520</v>
      </c>
      <c r="E35" s="1261">
        <v>283719.56</v>
      </c>
      <c r="H35" s="1594"/>
    </row>
    <row r="36" spans="1:8">
      <c r="A36" s="237">
        <f t="shared" si="1"/>
        <v>15</v>
      </c>
      <c r="B36" s="2666" t="s">
        <v>5407</v>
      </c>
      <c r="C36" s="96" t="s">
        <v>5093</v>
      </c>
      <c r="D36" s="96" t="s">
        <v>4520</v>
      </c>
      <c r="E36" s="1261">
        <v>29175.59</v>
      </c>
      <c r="H36" s="1594"/>
    </row>
    <row r="37" spans="1:8">
      <c r="A37" s="237">
        <f t="shared" si="1"/>
        <v>16</v>
      </c>
      <c r="B37" s="2666" t="s">
        <v>5097</v>
      </c>
      <c r="C37" s="96" t="s">
        <v>4873</v>
      </c>
      <c r="D37" s="96" t="s">
        <v>4520</v>
      </c>
      <c r="E37" s="1261">
        <v>3939044.45</v>
      </c>
      <c r="H37" s="1594"/>
    </row>
    <row r="38" spans="1:8">
      <c r="A38" s="237">
        <f t="shared" si="1"/>
        <v>17</v>
      </c>
      <c r="B38" s="142" t="s">
        <v>4714</v>
      </c>
      <c r="C38" s="96" t="s">
        <v>4873</v>
      </c>
      <c r="D38" s="96" t="s">
        <v>4520</v>
      </c>
      <c r="E38" s="1261">
        <v>125162.84</v>
      </c>
      <c r="H38" s="1594"/>
    </row>
    <row r="39" spans="1:8">
      <c r="A39" s="237">
        <f t="shared" si="1"/>
        <v>18</v>
      </c>
      <c r="B39" s="2666" t="s">
        <v>4879</v>
      </c>
      <c r="C39" s="96" t="s">
        <v>4875</v>
      </c>
      <c r="D39" s="96" t="s">
        <v>4520</v>
      </c>
      <c r="E39" s="1261">
        <v>1246977.9700000004</v>
      </c>
      <c r="H39" s="1594"/>
    </row>
    <row r="40" spans="1:8">
      <c r="A40" s="237">
        <f t="shared" si="1"/>
        <v>19</v>
      </c>
      <c r="B40" s="2666" t="s">
        <v>4736</v>
      </c>
      <c r="C40" s="96" t="s">
        <v>4873</v>
      </c>
      <c r="D40" s="96" t="s">
        <v>4520</v>
      </c>
      <c r="E40" s="1261">
        <v>810760</v>
      </c>
      <c r="H40" s="1594"/>
    </row>
    <row r="41" spans="1:8">
      <c r="A41" s="237">
        <f t="shared" si="1"/>
        <v>20</v>
      </c>
      <c r="B41" s="2666" t="s">
        <v>4735</v>
      </c>
      <c r="C41" s="96" t="s">
        <v>4872</v>
      </c>
      <c r="D41" s="96" t="s">
        <v>4520</v>
      </c>
      <c r="E41" s="1261">
        <v>121047.66</v>
      </c>
      <c r="H41" s="1594"/>
    </row>
    <row r="42" spans="1:8">
      <c r="A42" s="237">
        <f t="shared" si="1"/>
        <v>21</v>
      </c>
      <c r="B42" s="2666" t="s">
        <v>4690</v>
      </c>
      <c r="C42" s="96" t="s">
        <v>4873</v>
      </c>
      <c r="D42" s="96" t="s">
        <v>4520</v>
      </c>
      <c r="E42" s="1261">
        <v>436622.89999999997</v>
      </c>
      <c r="H42" s="1594"/>
    </row>
    <row r="43" spans="1:8">
      <c r="A43" s="237">
        <f t="shared" si="1"/>
        <v>22</v>
      </c>
      <c r="B43" s="2666" t="s">
        <v>4739</v>
      </c>
      <c r="C43" s="96" t="s">
        <v>4880</v>
      </c>
      <c r="D43" s="96" t="s">
        <v>4520</v>
      </c>
      <c r="E43" s="1261">
        <v>133087.19999999998</v>
      </c>
      <c r="H43" s="1594"/>
    </row>
    <row r="44" spans="1:8">
      <c r="A44" s="237">
        <f t="shared" si="1"/>
        <v>23</v>
      </c>
      <c r="B44" s="2666" t="s">
        <v>5408</v>
      </c>
      <c r="C44" s="96" t="s">
        <v>4875</v>
      </c>
      <c r="D44" s="96" t="s">
        <v>4520</v>
      </c>
      <c r="E44" s="1261">
        <v>8560.1999999999989</v>
      </c>
      <c r="H44" s="1594"/>
    </row>
    <row r="45" spans="1:8">
      <c r="A45" s="237">
        <f t="shared" si="1"/>
        <v>24</v>
      </c>
      <c r="B45" s="2666" t="s">
        <v>5409</v>
      </c>
      <c r="C45" s="96" t="s">
        <v>4873</v>
      </c>
      <c r="D45" s="96" t="s">
        <v>4520</v>
      </c>
      <c r="E45" s="1261">
        <v>10488.4</v>
      </c>
      <c r="H45" s="1594"/>
    </row>
    <row r="46" spans="1:8">
      <c r="A46" s="237">
        <f t="shared" si="1"/>
        <v>25</v>
      </c>
      <c r="B46" s="2666" t="s">
        <v>5098</v>
      </c>
      <c r="C46" s="96" t="s">
        <v>4872</v>
      </c>
      <c r="D46" s="96" t="s">
        <v>4520</v>
      </c>
      <c r="E46" s="1261">
        <v>22041.37</v>
      </c>
      <c r="H46" s="1594"/>
    </row>
    <row r="47" spans="1:8">
      <c r="A47" s="237">
        <f t="shared" si="1"/>
        <v>26</v>
      </c>
      <c r="B47" s="2666" t="s">
        <v>5225</v>
      </c>
      <c r="C47" s="96" t="s">
        <v>4873</v>
      </c>
      <c r="D47" s="96" t="s">
        <v>4520</v>
      </c>
      <c r="E47" s="1261">
        <v>8500</v>
      </c>
      <c r="H47" s="1594"/>
    </row>
    <row r="48" spans="1:8">
      <c r="A48" s="237">
        <f t="shared" si="1"/>
        <v>27</v>
      </c>
      <c r="B48" s="2666" t="s">
        <v>5410</v>
      </c>
      <c r="C48" s="96" t="s">
        <v>4873</v>
      </c>
      <c r="D48" s="96" t="s">
        <v>4520</v>
      </c>
      <c r="E48" s="1261">
        <v>12756.689999999999</v>
      </c>
      <c r="H48" s="1594"/>
    </row>
    <row r="49" spans="1:8">
      <c r="A49" s="237">
        <f t="shared" si="1"/>
        <v>28</v>
      </c>
      <c r="B49" s="2666" t="s">
        <v>5411</v>
      </c>
      <c r="C49" s="96" t="s">
        <v>4873</v>
      </c>
      <c r="D49" s="96" t="s">
        <v>4520</v>
      </c>
      <c r="E49" s="1261">
        <v>23025</v>
      </c>
      <c r="H49" s="1594"/>
    </row>
    <row r="50" spans="1:8">
      <c r="A50" s="237">
        <f t="shared" si="1"/>
        <v>29</v>
      </c>
      <c r="B50" s="2666" t="s">
        <v>4881</v>
      </c>
      <c r="C50" s="96" t="s">
        <v>4873</v>
      </c>
      <c r="D50" s="96" t="s">
        <v>4520</v>
      </c>
      <c r="E50" s="1261">
        <v>21598.879999999997</v>
      </c>
      <c r="H50" s="1594"/>
    </row>
    <row r="51" spans="1:8">
      <c r="A51" s="237">
        <f t="shared" si="1"/>
        <v>30</v>
      </c>
      <c r="B51" s="2666" t="s">
        <v>5412</v>
      </c>
      <c r="C51" s="96" t="s">
        <v>4877</v>
      </c>
      <c r="D51" s="96" t="s">
        <v>4520</v>
      </c>
      <c r="E51" s="1261">
        <v>24104.28</v>
      </c>
      <c r="H51" s="1594"/>
    </row>
    <row r="52" spans="1:8">
      <c r="A52" s="237">
        <f t="shared" si="1"/>
        <v>31</v>
      </c>
      <c r="B52" s="2666" t="s">
        <v>5226</v>
      </c>
      <c r="C52" s="96" t="s">
        <v>4873</v>
      </c>
      <c r="D52" s="96" t="s">
        <v>4520</v>
      </c>
      <c r="E52" s="1261">
        <v>554840.02</v>
      </c>
      <c r="H52" s="1594"/>
    </row>
    <row r="53" spans="1:8">
      <c r="A53" s="237">
        <f t="shared" si="1"/>
        <v>32</v>
      </c>
      <c r="B53" s="2666" t="s">
        <v>5413</v>
      </c>
      <c r="C53" s="96" t="s">
        <v>4873</v>
      </c>
      <c r="D53" s="96" t="s">
        <v>4520</v>
      </c>
      <c r="E53" s="1261">
        <v>20750</v>
      </c>
      <c r="H53" s="1594"/>
    </row>
    <row r="54" spans="1:8">
      <c r="A54" s="237">
        <f t="shared" si="1"/>
        <v>33</v>
      </c>
      <c r="B54" s="2666" t="s">
        <v>4691</v>
      </c>
      <c r="C54" s="96" t="s">
        <v>4873</v>
      </c>
      <c r="D54" s="96" t="s">
        <v>4520</v>
      </c>
      <c r="E54" s="1261">
        <v>211753.95</v>
      </c>
      <c r="H54" s="1594"/>
    </row>
    <row r="55" spans="1:8">
      <c r="A55" s="237">
        <f t="shared" si="1"/>
        <v>34</v>
      </c>
      <c r="B55" s="2666" t="s">
        <v>4882</v>
      </c>
      <c r="C55" s="96" t="s">
        <v>4883</v>
      </c>
      <c r="D55" s="96" t="s">
        <v>4520</v>
      </c>
      <c r="E55" s="1261">
        <v>38760</v>
      </c>
      <c r="H55" s="1594"/>
    </row>
    <row r="56" spans="1:8">
      <c r="A56" s="237">
        <f t="shared" si="1"/>
        <v>35</v>
      </c>
      <c r="B56" s="2666" t="s">
        <v>4884</v>
      </c>
      <c r="C56" s="96" t="s">
        <v>4873</v>
      </c>
      <c r="D56" s="96" t="s">
        <v>4520</v>
      </c>
      <c r="E56" s="1261">
        <v>5858.73</v>
      </c>
      <c r="H56" s="1594"/>
    </row>
    <row r="57" spans="1:8">
      <c r="A57" s="237">
        <f t="shared" si="1"/>
        <v>36</v>
      </c>
      <c r="B57" s="2666" t="s">
        <v>5414</v>
      </c>
      <c r="C57" s="96" t="s">
        <v>4873</v>
      </c>
      <c r="D57" s="96" t="s">
        <v>4520</v>
      </c>
      <c r="E57" s="1261">
        <v>12250</v>
      </c>
      <c r="H57" s="1594"/>
    </row>
    <row r="58" spans="1:8">
      <c r="A58" s="237">
        <f t="shared" si="1"/>
        <v>37</v>
      </c>
      <c r="B58" s="2666" t="s">
        <v>5099</v>
      </c>
      <c r="C58" s="96" t="s">
        <v>4873</v>
      </c>
      <c r="D58" s="96" t="s">
        <v>4520</v>
      </c>
      <c r="E58" s="1261">
        <v>134580.04999999999</v>
      </c>
      <c r="H58" s="1594"/>
    </row>
    <row r="59" spans="1:8">
      <c r="A59" s="237">
        <f t="shared" si="1"/>
        <v>38</v>
      </c>
      <c r="B59" s="2666" t="s">
        <v>5100</v>
      </c>
      <c r="C59" s="96" t="s">
        <v>4873</v>
      </c>
      <c r="D59" s="96" t="s">
        <v>4520</v>
      </c>
      <c r="E59" s="1261">
        <v>35515.870000000003</v>
      </c>
      <c r="H59" s="1594"/>
    </row>
    <row r="60" spans="1:8">
      <c r="A60" s="237">
        <f t="shared" si="1"/>
        <v>39</v>
      </c>
      <c r="B60" s="2666" t="s">
        <v>5415</v>
      </c>
      <c r="C60" s="96" t="s">
        <v>4872</v>
      </c>
      <c r="D60" s="96" t="s">
        <v>4520</v>
      </c>
      <c r="E60" s="1261">
        <v>11648</v>
      </c>
      <c r="H60" s="1594"/>
    </row>
    <row r="61" spans="1:8">
      <c r="A61" s="237">
        <f>+A58+1</f>
        <v>38</v>
      </c>
      <c r="B61" s="2666" t="s">
        <v>4740</v>
      </c>
      <c r="C61" s="96" t="s">
        <v>4875</v>
      </c>
      <c r="D61" s="96" t="s">
        <v>4520</v>
      </c>
      <c r="E61" s="1261">
        <v>28914.759999999995</v>
      </c>
      <c r="H61" s="1594"/>
    </row>
    <row r="62" spans="1:8">
      <c r="A62" s="237">
        <f t="shared" si="1"/>
        <v>39</v>
      </c>
      <c r="B62" s="2666" t="s">
        <v>5101</v>
      </c>
      <c r="C62" s="96" t="s">
        <v>4872</v>
      </c>
      <c r="D62" s="96" t="s">
        <v>4520</v>
      </c>
      <c r="E62" s="1261">
        <v>176915</v>
      </c>
      <c r="H62" s="1594"/>
    </row>
    <row r="63" spans="1:8">
      <c r="A63" s="237">
        <f t="shared" si="1"/>
        <v>40</v>
      </c>
      <c r="B63" s="2666" t="s">
        <v>5102</v>
      </c>
      <c r="C63" s="96" t="s">
        <v>4872</v>
      </c>
      <c r="D63" s="96" t="s">
        <v>4520</v>
      </c>
      <c r="E63" s="1261">
        <v>13538.97</v>
      </c>
      <c r="H63" s="1594"/>
    </row>
    <row r="64" spans="1:8">
      <c r="A64" s="237">
        <f t="shared" si="1"/>
        <v>41</v>
      </c>
      <c r="B64" s="2666" t="s">
        <v>5227</v>
      </c>
      <c r="C64" s="96" t="s">
        <v>4872</v>
      </c>
      <c r="D64" s="96" t="s">
        <v>4520</v>
      </c>
      <c r="E64" s="1261">
        <v>70846.5</v>
      </c>
      <c r="H64" s="1594"/>
    </row>
    <row r="65" spans="1:8">
      <c r="A65" s="237">
        <f t="shared" si="1"/>
        <v>42</v>
      </c>
      <c r="B65" s="2666" t="s">
        <v>5228</v>
      </c>
      <c r="C65" s="96" t="s">
        <v>4873</v>
      </c>
      <c r="D65" s="96" t="s">
        <v>4520</v>
      </c>
      <c r="E65" s="1261">
        <v>364352.93999999989</v>
      </c>
      <c r="H65" s="1594"/>
    </row>
    <row r="66" spans="1:8">
      <c r="A66" s="237">
        <f t="shared" si="1"/>
        <v>43</v>
      </c>
      <c r="B66" s="2666" t="s">
        <v>5067</v>
      </c>
      <c r="C66" s="96" t="s">
        <v>5103</v>
      </c>
      <c r="D66" s="96" t="s">
        <v>4520</v>
      </c>
      <c r="E66" s="1261">
        <v>136666.66999999998</v>
      </c>
      <c r="H66" s="1594"/>
    </row>
    <row r="67" spans="1:8">
      <c r="A67" s="237">
        <f t="shared" si="1"/>
        <v>44</v>
      </c>
      <c r="B67" s="2666"/>
      <c r="C67" s="96"/>
      <c r="D67" s="96"/>
      <c r="E67" s="1261"/>
      <c r="H67" s="1594"/>
    </row>
    <row r="68" spans="1:8">
      <c r="A68" s="237">
        <f t="shared" si="1"/>
        <v>45</v>
      </c>
      <c r="B68" s="2666"/>
      <c r="C68" s="96"/>
      <c r="D68" s="96"/>
      <c r="E68" s="1261"/>
      <c r="H68" s="1594"/>
    </row>
    <row r="69" spans="1:8">
      <c r="A69" s="237">
        <f t="shared" si="1"/>
        <v>46</v>
      </c>
      <c r="B69" s="2666"/>
      <c r="C69" s="96"/>
      <c r="D69" s="96"/>
      <c r="E69" s="1261"/>
      <c r="H69" s="1594"/>
    </row>
    <row r="70" spans="1:8">
      <c r="A70" s="110">
        <f t="shared" si="1"/>
        <v>47</v>
      </c>
      <c r="B70" s="142"/>
      <c r="C70" s="96"/>
      <c r="D70" s="96"/>
      <c r="E70" s="1261"/>
      <c r="H70" s="1594"/>
    </row>
    <row r="71" spans="1:8" ht="15.75" thickBot="1">
      <c r="A71" s="437">
        <f>+A70+1</f>
        <v>48</v>
      </c>
      <c r="B71" s="2125" t="s">
        <v>4409</v>
      </c>
      <c r="C71" s="398"/>
      <c r="D71" s="2124"/>
      <c r="E71" s="2200">
        <f>SUM(E22:E70)</f>
        <v>12309960.009999998</v>
      </c>
      <c r="H71" s="1594"/>
    </row>
    <row r="72" spans="1:8">
      <c r="A72" s="86" t="s">
        <v>2024</v>
      </c>
      <c r="B72" s="86"/>
      <c r="C72" s="86"/>
      <c r="D72" s="86"/>
      <c r="E72" s="1772"/>
      <c r="H72" s="1594"/>
    </row>
    <row r="73" spans="1:8">
      <c r="A73" s="5" t="s">
        <v>2336</v>
      </c>
      <c r="B73" s="5"/>
      <c r="C73" s="5"/>
      <c r="D73" s="5"/>
      <c r="E73" s="1773"/>
      <c r="H73" s="1594"/>
    </row>
    <row r="74" spans="1:8">
      <c r="A74" s="5"/>
      <c r="B74" s="5"/>
      <c r="C74" s="5"/>
      <c r="D74" s="5"/>
      <c r="E74" s="5"/>
      <c r="H74" s="1594"/>
    </row>
    <row r="75" spans="1:8" ht="15.75" thickBot="1">
      <c r="A75" s="86" t="str">
        <f>'Data sheet'!A63</f>
        <v>Annual Report of Veolia Water New York, Inc.                                                                             Year Ended  December 31, 2023</v>
      </c>
      <c r="B75" s="86"/>
      <c r="C75" s="86"/>
      <c r="D75" s="86"/>
      <c r="E75" s="86"/>
      <c r="H75" s="1594"/>
    </row>
    <row r="76" spans="1:8">
      <c r="A76" s="129"/>
      <c r="B76" s="130"/>
      <c r="C76" s="130"/>
      <c r="D76" s="130"/>
      <c r="E76" s="131"/>
      <c r="H76" s="1594"/>
    </row>
    <row r="77" spans="1:8" ht="15.75">
      <c r="A77" s="118" t="s">
        <v>3726</v>
      </c>
      <c r="B77" s="3"/>
      <c r="C77" s="3"/>
      <c r="D77" s="3"/>
      <c r="E77" s="84"/>
      <c r="H77" s="1594"/>
    </row>
    <row r="78" spans="1:8">
      <c r="A78" s="97"/>
      <c r="B78" s="98"/>
      <c r="C78" s="98"/>
      <c r="D78" s="98"/>
      <c r="E78" s="101"/>
      <c r="H78" s="1594"/>
    </row>
    <row r="79" spans="1:8">
      <c r="A79" s="480" t="s">
        <v>1727</v>
      </c>
      <c r="B79" s="90"/>
      <c r="C79" s="92"/>
      <c r="D79" s="92"/>
      <c r="E79" s="93"/>
      <c r="H79" s="1594"/>
    </row>
    <row r="80" spans="1:8">
      <c r="A80" s="240" t="s">
        <v>1739</v>
      </c>
      <c r="B80" s="996" t="s">
        <v>2332</v>
      </c>
      <c r="C80" s="997" t="s">
        <v>2333</v>
      </c>
      <c r="D80" s="997" t="s">
        <v>2334</v>
      </c>
      <c r="E80" s="424" t="s">
        <v>2335</v>
      </c>
      <c r="H80" s="1594"/>
    </row>
    <row r="81" spans="1:8">
      <c r="A81" s="237">
        <v>1</v>
      </c>
      <c r="B81" s="2666" t="s">
        <v>5229</v>
      </c>
      <c r="C81" s="96" t="s">
        <v>4873</v>
      </c>
      <c r="D81" s="96" t="s">
        <v>4520</v>
      </c>
      <c r="E81" s="1261">
        <v>109797.5</v>
      </c>
      <c r="H81" s="1594"/>
    </row>
    <row r="82" spans="1:8">
      <c r="A82" s="237">
        <v>2</v>
      </c>
      <c r="B82" s="2666" t="s">
        <v>5416</v>
      </c>
      <c r="C82" s="96" t="s">
        <v>4873</v>
      </c>
      <c r="D82" s="96" t="s">
        <v>4520</v>
      </c>
      <c r="E82" s="427">
        <v>13455.53</v>
      </c>
      <c r="H82" s="1594"/>
    </row>
    <row r="83" spans="1:8">
      <c r="A83" s="237">
        <v>3</v>
      </c>
      <c r="B83" s="2668" t="s">
        <v>5104</v>
      </c>
      <c r="C83" s="96" t="s">
        <v>5230</v>
      </c>
      <c r="D83" s="96" t="s">
        <v>4520</v>
      </c>
      <c r="E83" s="427">
        <v>230206.58</v>
      </c>
      <c r="H83" s="1594"/>
    </row>
    <row r="84" spans="1:8">
      <c r="A84" s="237">
        <v>4</v>
      </c>
      <c r="B84" s="2668" t="s">
        <v>5417</v>
      </c>
      <c r="C84" s="96" t="s">
        <v>4873</v>
      </c>
      <c r="D84" s="96" t="s">
        <v>4520</v>
      </c>
      <c r="E84" s="427">
        <v>63842</v>
      </c>
    </row>
    <row r="85" spans="1:8">
      <c r="A85" s="237">
        <v>5</v>
      </c>
      <c r="B85" s="2668" t="s">
        <v>5418</v>
      </c>
      <c r="C85" s="96" t="s">
        <v>4873</v>
      </c>
      <c r="D85" s="96" t="s">
        <v>4520</v>
      </c>
      <c r="E85" s="427">
        <v>14750</v>
      </c>
    </row>
    <row r="86" spans="1:8">
      <c r="A86" s="237">
        <v>6</v>
      </c>
      <c r="B86" s="2668" t="s">
        <v>5419</v>
      </c>
      <c r="C86" s="96" t="s">
        <v>4873</v>
      </c>
      <c r="D86" s="96" t="s">
        <v>4520</v>
      </c>
      <c r="E86" s="427">
        <v>11318.4</v>
      </c>
    </row>
    <row r="87" spans="1:8">
      <c r="A87" s="237">
        <v>7</v>
      </c>
      <c r="B87" s="2668" t="s">
        <v>5231</v>
      </c>
      <c r="C87" s="96" t="s">
        <v>4873</v>
      </c>
      <c r="D87" s="96" t="s">
        <v>4520</v>
      </c>
      <c r="E87" s="427">
        <v>31553.070000000003</v>
      </c>
    </row>
    <row r="88" spans="1:8">
      <c r="A88" s="237">
        <v>8</v>
      </c>
      <c r="B88" s="2668" t="s">
        <v>5420</v>
      </c>
      <c r="C88" s="96" t="s">
        <v>4873</v>
      </c>
      <c r="D88" s="96" t="s">
        <v>4520</v>
      </c>
      <c r="E88" s="427">
        <v>41590.6</v>
      </c>
    </row>
    <row r="89" spans="1:8">
      <c r="A89" s="237">
        <v>9</v>
      </c>
      <c r="B89" s="96" t="s">
        <v>5105</v>
      </c>
      <c r="C89" s="86" t="s">
        <v>4873</v>
      </c>
      <c r="D89" s="96" t="s">
        <v>4520</v>
      </c>
      <c r="E89" s="427">
        <v>5320</v>
      </c>
    </row>
    <row r="90" spans="1:8">
      <c r="A90" s="237">
        <v>10</v>
      </c>
      <c r="B90" s="96" t="s">
        <v>4737</v>
      </c>
      <c r="C90" s="96" t="s">
        <v>4875</v>
      </c>
      <c r="D90" s="96" t="s">
        <v>4520</v>
      </c>
      <c r="E90" s="427">
        <v>86700</v>
      </c>
    </row>
    <row r="91" spans="1:8">
      <c r="A91" s="237">
        <v>11</v>
      </c>
      <c r="B91" s="96" t="s">
        <v>4885</v>
      </c>
      <c r="C91" s="86" t="s">
        <v>4873</v>
      </c>
      <c r="D91" s="96" t="s">
        <v>4520</v>
      </c>
      <c r="E91" s="427">
        <v>50207.9</v>
      </c>
    </row>
    <row r="92" spans="1:8">
      <c r="A92" s="237">
        <v>12</v>
      </c>
      <c r="B92" s="96" t="s">
        <v>4738</v>
      </c>
      <c r="C92" s="86" t="s">
        <v>4873</v>
      </c>
      <c r="D92" s="96" t="s">
        <v>4520</v>
      </c>
      <c r="E92" s="427">
        <v>425498.25</v>
      </c>
    </row>
    <row r="93" spans="1:8">
      <c r="A93" s="237">
        <v>13</v>
      </c>
      <c r="B93" s="96" t="s">
        <v>5421</v>
      </c>
      <c r="C93" s="86" t="s">
        <v>4873</v>
      </c>
      <c r="D93" s="96" t="s">
        <v>4520</v>
      </c>
      <c r="E93" s="427">
        <v>7143.24</v>
      </c>
    </row>
    <row r="94" spans="1:8">
      <c r="A94" s="237">
        <v>14</v>
      </c>
      <c r="B94" s="96" t="s">
        <v>4886</v>
      </c>
      <c r="C94" s="86" t="s">
        <v>4873</v>
      </c>
      <c r="D94" s="96" t="s">
        <v>4520</v>
      </c>
      <c r="E94" s="427">
        <v>36251.25</v>
      </c>
    </row>
    <row r="95" spans="1:8">
      <c r="A95" s="237">
        <v>15</v>
      </c>
      <c r="B95" s="96" t="s">
        <v>5422</v>
      </c>
      <c r="C95" s="86" t="s">
        <v>4873</v>
      </c>
      <c r="D95" s="96" t="s">
        <v>4520</v>
      </c>
      <c r="E95" s="427">
        <v>8155.6</v>
      </c>
    </row>
    <row r="96" spans="1:8">
      <c r="A96" s="237">
        <v>16</v>
      </c>
      <c r="B96" s="96" t="s">
        <v>4887</v>
      </c>
      <c r="C96" s="86" t="s">
        <v>4872</v>
      </c>
      <c r="D96" s="96" t="s">
        <v>4520</v>
      </c>
      <c r="E96" s="427">
        <v>153672.06</v>
      </c>
    </row>
    <row r="97" spans="1:5">
      <c r="A97" s="237">
        <v>17</v>
      </c>
      <c r="B97" s="96" t="s">
        <v>4888</v>
      </c>
      <c r="C97" s="86" t="s">
        <v>5232</v>
      </c>
      <c r="D97" s="96" t="s">
        <v>4520</v>
      </c>
      <c r="E97" s="427">
        <v>31627.5</v>
      </c>
    </row>
    <row r="98" spans="1:5">
      <c r="A98" s="237">
        <v>18</v>
      </c>
      <c r="B98" s="96" t="s">
        <v>5106</v>
      </c>
      <c r="C98" s="86" t="s">
        <v>4875</v>
      </c>
      <c r="D98" s="96" t="s">
        <v>4520</v>
      </c>
      <c r="E98" s="427">
        <v>148886.74999999994</v>
      </c>
    </row>
    <row r="99" spans="1:5">
      <c r="A99" s="237">
        <v>19</v>
      </c>
      <c r="B99" s="554" t="s">
        <v>4889</v>
      </c>
      <c r="C99" s="86" t="s">
        <v>4877</v>
      </c>
      <c r="D99" s="96" t="s">
        <v>4520</v>
      </c>
      <c r="E99" s="427">
        <v>65453.220000000008</v>
      </c>
    </row>
    <row r="100" spans="1:5">
      <c r="A100" s="237">
        <v>20</v>
      </c>
      <c r="B100" s="96" t="s">
        <v>4890</v>
      </c>
      <c r="C100" s="86" t="s">
        <v>4873</v>
      </c>
      <c r="D100" s="96" t="s">
        <v>4520</v>
      </c>
      <c r="E100" s="427">
        <v>48722.759999999995</v>
      </c>
    </row>
    <row r="101" spans="1:5">
      <c r="A101" s="237">
        <v>21</v>
      </c>
      <c r="B101" s="554" t="s">
        <v>5423</v>
      </c>
      <c r="C101" s="86" t="s">
        <v>4891</v>
      </c>
      <c r="D101" s="96" t="s">
        <v>4592</v>
      </c>
      <c r="E101" s="427">
        <v>7459379.3700000001</v>
      </c>
    </row>
    <row r="102" spans="1:5">
      <c r="A102" s="237">
        <v>22</v>
      </c>
      <c r="B102" s="96"/>
      <c r="C102" s="86"/>
      <c r="D102" s="96"/>
      <c r="E102" s="427"/>
    </row>
    <row r="103" spans="1:5">
      <c r="A103" s="237">
        <v>23</v>
      </c>
      <c r="B103" s="96"/>
      <c r="C103" s="86"/>
      <c r="D103" s="96"/>
      <c r="E103" s="427"/>
    </row>
    <row r="104" spans="1:5">
      <c r="A104" s="237">
        <v>24</v>
      </c>
      <c r="B104" s="96"/>
      <c r="C104" s="86"/>
      <c r="D104" s="96"/>
      <c r="E104" s="427"/>
    </row>
    <row r="105" spans="1:5">
      <c r="A105" s="237">
        <v>25</v>
      </c>
      <c r="B105" s="96"/>
      <c r="C105" s="86"/>
      <c r="D105" s="96"/>
      <c r="E105" s="427"/>
    </row>
    <row r="106" spans="1:5">
      <c r="A106" s="237">
        <v>26</v>
      </c>
      <c r="B106" s="554"/>
      <c r="C106" s="86"/>
      <c r="D106" s="96"/>
      <c r="E106" s="427"/>
    </row>
    <row r="107" spans="1:5">
      <c r="A107" s="237">
        <v>27</v>
      </c>
      <c r="B107" s="96"/>
      <c r="C107" s="86"/>
      <c r="D107" s="96"/>
      <c r="E107" s="427"/>
    </row>
    <row r="108" spans="1:5">
      <c r="A108" s="237">
        <v>28</v>
      </c>
      <c r="B108" s="96"/>
      <c r="C108" s="86"/>
      <c r="D108" s="96"/>
      <c r="E108" s="427"/>
    </row>
    <row r="109" spans="1:5">
      <c r="A109" s="237">
        <v>29</v>
      </c>
      <c r="B109" s="96"/>
      <c r="C109" s="86"/>
      <c r="D109" s="96"/>
      <c r="E109" s="427"/>
    </row>
    <row r="110" spans="1:5">
      <c r="A110" s="237">
        <v>30</v>
      </c>
      <c r="B110" s="96"/>
      <c r="C110" s="86"/>
      <c r="D110" s="96"/>
      <c r="E110" s="427"/>
    </row>
    <row r="111" spans="1:5">
      <c r="A111" s="237">
        <v>31</v>
      </c>
      <c r="B111" s="96"/>
      <c r="C111" s="86"/>
      <c r="D111" s="96"/>
      <c r="E111" s="427"/>
    </row>
    <row r="112" spans="1:5">
      <c r="A112" s="237">
        <v>32</v>
      </c>
      <c r="B112" s="554"/>
      <c r="C112" s="86"/>
      <c r="D112" s="96"/>
      <c r="E112" s="427"/>
    </row>
    <row r="113" spans="1:5">
      <c r="A113" s="237">
        <v>33</v>
      </c>
      <c r="B113" s="96"/>
      <c r="C113" s="86"/>
      <c r="D113" s="96"/>
      <c r="E113" s="427"/>
    </row>
    <row r="114" spans="1:5">
      <c r="A114" s="237">
        <v>34</v>
      </c>
      <c r="B114" s="96"/>
      <c r="C114" s="86"/>
      <c r="D114" s="96"/>
      <c r="E114" s="427"/>
    </row>
    <row r="115" spans="1:5">
      <c r="A115" s="237">
        <v>35</v>
      </c>
      <c r="B115" s="96"/>
      <c r="C115" s="86"/>
      <c r="D115" s="96"/>
      <c r="E115" s="427"/>
    </row>
    <row r="116" spans="1:5">
      <c r="A116" s="237">
        <v>36</v>
      </c>
      <c r="B116" s="96"/>
      <c r="C116" s="86"/>
      <c r="D116" s="96"/>
      <c r="E116" s="427"/>
    </row>
    <row r="117" spans="1:5">
      <c r="A117" s="237">
        <v>37</v>
      </c>
      <c r="B117" s="96"/>
      <c r="C117" s="86"/>
      <c r="D117" s="96"/>
      <c r="E117" s="427"/>
    </row>
    <row r="118" spans="1:5">
      <c r="A118" s="237">
        <v>38</v>
      </c>
      <c r="B118" s="96"/>
      <c r="C118" s="86"/>
      <c r="D118" s="96"/>
      <c r="E118" s="427"/>
    </row>
    <row r="119" spans="1:5">
      <c r="A119" s="237">
        <v>39</v>
      </c>
      <c r="B119" s="96"/>
      <c r="C119" s="86"/>
      <c r="D119" s="96"/>
      <c r="E119" s="427"/>
    </row>
    <row r="120" spans="1:5">
      <c r="A120" s="110">
        <v>40</v>
      </c>
      <c r="B120" s="96"/>
      <c r="C120" s="86"/>
      <c r="D120" s="96"/>
      <c r="E120" s="427"/>
    </row>
    <row r="121" spans="1:5">
      <c r="A121" s="110">
        <v>41</v>
      </c>
      <c r="B121" s="96"/>
      <c r="C121" s="86"/>
      <c r="D121" s="96"/>
      <c r="E121" s="427"/>
    </row>
    <row r="122" spans="1:5">
      <c r="A122" s="110">
        <v>42</v>
      </c>
      <c r="B122" s="96"/>
      <c r="C122" s="86"/>
      <c r="D122" s="96"/>
      <c r="E122" s="427"/>
    </row>
    <row r="123" spans="1:5">
      <c r="A123" s="110">
        <v>43</v>
      </c>
      <c r="B123" s="96"/>
      <c r="C123" s="404"/>
      <c r="D123" s="554"/>
      <c r="E123" s="427"/>
    </row>
    <row r="124" spans="1:5">
      <c r="A124" s="110">
        <v>44</v>
      </c>
      <c r="B124" s="96"/>
      <c r="C124" s="404"/>
      <c r="D124" s="554"/>
      <c r="E124" s="427"/>
    </row>
    <row r="125" spans="1:5">
      <c r="A125" s="110">
        <v>45</v>
      </c>
      <c r="B125" s="96"/>
      <c r="C125" s="404"/>
      <c r="D125" s="554"/>
      <c r="E125" s="427"/>
    </row>
    <row r="126" spans="1:5">
      <c r="A126" s="110">
        <v>46</v>
      </c>
      <c r="B126" s="96"/>
      <c r="C126" s="404"/>
      <c r="D126" s="554"/>
      <c r="E126" s="427"/>
    </row>
    <row r="127" spans="1:5">
      <c r="A127" s="110">
        <v>47</v>
      </c>
      <c r="B127" s="96"/>
      <c r="C127" s="404"/>
      <c r="D127" s="554"/>
      <c r="E127" s="427"/>
    </row>
    <row r="128" spans="1:5">
      <c r="A128" s="110">
        <v>48</v>
      </c>
      <c r="B128" s="96"/>
      <c r="C128" s="404"/>
      <c r="D128" s="554"/>
      <c r="E128" s="427"/>
    </row>
    <row r="129" spans="1:5">
      <c r="A129" s="110">
        <v>49</v>
      </c>
      <c r="B129" s="96"/>
      <c r="C129" s="86"/>
      <c r="D129" s="96"/>
      <c r="E129" s="427"/>
    </row>
    <row r="130" spans="1:5">
      <c r="A130" s="110">
        <v>50</v>
      </c>
      <c r="B130" s="96"/>
      <c r="C130" s="86"/>
      <c r="D130" s="96"/>
      <c r="E130" s="427"/>
    </row>
    <row r="131" spans="1:5">
      <c r="A131" s="110">
        <v>51</v>
      </c>
      <c r="B131" s="96"/>
      <c r="C131" s="86"/>
      <c r="D131" s="96"/>
      <c r="E131" s="427"/>
    </row>
    <row r="132" spans="1:5">
      <c r="A132" s="110">
        <v>52</v>
      </c>
      <c r="B132" s="96"/>
      <c r="C132" s="86"/>
      <c r="D132" s="96"/>
      <c r="E132" s="427"/>
    </row>
    <row r="133" spans="1:5">
      <c r="A133" s="110">
        <v>53</v>
      </c>
      <c r="B133" s="96"/>
      <c r="C133" s="86"/>
      <c r="D133" s="96"/>
      <c r="E133" s="427"/>
    </row>
    <row r="134" spans="1:5">
      <c r="A134" s="110">
        <v>54</v>
      </c>
      <c r="B134" s="96"/>
      <c r="C134" s="86"/>
      <c r="D134" s="96"/>
      <c r="E134" s="427"/>
    </row>
    <row r="135" spans="1:5">
      <c r="A135" s="110">
        <v>55</v>
      </c>
      <c r="B135" s="96"/>
      <c r="C135" s="86"/>
      <c r="D135" s="96"/>
      <c r="E135" s="427"/>
    </row>
    <row r="136" spans="1:5">
      <c r="A136" s="110">
        <v>56</v>
      </c>
      <c r="B136" s="96"/>
      <c r="C136" s="86"/>
      <c r="D136" s="96"/>
      <c r="E136" s="427"/>
    </row>
    <row r="137" spans="1:5" ht="15.75" thickBot="1">
      <c r="A137" s="437">
        <v>57</v>
      </c>
      <c r="B137" s="2125" t="s">
        <v>4311</v>
      </c>
      <c r="C137" s="398"/>
      <c r="D137" s="2124"/>
      <c r="E137" s="2200">
        <f>+E71+SUM(E81:E136)</f>
        <v>21353491.589999996</v>
      </c>
    </row>
    <row r="138" spans="1:5">
      <c r="A138" s="86" t="s">
        <v>2024</v>
      </c>
      <c r="B138" s="86"/>
      <c r="C138" s="86"/>
      <c r="D138" s="86"/>
      <c r="E138" s="86"/>
    </row>
    <row r="139" spans="1:5">
      <c r="A139" s="5" t="s">
        <v>2337</v>
      </c>
      <c r="B139" s="5"/>
      <c r="C139" s="5"/>
      <c r="D139" s="5"/>
      <c r="E139" s="405"/>
    </row>
    <row r="140" spans="1:5">
      <c r="A140" s="86"/>
      <c r="B140" s="86"/>
      <c r="C140" s="86"/>
      <c r="D140" s="86"/>
      <c r="E140" s="86"/>
    </row>
    <row r="141" spans="1:5">
      <c r="A141" s="86"/>
      <c r="B141" s="86"/>
      <c r="C141" s="86"/>
      <c r="D141" s="86"/>
      <c r="E141" s="1266"/>
    </row>
    <row r="142" spans="1:5">
      <c r="A142" s="86"/>
      <c r="B142" s="86"/>
      <c r="C142" s="86"/>
      <c r="D142" s="86"/>
      <c r="E142" s="86"/>
    </row>
    <row r="143" spans="1:5">
      <c r="A143" s="86"/>
      <c r="B143" s="86"/>
      <c r="C143" s="86"/>
      <c r="D143" s="86"/>
      <c r="E143" s="86"/>
    </row>
    <row r="144" spans="1:5">
      <c r="A144" s="86"/>
      <c r="B144" s="86"/>
      <c r="C144" s="86"/>
      <c r="D144" s="86"/>
      <c r="E144" s="86"/>
    </row>
    <row r="145" spans="1:5">
      <c r="A145" s="86"/>
      <c r="B145" s="86"/>
      <c r="C145" s="86"/>
      <c r="D145" s="86"/>
      <c r="E145" s="86"/>
    </row>
    <row r="146" spans="1:5">
      <c r="A146" s="86"/>
      <c r="B146" s="86"/>
      <c r="C146" s="86"/>
      <c r="D146" s="86"/>
      <c r="E146" s="86"/>
    </row>
    <row r="147" spans="1:5">
      <c r="A147" s="86"/>
      <c r="B147" s="86"/>
      <c r="C147" s="86"/>
      <c r="D147" s="86"/>
      <c r="E147" s="86"/>
    </row>
    <row r="148" spans="1:5">
      <c r="A148" s="86"/>
      <c r="B148" s="86"/>
      <c r="C148" s="86"/>
      <c r="D148" s="86"/>
      <c r="E148" s="86"/>
    </row>
    <row r="149" spans="1:5">
      <c r="A149" s="86"/>
      <c r="B149" s="86"/>
      <c r="C149" s="86"/>
      <c r="D149" s="86"/>
      <c r="E149" s="86"/>
    </row>
    <row r="150" spans="1:5">
      <c r="A150" s="86"/>
      <c r="B150" s="86"/>
      <c r="C150" s="86"/>
      <c r="D150" s="86"/>
      <c r="E150" s="86"/>
    </row>
    <row r="151" spans="1:5">
      <c r="A151" s="86"/>
      <c r="B151" s="86"/>
      <c r="C151" s="86"/>
      <c r="D151" s="86"/>
      <c r="E151" s="86"/>
    </row>
    <row r="152" spans="1:5">
      <c r="A152" s="86"/>
      <c r="B152" s="86"/>
      <c r="C152" s="86"/>
      <c r="D152" s="86"/>
      <c r="E152" s="86"/>
    </row>
    <row r="153" spans="1:5">
      <c r="A153" s="86"/>
      <c r="B153" s="86"/>
      <c r="C153" s="86"/>
      <c r="D153" s="86"/>
      <c r="E153" s="86"/>
    </row>
    <row r="154" spans="1:5">
      <c r="A154" s="86"/>
      <c r="B154" s="86"/>
      <c r="C154" s="86"/>
      <c r="D154" s="86"/>
      <c r="E154" s="86"/>
    </row>
    <row r="155" spans="1:5">
      <c r="A155" s="86"/>
      <c r="B155" s="86"/>
      <c r="C155" s="86"/>
      <c r="D155" s="86"/>
      <c r="E155" s="86"/>
    </row>
    <row r="156" spans="1:5">
      <c r="A156" s="86"/>
      <c r="B156" s="86"/>
      <c r="C156" s="86"/>
      <c r="D156" s="86"/>
      <c r="E156" s="86"/>
    </row>
    <row r="157" spans="1:5">
      <c r="A157" s="86"/>
      <c r="B157" s="86"/>
      <c r="C157" s="86"/>
      <c r="D157" s="86"/>
      <c r="E157" s="86"/>
    </row>
    <row r="158" spans="1:5">
      <c r="A158" s="86"/>
      <c r="B158" s="86"/>
      <c r="C158" s="86"/>
      <c r="D158" s="86"/>
      <c r="E158" s="86"/>
    </row>
    <row r="159" spans="1:5">
      <c r="A159" s="86"/>
      <c r="B159" s="86"/>
      <c r="C159" s="86"/>
      <c r="D159" s="86"/>
      <c r="E159" s="86"/>
    </row>
    <row r="160" spans="1:5">
      <c r="A160" s="86"/>
      <c r="B160" s="86"/>
      <c r="C160" s="86"/>
      <c r="D160" s="86"/>
      <c r="E160" s="86"/>
    </row>
    <row r="161" spans="1:5">
      <c r="A161" s="86"/>
      <c r="B161" s="86"/>
      <c r="C161" s="86"/>
      <c r="D161" s="86"/>
      <c r="E161" s="86"/>
    </row>
    <row r="162" spans="1:5">
      <c r="A162" s="86"/>
      <c r="B162" s="86"/>
      <c r="C162" s="86"/>
      <c r="D162" s="86"/>
      <c r="E162" s="86"/>
    </row>
    <row r="163" spans="1:5">
      <c r="A163" s="86"/>
      <c r="B163" s="86"/>
      <c r="C163" s="86"/>
      <c r="D163" s="86"/>
      <c r="E163" s="86"/>
    </row>
    <row r="164" spans="1:5">
      <c r="A164" s="86"/>
      <c r="B164" s="86"/>
      <c r="C164" s="86"/>
      <c r="D164" s="86"/>
      <c r="E164" s="86"/>
    </row>
    <row r="165" spans="1:5">
      <c r="A165" s="86"/>
      <c r="B165" s="86"/>
      <c r="C165" s="86"/>
      <c r="D165" s="86"/>
      <c r="E165" s="86"/>
    </row>
    <row r="166" spans="1:5">
      <c r="A166" s="86"/>
      <c r="B166" s="86"/>
      <c r="C166" s="86"/>
      <c r="D166" s="86"/>
      <c r="E166" s="86"/>
    </row>
    <row r="167" spans="1:5">
      <c r="A167" s="86"/>
      <c r="B167" s="86"/>
      <c r="C167" s="86"/>
      <c r="D167" s="86"/>
      <c r="E167" s="86"/>
    </row>
    <row r="168" spans="1:5">
      <c r="A168" s="86"/>
      <c r="B168" s="86"/>
      <c r="C168" s="86"/>
      <c r="D168" s="86"/>
      <c r="E168" s="86"/>
    </row>
    <row r="169" spans="1:5">
      <c r="A169" s="86"/>
      <c r="B169" s="86"/>
      <c r="C169" s="86"/>
      <c r="D169" s="86"/>
      <c r="E169" s="86"/>
    </row>
    <row r="170" spans="1:5">
      <c r="A170" s="86"/>
      <c r="B170" s="86"/>
      <c r="C170" s="86"/>
      <c r="D170" s="86"/>
      <c r="E170" s="86"/>
    </row>
    <row r="171" spans="1:5">
      <c r="A171" s="86"/>
      <c r="B171" s="86"/>
      <c r="C171" s="86"/>
      <c r="D171" s="86"/>
      <c r="E171" s="86"/>
    </row>
    <row r="172" spans="1:5">
      <c r="A172" s="86"/>
      <c r="B172" s="86"/>
      <c r="C172" s="86"/>
      <c r="D172" s="86"/>
      <c r="E172" s="86"/>
    </row>
    <row r="173" spans="1:5">
      <c r="A173" s="86"/>
      <c r="B173" s="86"/>
      <c r="C173" s="86"/>
      <c r="D173" s="86"/>
      <c r="E173" s="86"/>
    </row>
    <row r="174" spans="1:5">
      <c r="A174" s="86"/>
      <c r="B174" s="86"/>
      <c r="C174" s="86"/>
      <c r="D174" s="86"/>
      <c r="E174" s="86"/>
    </row>
    <row r="175" spans="1:5">
      <c r="A175" s="86"/>
      <c r="B175" s="86"/>
      <c r="C175" s="86"/>
      <c r="D175" s="86"/>
      <c r="E175" s="86"/>
    </row>
    <row r="176" spans="1:5">
      <c r="A176" s="86"/>
      <c r="B176" s="86"/>
      <c r="C176" s="86"/>
      <c r="D176" s="86"/>
      <c r="E176" s="86"/>
    </row>
    <row r="177" spans="1:5">
      <c r="A177" s="86"/>
      <c r="B177" s="86"/>
      <c r="C177" s="86"/>
      <c r="D177" s="86"/>
      <c r="E177" s="86"/>
    </row>
    <row r="178" spans="1:5">
      <c r="A178" s="86"/>
      <c r="B178" s="86"/>
      <c r="C178" s="86"/>
      <c r="D178" s="86"/>
      <c r="E178" s="86"/>
    </row>
    <row r="179" spans="1:5">
      <c r="A179" s="86"/>
      <c r="B179" s="86"/>
      <c r="C179" s="86"/>
      <c r="D179" s="86"/>
      <c r="E179" s="86"/>
    </row>
    <row r="180" spans="1:5">
      <c r="A180" s="86"/>
      <c r="B180" s="86"/>
      <c r="C180" s="86"/>
      <c r="D180" s="86"/>
      <c r="E180" s="86"/>
    </row>
    <row r="181" spans="1:5">
      <c r="A181" s="86"/>
      <c r="B181" s="86"/>
      <c r="C181" s="86"/>
      <c r="D181" s="86"/>
      <c r="E181" s="86"/>
    </row>
    <row r="182" spans="1:5">
      <c r="A182" s="86"/>
      <c r="B182" s="86"/>
      <c r="C182" s="86"/>
      <c r="D182" s="86"/>
      <c r="E182" s="86"/>
    </row>
    <row r="183" spans="1:5">
      <c r="A183" s="86"/>
      <c r="B183" s="86"/>
      <c r="C183" s="86"/>
      <c r="D183" s="86"/>
      <c r="E183" s="86"/>
    </row>
    <row r="184" spans="1:5">
      <c r="A184" s="86"/>
      <c r="B184" s="86"/>
      <c r="C184" s="86"/>
      <c r="D184" s="86"/>
      <c r="E184" s="86"/>
    </row>
    <row r="185" spans="1:5">
      <c r="A185" s="86"/>
      <c r="B185" s="86"/>
      <c r="C185" s="86"/>
      <c r="D185" s="86"/>
      <c r="E185" s="86"/>
    </row>
    <row r="186" spans="1:5">
      <c r="A186" s="86"/>
      <c r="B186" s="86"/>
      <c r="C186" s="86"/>
      <c r="D186" s="86"/>
      <c r="E186" s="86"/>
    </row>
    <row r="187" spans="1:5">
      <c r="A187" s="86"/>
      <c r="B187" s="86"/>
      <c r="C187" s="86"/>
      <c r="D187" s="86"/>
      <c r="E187" s="86"/>
    </row>
    <row r="188" spans="1:5">
      <c r="A188" s="86"/>
      <c r="B188" s="86"/>
      <c r="C188" s="86"/>
      <c r="D188" s="86"/>
      <c r="E188" s="86"/>
    </row>
    <row r="189" spans="1:5">
      <c r="A189" s="86"/>
      <c r="B189" s="86"/>
      <c r="C189" s="86"/>
      <c r="D189" s="86"/>
      <c r="E189" s="86"/>
    </row>
    <row r="190" spans="1:5">
      <c r="A190" s="86"/>
      <c r="B190" s="86"/>
      <c r="C190" s="86"/>
      <c r="D190" s="86"/>
      <c r="E190" s="86"/>
    </row>
    <row r="191" spans="1:5">
      <c r="A191" s="86"/>
      <c r="B191" s="86"/>
      <c r="C191" s="86"/>
      <c r="D191" s="86"/>
      <c r="E191" s="86"/>
    </row>
    <row r="192" spans="1:5">
      <c r="A192" s="86"/>
      <c r="B192" s="86"/>
      <c r="C192" s="86"/>
      <c r="D192" s="86"/>
      <c r="E192" s="86"/>
    </row>
    <row r="193" spans="1:5">
      <c r="A193" s="86"/>
      <c r="B193" s="86"/>
      <c r="C193" s="86"/>
      <c r="D193" s="86"/>
      <c r="E193" s="86"/>
    </row>
    <row r="194" spans="1:5">
      <c r="A194" s="86"/>
      <c r="B194" s="86"/>
      <c r="C194" s="86"/>
      <c r="D194" s="86"/>
      <c r="E194" s="86"/>
    </row>
    <row r="195" spans="1:5">
      <c r="A195" s="86"/>
      <c r="B195" s="86"/>
      <c r="C195" s="86"/>
      <c r="D195" s="86"/>
      <c r="E195" s="86"/>
    </row>
    <row r="196" spans="1:5">
      <c r="A196" s="86"/>
      <c r="B196" s="86"/>
      <c r="C196" s="86"/>
      <c r="D196" s="86"/>
      <c r="E196" s="86"/>
    </row>
    <row r="197" spans="1:5">
      <c r="A197" s="86"/>
      <c r="B197" s="86"/>
      <c r="C197" s="86"/>
      <c r="D197" s="86"/>
      <c r="E197" s="86"/>
    </row>
    <row r="198" spans="1:5">
      <c r="A198" s="86"/>
      <c r="B198" s="86"/>
      <c r="C198" s="86"/>
      <c r="D198" s="86"/>
      <c r="E198" s="86"/>
    </row>
    <row r="199" spans="1:5">
      <c r="A199" s="86"/>
      <c r="B199" s="86"/>
      <c r="C199" s="86"/>
      <c r="D199" s="86"/>
      <c r="E199" s="86"/>
    </row>
    <row r="200" spans="1:5">
      <c r="A200" s="86"/>
      <c r="B200" s="86"/>
      <c r="C200" s="86"/>
      <c r="D200" s="86"/>
      <c r="E200" s="86"/>
    </row>
    <row r="201" spans="1:5">
      <c r="A201" s="86"/>
      <c r="B201" s="86"/>
      <c r="C201" s="86"/>
      <c r="D201" s="86"/>
      <c r="E201" s="86"/>
    </row>
    <row r="202" spans="1:5">
      <c r="A202" s="86"/>
      <c r="B202" s="86"/>
      <c r="C202" s="86"/>
      <c r="D202" s="86"/>
      <c r="E202" s="86"/>
    </row>
    <row r="203" spans="1:5">
      <c r="A203" s="86"/>
      <c r="B203" s="86"/>
      <c r="C203" s="86"/>
      <c r="D203" s="86"/>
      <c r="E203" s="86"/>
    </row>
    <row r="204" spans="1:5">
      <c r="A204" s="86"/>
      <c r="B204" s="86"/>
      <c r="C204" s="86"/>
      <c r="D204" s="86"/>
      <c r="E204" s="86"/>
    </row>
    <row r="205" spans="1:5">
      <c r="A205" s="86"/>
      <c r="B205" s="86"/>
      <c r="C205" s="86"/>
      <c r="D205" s="86"/>
      <c r="E205" s="86"/>
    </row>
    <row r="206" spans="1:5">
      <c r="A206" s="86"/>
      <c r="B206" s="86"/>
      <c r="C206" s="86"/>
      <c r="D206" s="86"/>
      <c r="E206" s="86"/>
    </row>
    <row r="207" spans="1:5">
      <c r="A207" s="86"/>
      <c r="B207" s="86"/>
      <c r="C207" s="86"/>
      <c r="D207" s="86"/>
      <c r="E207" s="86"/>
    </row>
    <row r="208" spans="1:5">
      <c r="A208" s="86"/>
      <c r="B208" s="86"/>
      <c r="C208" s="86"/>
      <c r="D208" s="86"/>
      <c r="E208" s="86"/>
    </row>
    <row r="209" spans="1:5">
      <c r="A209" s="86"/>
      <c r="B209" s="86"/>
      <c r="C209" s="86"/>
      <c r="D209" s="86"/>
      <c r="E209" s="86"/>
    </row>
    <row r="210" spans="1:5">
      <c r="A210" s="86"/>
      <c r="B210" s="86"/>
      <c r="C210" s="86"/>
      <c r="D210" s="86"/>
      <c r="E210" s="86"/>
    </row>
    <row r="211" spans="1:5">
      <c r="A211" s="86"/>
      <c r="B211" s="86"/>
      <c r="C211" s="86"/>
      <c r="D211" s="86"/>
      <c r="E211" s="86"/>
    </row>
    <row r="212" spans="1:5">
      <c r="A212" s="86"/>
      <c r="B212" s="86"/>
      <c r="C212" s="86"/>
      <c r="D212" s="86"/>
      <c r="E212" s="86"/>
    </row>
    <row r="213" spans="1:5">
      <c r="A213" s="86"/>
      <c r="B213" s="86"/>
      <c r="C213" s="86"/>
      <c r="D213" s="86"/>
      <c r="E213" s="86"/>
    </row>
    <row r="214" spans="1:5">
      <c r="A214" s="86"/>
      <c r="B214" s="86"/>
      <c r="C214" s="86"/>
      <c r="D214" s="86"/>
      <c r="E214" s="86"/>
    </row>
    <row r="215" spans="1:5">
      <c r="A215" s="86"/>
      <c r="B215" s="86"/>
      <c r="C215" s="86"/>
      <c r="D215" s="86"/>
      <c r="E215" s="86"/>
    </row>
    <row r="216" spans="1:5">
      <c r="A216" s="86"/>
      <c r="B216" s="86"/>
      <c r="C216" s="86"/>
      <c r="D216" s="86"/>
      <c r="E216" s="86"/>
    </row>
    <row r="217" spans="1:5">
      <c r="A217" s="86"/>
      <c r="B217" s="86"/>
      <c r="C217" s="86"/>
      <c r="D217" s="86"/>
      <c r="E217" s="86"/>
    </row>
    <row r="218" spans="1:5">
      <c r="A218" s="86"/>
      <c r="B218" s="86"/>
      <c r="C218" s="86"/>
      <c r="D218" s="86"/>
      <c r="E218" s="86"/>
    </row>
    <row r="219" spans="1:5">
      <c r="A219" s="86"/>
      <c r="B219" s="86"/>
      <c r="C219" s="86"/>
      <c r="D219" s="86"/>
      <c r="E219" s="86"/>
    </row>
    <row r="220" spans="1:5">
      <c r="A220" s="86"/>
      <c r="B220" s="86"/>
      <c r="C220" s="86"/>
      <c r="D220" s="86"/>
      <c r="E220" s="86"/>
    </row>
    <row r="221" spans="1:5">
      <c r="A221" s="86"/>
      <c r="B221" s="86"/>
      <c r="C221" s="86"/>
      <c r="D221" s="86"/>
      <c r="E221" s="86"/>
    </row>
    <row r="222" spans="1:5">
      <c r="A222" s="86"/>
      <c r="B222" s="86"/>
      <c r="C222" s="86"/>
      <c r="D222" s="86"/>
      <c r="E222" s="86"/>
    </row>
    <row r="223" spans="1:5">
      <c r="A223" s="86"/>
      <c r="B223" s="86"/>
      <c r="C223" s="86"/>
      <c r="D223" s="86"/>
      <c r="E223" s="86"/>
    </row>
    <row r="224" spans="1:5">
      <c r="A224" s="86"/>
      <c r="B224" s="86"/>
      <c r="C224" s="86"/>
      <c r="D224" s="86"/>
      <c r="E224" s="86"/>
    </row>
    <row r="225" spans="1:5">
      <c r="A225" s="86"/>
      <c r="B225" s="86"/>
      <c r="C225" s="86"/>
      <c r="D225" s="86"/>
      <c r="E225" s="86"/>
    </row>
    <row r="226" spans="1:5">
      <c r="A226" s="86"/>
      <c r="B226" s="86"/>
      <c r="C226" s="86"/>
      <c r="D226" s="86"/>
      <c r="E226" s="86"/>
    </row>
    <row r="227" spans="1:5">
      <c r="A227" s="86"/>
      <c r="B227" s="86"/>
      <c r="C227" s="86"/>
      <c r="D227" s="86"/>
      <c r="E227" s="86"/>
    </row>
    <row r="228" spans="1:5">
      <c r="A228" s="86"/>
      <c r="B228" s="86"/>
      <c r="C228" s="86"/>
      <c r="D228" s="86"/>
      <c r="E228" s="86"/>
    </row>
    <row r="229" spans="1:5">
      <c r="A229" s="86"/>
      <c r="B229" s="86"/>
      <c r="C229" s="86"/>
      <c r="D229" s="86"/>
      <c r="E229" s="86"/>
    </row>
    <row r="230" spans="1:5">
      <c r="A230" s="86"/>
      <c r="B230" s="86"/>
      <c r="C230" s="86"/>
      <c r="D230" s="86"/>
      <c r="E230" s="86"/>
    </row>
    <row r="231" spans="1:5">
      <c r="A231" s="86"/>
      <c r="B231" s="86"/>
      <c r="C231" s="86"/>
      <c r="D231" s="86"/>
      <c r="E231" s="86"/>
    </row>
    <row r="232" spans="1:5">
      <c r="A232" s="86"/>
      <c r="B232" s="86"/>
      <c r="C232" s="86"/>
      <c r="D232" s="86"/>
      <c r="E232" s="86"/>
    </row>
    <row r="233" spans="1:5">
      <c r="A233" s="86"/>
      <c r="B233" s="86"/>
      <c r="C233" s="86"/>
      <c r="D233" s="86"/>
      <c r="E233" s="86"/>
    </row>
    <row r="234" spans="1:5">
      <c r="A234" s="86"/>
      <c r="B234" s="86"/>
      <c r="C234" s="86"/>
      <c r="D234" s="86"/>
      <c r="E234" s="86"/>
    </row>
    <row r="235" spans="1:5">
      <c r="A235" s="86"/>
      <c r="B235" s="86"/>
      <c r="C235" s="86"/>
      <c r="D235" s="86"/>
      <c r="E235" s="86"/>
    </row>
    <row r="236" spans="1:5">
      <c r="A236" s="86"/>
      <c r="B236" s="86"/>
      <c r="C236" s="86"/>
      <c r="D236" s="86"/>
      <c r="E236" s="86"/>
    </row>
    <row r="237" spans="1:5">
      <c r="A237" s="86"/>
      <c r="B237" s="86"/>
      <c r="C237" s="86"/>
      <c r="D237" s="86"/>
      <c r="E237" s="86"/>
    </row>
    <row r="238" spans="1:5">
      <c r="A238" s="86"/>
      <c r="B238" s="86"/>
      <c r="C238" s="86"/>
      <c r="D238" s="86"/>
      <c r="E238" s="86"/>
    </row>
    <row r="239" spans="1:5">
      <c r="A239" s="86"/>
      <c r="B239" s="86"/>
      <c r="C239" s="86"/>
      <c r="D239" s="86"/>
      <c r="E239" s="86"/>
    </row>
    <row r="240" spans="1:5">
      <c r="A240" s="86"/>
      <c r="B240" s="86"/>
      <c r="C240" s="86"/>
      <c r="D240" s="86"/>
      <c r="E240" s="86"/>
    </row>
    <row r="241" spans="1:5">
      <c r="A241" s="86"/>
      <c r="B241" s="86"/>
      <c r="C241" s="86"/>
      <c r="D241" s="86"/>
      <c r="E241" s="86"/>
    </row>
    <row r="242" spans="1:5">
      <c r="A242" s="86"/>
      <c r="B242" s="86"/>
      <c r="C242" s="86"/>
      <c r="D242" s="86"/>
      <c r="E242" s="86"/>
    </row>
    <row r="243" spans="1:5">
      <c r="A243" s="86"/>
      <c r="B243" s="86"/>
      <c r="C243" s="86"/>
      <c r="D243" s="86"/>
      <c r="E243" s="86"/>
    </row>
    <row r="244" spans="1:5">
      <c r="A244" s="86"/>
      <c r="B244" s="86"/>
      <c r="C244" s="86"/>
      <c r="D244" s="86"/>
      <c r="E244" s="86"/>
    </row>
    <row r="245" spans="1:5">
      <c r="A245" s="86"/>
      <c r="B245" s="86"/>
      <c r="C245" s="86"/>
      <c r="D245" s="86"/>
      <c r="E245" s="86"/>
    </row>
    <row r="246" spans="1:5">
      <c r="A246" s="86"/>
      <c r="B246" s="86"/>
      <c r="C246" s="86"/>
      <c r="D246" s="86"/>
      <c r="E246" s="86"/>
    </row>
    <row r="247" spans="1:5">
      <c r="A247" s="86"/>
      <c r="B247" s="86"/>
      <c r="C247" s="86"/>
      <c r="D247" s="86"/>
      <c r="E247" s="86"/>
    </row>
    <row r="248" spans="1:5">
      <c r="A248" s="86"/>
      <c r="B248" s="86"/>
      <c r="C248" s="86"/>
      <c r="D248" s="86"/>
      <c r="E248" s="86"/>
    </row>
    <row r="249" spans="1:5">
      <c r="A249" s="86"/>
      <c r="B249" s="86"/>
      <c r="C249" s="86"/>
      <c r="D249" s="86"/>
      <c r="E249" s="86"/>
    </row>
    <row r="250" spans="1:5">
      <c r="A250" s="86"/>
      <c r="B250" s="86"/>
      <c r="C250" s="86"/>
      <c r="D250" s="86"/>
      <c r="E250" s="86"/>
    </row>
    <row r="251" spans="1:5">
      <c r="A251" s="86"/>
      <c r="B251" s="86"/>
      <c r="C251" s="86"/>
      <c r="D251" s="86"/>
      <c r="E251" s="86"/>
    </row>
    <row r="252" spans="1:5">
      <c r="A252" s="86"/>
      <c r="B252" s="86"/>
      <c r="C252" s="86"/>
      <c r="D252" s="86"/>
      <c r="E252" s="86"/>
    </row>
    <row r="253" spans="1:5">
      <c r="A253" s="86"/>
      <c r="B253" s="86"/>
      <c r="C253" s="86"/>
      <c r="D253" s="86"/>
      <c r="E253" s="86"/>
    </row>
    <row r="254" spans="1:5">
      <c r="A254" s="86"/>
      <c r="B254" s="86"/>
      <c r="C254" s="86"/>
      <c r="D254" s="86"/>
      <c r="E254" s="86"/>
    </row>
    <row r="255" spans="1:5">
      <c r="A255" s="86"/>
      <c r="B255" s="86"/>
      <c r="C255" s="86"/>
      <c r="D255" s="86"/>
      <c r="E255" s="86"/>
    </row>
    <row r="256" spans="1:5">
      <c r="A256" s="86"/>
      <c r="B256" s="86"/>
      <c r="C256" s="86"/>
      <c r="D256" s="86"/>
      <c r="E256" s="86"/>
    </row>
    <row r="257" spans="1:5">
      <c r="A257" s="86"/>
      <c r="B257" s="86"/>
      <c r="C257" s="86"/>
      <c r="D257" s="86"/>
      <c r="E257" s="86"/>
    </row>
    <row r="258" spans="1:5">
      <c r="A258" s="86"/>
      <c r="B258" s="86"/>
      <c r="C258" s="86"/>
      <c r="D258" s="86"/>
      <c r="E258" s="86"/>
    </row>
    <row r="259" spans="1:5">
      <c r="A259" s="86"/>
      <c r="B259" s="86"/>
      <c r="C259" s="86"/>
      <c r="D259" s="86"/>
      <c r="E259" s="86"/>
    </row>
    <row r="260" spans="1:5">
      <c r="A260" s="86"/>
      <c r="B260" s="86"/>
      <c r="C260" s="86"/>
      <c r="D260" s="86"/>
      <c r="E260" s="86"/>
    </row>
    <row r="261" spans="1:5">
      <c r="A261" s="86"/>
      <c r="B261" s="86"/>
      <c r="C261" s="86"/>
      <c r="D261" s="86"/>
      <c r="E261" s="86"/>
    </row>
    <row r="262" spans="1:5">
      <c r="A262" s="86"/>
      <c r="B262" s="86"/>
      <c r="C262" s="86"/>
      <c r="D262" s="86"/>
      <c r="E262" s="86"/>
    </row>
    <row r="263" spans="1:5">
      <c r="A263" s="86"/>
      <c r="B263" s="86"/>
      <c r="C263" s="86"/>
      <c r="D263" s="86"/>
      <c r="E263" s="86"/>
    </row>
    <row r="264" spans="1:5">
      <c r="A264" s="86"/>
      <c r="B264" s="86"/>
      <c r="C264" s="86"/>
      <c r="D264" s="86"/>
      <c r="E264" s="86"/>
    </row>
    <row r="265" spans="1:5">
      <c r="A265" s="86"/>
      <c r="B265" s="86"/>
      <c r="C265" s="86"/>
      <c r="D265" s="86"/>
      <c r="E265" s="86"/>
    </row>
    <row r="266" spans="1:5">
      <c r="A266" s="86"/>
      <c r="B266" s="86"/>
      <c r="C266" s="86"/>
      <c r="D266" s="86"/>
      <c r="E266" s="86"/>
    </row>
    <row r="267" spans="1:5">
      <c r="A267" s="86"/>
      <c r="B267" s="86"/>
      <c r="C267" s="86"/>
      <c r="D267" s="86"/>
      <c r="E267" s="86"/>
    </row>
    <row r="268" spans="1:5">
      <c r="A268" s="86"/>
      <c r="B268" s="86"/>
      <c r="C268" s="86"/>
      <c r="D268" s="86"/>
      <c r="E268" s="86"/>
    </row>
    <row r="269" spans="1:5">
      <c r="A269" s="86"/>
      <c r="B269" s="86"/>
      <c r="C269" s="86"/>
      <c r="D269" s="86"/>
      <c r="E269" s="86"/>
    </row>
    <row r="270" spans="1:5">
      <c r="A270" s="86"/>
      <c r="B270" s="86"/>
      <c r="C270" s="86"/>
      <c r="D270" s="86"/>
      <c r="E270" s="86"/>
    </row>
    <row r="271" spans="1:5">
      <c r="A271" s="86"/>
      <c r="B271" s="86"/>
      <c r="C271" s="86"/>
      <c r="D271" s="86"/>
      <c r="E271" s="86"/>
    </row>
    <row r="272" spans="1:5">
      <c r="A272" s="86"/>
      <c r="B272" s="86"/>
      <c r="C272" s="86"/>
      <c r="D272" s="86"/>
      <c r="E272" s="86"/>
    </row>
    <row r="273" spans="1:5">
      <c r="A273" s="86"/>
      <c r="B273" s="86"/>
      <c r="C273" s="86"/>
      <c r="D273" s="86"/>
      <c r="E273" s="86"/>
    </row>
    <row r="274" spans="1:5">
      <c r="A274" s="86"/>
      <c r="B274" s="86"/>
      <c r="C274" s="86"/>
      <c r="D274" s="86"/>
      <c r="E274" s="86"/>
    </row>
    <row r="275" spans="1:5">
      <c r="A275" s="86"/>
      <c r="B275" s="86"/>
      <c r="C275" s="86"/>
      <c r="D275" s="86"/>
      <c r="E275" s="86"/>
    </row>
    <row r="276" spans="1:5">
      <c r="A276" s="86"/>
      <c r="B276" s="86"/>
      <c r="C276" s="86"/>
      <c r="D276" s="86"/>
      <c r="E276" s="86"/>
    </row>
    <row r="277" spans="1:5">
      <c r="A277" s="86"/>
      <c r="B277" s="86"/>
      <c r="C277" s="86"/>
      <c r="D277" s="86"/>
      <c r="E277" s="86"/>
    </row>
    <row r="278" spans="1:5">
      <c r="A278" s="86"/>
      <c r="B278" s="86"/>
      <c r="C278" s="86"/>
      <c r="D278" s="86"/>
      <c r="E278" s="86"/>
    </row>
    <row r="279" spans="1:5">
      <c r="A279" s="86"/>
      <c r="B279" s="86"/>
      <c r="C279" s="86"/>
      <c r="D279" s="86"/>
      <c r="E279" s="86"/>
    </row>
    <row r="280" spans="1:5">
      <c r="A280" s="86"/>
      <c r="B280" s="86"/>
      <c r="C280" s="86"/>
      <c r="D280" s="86"/>
      <c r="E280" s="86"/>
    </row>
    <row r="281" spans="1:5">
      <c r="A281" s="86"/>
      <c r="B281" s="86"/>
      <c r="C281" s="86"/>
      <c r="D281" s="86"/>
      <c r="E281" s="86"/>
    </row>
    <row r="282" spans="1:5">
      <c r="A282" s="86"/>
      <c r="B282" s="86"/>
      <c r="C282" s="86"/>
      <c r="D282" s="86"/>
      <c r="E282" s="86"/>
    </row>
    <row r="283" spans="1:5">
      <c r="A283" s="86"/>
      <c r="B283" s="86"/>
      <c r="C283" s="86"/>
      <c r="D283" s="86"/>
      <c r="E283" s="86"/>
    </row>
    <row r="284" spans="1:5">
      <c r="A284" s="86"/>
      <c r="B284" s="86"/>
      <c r="C284" s="86"/>
      <c r="D284" s="86"/>
      <c r="E284" s="86"/>
    </row>
    <row r="285" spans="1:5">
      <c r="A285" s="86"/>
      <c r="B285" s="86"/>
      <c r="C285" s="86"/>
      <c r="D285" s="86"/>
      <c r="E285" s="86"/>
    </row>
    <row r="286" spans="1:5">
      <c r="A286" s="86"/>
      <c r="B286" s="86"/>
      <c r="C286" s="86"/>
      <c r="D286" s="86"/>
      <c r="E286" s="86"/>
    </row>
    <row r="287" spans="1:5">
      <c r="A287" s="86"/>
      <c r="B287" s="86"/>
      <c r="C287" s="86"/>
      <c r="D287" s="86"/>
      <c r="E287" s="86"/>
    </row>
    <row r="288" spans="1:5">
      <c r="A288" s="86"/>
      <c r="B288" s="86"/>
      <c r="C288" s="86"/>
      <c r="D288" s="86"/>
      <c r="E288" s="86"/>
    </row>
    <row r="289" spans="1:5">
      <c r="A289" s="86"/>
      <c r="B289" s="86"/>
      <c r="C289" s="86"/>
      <c r="D289" s="86"/>
      <c r="E289" s="86"/>
    </row>
    <row r="290" spans="1:5">
      <c r="A290" s="86"/>
      <c r="B290" s="86"/>
      <c r="C290" s="86"/>
      <c r="D290" s="86"/>
      <c r="E290" s="86"/>
    </row>
    <row r="291" spans="1:5">
      <c r="A291" s="86"/>
      <c r="B291" s="86"/>
      <c r="C291" s="86"/>
      <c r="D291" s="86"/>
      <c r="E291" s="86"/>
    </row>
    <row r="292" spans="1:5">
      <c r="A292" s="86"/>
      <c r="B292" s="86"/>
      <c r="C292" s="86"/>
      <c r="D292" s="86"/>
      <c r="E292" s="86"/>
    </row>
    <row r="293" spans="1:5">
      <c r="A293" s="86"/>
      <c r="B293" s="86"/>
      <c r="C293" s="86"/>
      <c r="D293" s="86"/>
      <c r="E293" s="86"/>
    </row>
    <row r="294" spans="1:5">
      <c r="A294" s="86"/>
      <c r="B294" s="86"/>
      <c r="C294" s="86"/>
      <c r="D294" s="86"/>
      <c r="E294" s="86"/>
    </row>
    <row r="295" spans="1:5">
      <c r="A295" s="86"/>
      <c r="B295" s="86"/>
      <c r="C295" s="86"/>
      <c r="D295" s="86"/>
      <c r="E295" s="86"/>
    </row>
    <row r="296" spans="1:5">
      <c r="A296" s="86"/>
      <c r="B296" s="86"/>
      <c r="C296" s="86"/>
      <c r="D296" s="86"/>
      <c r="E296" s="86"/>
    </row>
    <row r="297" spans="1:5">
      <c r="A297" s="86"/>
      <c r="B297" s="86"/>
      <c r="C297" s="86"/>
      <c r="D297" s="86"/>
      <c r="E297" s="86"/>
    </row>
    <row r="298" spans="1:5">
      <c r="A298" s="86"/>
      <c r="B298" s="86"/>
      <c r="C298" s="86"/>
      <c r="D298" s="86"/>
      <c r="E298" s="86"/>
    </row>
    <row r="299" spans="1:5">
      <c r="A299" s="86"/>
      <c r="B299" s="86"/>
      <c r="C299" s="86"/>
      <c r="D299" s="86"/>
      <c r="E299" s="86"/>
    </row>
    <row r="300" spans="1:5">
      <c r="A300" s="86"/>
      <c r="B300" s="86"/>
      <c r="C300" s="86"/>
      <c r="D300" s="86"/>
      <c r="E300" s="86"/>
    </row>
    <row r="301" spans="1:5">
      <c r="A301" s="86"/>
      <c r="B301" s="86"/>
      <c r="C301" s="86"/>
      <c r="D301" s="86"/>
      <c r="E301" s="86"/>
    </row>
    <row r="302" spans="1:5">
      <c r="A302" s="86"/>
      <c r="B302" s="86"/>
      <c r="C302" s="86"/>
      <c r="D302" s="86"/>
      <c r="E302" s="86"/>
    </row>
    <row r="303" spans="1:5">
      <c r="A303" s="86"/>
      <c r="B303" s="86"/>
      <c r="C303" s="86"/>
      <c r="D303" s="86"/>
      <c r="E303" s="86"/>
    </row>
    <row r="304" spans="1:5">
      <c r="A304" s="86"/>
      <c r="B304" s="86"/>
      <c r="C304" s="86"/>
      <c r="D304" s="86"/>
      <c r="E304" s="86"/>
    </row>
    <row r="305" spans="1:5">
      <c r="A305" s="86"/>
      <c r="B305" s="86"/>
      <c r="C305" s="86"/>
      <c r="D305" s="86"/>
      <c r="E305" s="86"/>
    </row>
    <row r="306" spans="1:5">
      <c r="A306" s="86"/>
      <c r="B306" s="86"/>
      <c r="C306" s="86"/>
      <c r="D306" s="86"/>
      <c r="E306" s="86"/>
    </row>
    <row r="307" spans="1:5">
      <c r="A307" s="86"/>
      <c r="B307" s="86"/>
      <c r="C307" s="86"/>
      <c r="D307" s="86"/>
      <c r="E307" s="86"/>
    </row>
    <row r="308" spans="1:5">
      <c r="A308" s="86"/>
      <c r="B308" s="86"/>
      <c r="C308" s="86"/>
      <c r="D308" s="86"/>
      <c r="E308" s="86"/>
    </row>
    <row r="309" spans="1:5">
      <c r="A309" s="86"/>
      <c r="B309" s="86"/>
      <c r="C309" s="86"/>
      <c r="D309" s="86"/>
      <c r="E309" s="86"/>
    </row>
    <row r="310" spans="1:5">
      <c r="A310" s="86"/>
      <c r="B310" s="86"/>
      <c r="C310" s="86"/>
      <c r="D310" s="86"/>
      <c r="E310" s="86"/>
    </row>
    <row r="311" spans="1:5">
      <c r="A311" s="86"/>
      <c r="B311" s="86"/>
      <c r="C311" s="86"/>
      <c r="D311" s="86"/>
      <c r="E311" s="86"/>
    </row>
    <row r="312" spans="1:5">
      <c r="A312" s="86"/>
      <c r="B312" s="86"/>
      <c r="C312" s="86"/>
      <c r="D312" s="86"/>
      <c r="E312" s="86"/>
    </row>
    <row r="313" spans="1:5">
      <c r="A313" s="86"/>
      <c r="B313" s="86"/>
      <c r="C313" s="86"/>
      <c r="D313" s="86"/>
      <c r="E313" s="86"/>
    </row>
    <row r="314" spans="1:5">
      <c r="A314" s="86"/>
      <c r="B314" s="86"/>
      <c r="C314" s="86"/>
      <c r="D314" s="86"/>
      <c r="E314" s="86"/>
    </row>
    <row r="315" spans="1:5">
      <c r="A315" s="86"/>
      <c r="B315" s="86"/>
      <c r="C315" s="86"/>
      <c r="D315" s="86"/>
      <c r="E315" s="86"/>
    </row>
    <row r="316" spans="1:5">
      <c r="A316" s="86"/>
      <c r="B316" s="86"/>
      <c r="C316" s="86"/>
      <c r="D316" s="86"/>
      <c r="E316" s="86"/>
    </row>
    <row r="317" spans="1:5">
      <c r="A317" s="86"/>
      <c r="B317" s="86"/>
      <c r="C317" s="86"/>
      <c r="D317" s="86"/>
      <c r="E317" s="86"/>
    </row>
    <row r="318" spans="1:5">
      <c r="A318" s="86"/>
      <c r="B318" s="86"/>
      <c r="C318" s="86"/>
      <c r="D318" s="86"/>
      <c r="E318" s="86"/>
    </row>
    <row r="319" spans="1:5">
      <c r="A319" s="86"/>
      <c r="B319" s="86"/>
      <c r="C319" s="86"/>
      <c r="D319" s="86"/>
      <c r="E319" s="86"/>
    </row>
    <row r="320" spans="1:5">
      <c r="A320" s="86"/>
      <c r="B320" s="86"/>
      <c r="C320" s="86"/>
      <c r="D320" s="86"/>
      <c r="E320" s="86"/>
    </row>
    <row r="321" spans="1:5">
      <c r="A321" s="86"/>
      <c r="B321" s="86"/>
      <c r="C321" s="86"/>
      <c r="D321" s="86"/>
      <c r="E321" s="86"/>
    </row>
    <row r="322" spans="1:5">
      <c r="A322" s="86"/>
      <c r="B322" s="86"/>
      <c r="C322" s="86"/>
      <c r="D322" s="86"/>
      <c r="E322" s="86"/>
    </row>
    <row r="323" spans="1:5">
      <c r="A323" s="86"/>
      <c r="B323" s="86"/>
      <c r="C323" s="86"/>
      <c r="D323" s="86"/>
      <c r="E323" s="86"/>
    </row>
    <row r="324" spans="1:5">
      <c r="A324" s="86"/>
      <c r="B324" s="86"/>
      <c r="C324" s="86"/>
      <c r="D324" s="86"/>
      <c r="E324" s="86"/>
    </row>
  </sheetData>
  <phoneticPr fontId="0" type="noConversion"/>
  <printOptions horizontalCentered="1" verticalCentered="1"/>
  <pageMargins left="0.4" right="0.4" top="0.3" bottom="0.3" header="0" footer="0"/>
  <pageSetup scale="67" fitToHeight="2" orientation="portrait" r:id="rId1"/>
  <headerFooter alignWithMargins="0"/>
  <rowBreaks count="1" manualBreakCount="1">
    <brk id="73" max="4"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ransitionEvaluation="1" codeName="Sheet72"/>
  <dimension ref="A1:C123"/>
  <sheetViews>
    <sheetView defaultGridColor="0" colorId="22" zoomScale="85" zoomScaleNormal="85" workbookViewId="0">
      <selection activeCell="I24" sqref="I24"/>
    </sheetView>
  </sheetViews>
  <sheetFormatPr defaultColWidth="9.77734375" defaultRowHeight="15"/>
  <cols>
    <col min="1" max="1" width="1.88671875" customWidth="1"/>
    <col min="2" max="2" width="89.44140625" customWidth="1"/>
    <col min="3" max="3" width="12.5546875" customWidth="1"/>
    <col min="5" max="5" width="13.21875" bestFit="1" customWidth="1"/>
  </cols>
  <sheetData>
    <row r="1" spans="1:3" ht="15.75" thickBot="1">
      <c r="A1" t="str">
        <f>'Data sheet'!A59</f>
        <v>Annual Report of Veolia Water New York, Inc.                                                             Year Ended  December 31, 2023</v>
      </c>
    </row>
    <row r="2" spans="1:3">
      <c r="A2" s="80"/>
      <c r="B2" s="81"/>
      <c r="C2" s="82"/>
    </row>
    <row r="3" spans="1:3" ht="15.75">
      <c r="A3" s="118" t="s">
        <v>4046</v>
      </c>
      <c r="B3" s="4"/>
      <c r="C3" s="119"/>
    </row>
    <row r="4" spans="1:3">
      <c r="A4" s="83"/>
      <c r="C4" s="214"/>
    </row>
    <row r="5" spans="1:3">
      <c r="A5" s="83"/>
      <c r="B5" t="s">
        <v>2338</v>
      </c>
      <c r="C5" s="214"/>
    </row>
    <row r="6" spans="1:3">
      <c r="A6" s="83"/>
      <c r="B6" t="s">
        <v>2339</v>
      </c>
      <c r="C6" s="214"/>
    </row>
    <row r="7" spans="1:3">
      <c r="A7" s="83"/>
      <c r="B7" t="s">
        <v>2407</v>
      </c>
      <c r="C7" s="214"/>
    </row>
    <row r="8" spans="1:3">
      <c r="A8" s="83"/>
      <c r="B8" t="s">
        <v>2408</v>
      </c>
      <c r="C8" s="214"/>
    </row>
    <row r="9" spans="1:3">
      <c r="A9" s="83"/>
      <c r="C9" s="214"/>
    </row>
    <row r="10" spans="1:3">
      <c r="A10" s="83"/>
      <c r="B10" t="s">
        <v>1824</v>
      </c>
      <c r="C10" s="214"/>
    </row>
    <row r="11" spans="1:3">
      <c r="A11" s="83"/>
      <c r="B11" t="s">
        <v>2957</v>
      </c>
      <c r="C11" s="214"/>
    </row>
    <row r="12" spans="1:3">
      <c r="A12" s="83"/>
      <c r="B12" t="s">
        <v>2958</v>
      </c>
      <c r="C12" s="214"/>
    </row>
    <row r="13" spans="1:3">
      <c r="A13" s="83"/>
      <c r="B13" t="s">
        <v>126</v>
      </c>
      <c r="C13" s="214"/>
    </row>
    <row r="14" spans="1:3">
      <c r="A14" s="83"/>
      <c r="B14" t="s">
        <v>127</v>
      </c>
      <c r="C14" s="214"/>
    </row>
    <row r="15" spans="1:3">
      <c r="A15" s="83"/>
      <c r="C15" s="214"/>
    </row>
    <row r="16" spans="1:3">
      <c r="A16" s="83"/>
      <c r="B16" t="s">
        <v>128</v>
      </c>
      <c r="C16" s="214"/>
    </row>
    <row r="17" spans="1:3" ht="15.75" thickBot="1">
      <c r="A17" s="124"/>
      <c r="B17" s="125"/>
      <c r="C17" s="217"/>
    </row>
    <row r="18" spans="1:3">
      <c r="A18" s="2107"/>
      <c r="B18" s="2108" t="s">
        <v>218</v>
      </c>
      <c r="C18" s="2109" t="s">
        <v>1807</v>
      </c>
    </row>
    <row r="19" spans="1:3">
      <c r="A19" s="2107"/>
      <c r="B19" s="2110" t="s">
        <v>4439</v>
      </c>
      <c r="C19" s="2111"/>
    </row>
    <row r="20" spans="1:3">
      <c r="A20" s="2107"/>
      <c r="B20" s="2092" t="s">
        <v>4440</v>
      </c>
      <c r="C20" s="2111"/>
    </row>
    <row r="21" spans="1:3">
      <c r="A21" s="2107"/>
      <c r="B21" s="2092" t="s">
        <v>4441</v>
      </c>
      <c r="C21" s="2111"/>
    </row>
    <row r="22" spans="1:3">
      <c r="A22" s="2107"/>
      <c r="B22" s="2092" t="s">
        <v>4442</v>
      </c>
      <c r="C22" s="2111"/>
    </row>
    <row r="23" spans="1:3">
      <c r="A23" s="2107"/>
      <c r="B23" s="2092" t="s">
        <v>4443</v>
      </c>
      <c r="C23" s="2111"/>
    </row>
    <row r="24" spans="1:3">
      <c r="A24" s="2107"/>
      <c r="B24" s="2092" t="s">
        <v>4444</v>
      </c>
      <c r="C24" s="2387">
        <v>2806489</v>
      </c>
    </row>
    <row r="25" spans="1:3">
      <c r="A25" s="2107"/>
      <c r="B25" s="2092"/>
      <c r="C25" s="2387"/>
    </row>
    <row r="26" spans="1:3">
      <c r="A26" s="2107"/>
      <c r="B26" s="2110" t="s">
        <v>4445</v>
      </c>
      <c r="C26" s="2387"/>
    </row>
    <row r="27" spans="1:3">
      <c r="A27" s="2107"/>
      <c r="B27" s="2092" t="s">
        <v>4446</v>
      </c>
      <c r="C27" s="2387"/>
    </row>
    <row r="28" spans="1:3">
      <c r="A28" s="2107"/>
      <c r="B28" s="2092" t="s">
        <v>4447</v>
      </c>
      <c r="C28" s="2387">
        <v>108713</v>
      </c>
    </row>
    <row r="29" spans="1:3">
      <c r="A29" s="2107"/>
      <c r="B29" s="2092"/>
      <c r="C29" s="2387"/>
    </row>
    <row r="30" spans="1:3">
      <c r="A30" s="2107"/>
      <c r="B30" s="2110" t="s">
        <v>4448</v>
      </c>
      <c r="C30" s="2387"/>
    </row>
    <row r="31" spans="1:3">
      <c r="A31" s="2107"/>
      <c r="B31" s="2092" t="s">
        <v>4449</v>
      </c>
      <c r="C31" s="2387"/>
    </row>
    <row r="32" spans="1:3">
      <c r="A32" s="2107"/>
      <c r="B32" s="2092" t="s">
        <v>4450</v>
      </c>
      <c r="C32" s="2387"/>
    </row>
    <row r="33" spans="1:3">
      <c r="A33" s="2107"/>
      <c r="B33" s="2092" t="s">
        <v>4451</v>
      </c>
      <c r="C33" s="2387">
        <v>-75852</v>
      </c>
    </row>
    <row r="34" spans="1:3">
      <c r="A34" s="2107"/>
      <c r="B34" s="2092"/>
      <c r="C34" s="2387"/>
    </row>
    <row r="35" spans="1:3">
      <c r="A35" s="2107"/>
      <c r="B35" s="2110" t="s">
        <v>5571</v>
      </c>
      <c r="C35" s="2387"/>
    </row>
    <row r="36" spans="1:3">
      <c r="A36" s="2107"/>
      <c r="B36" s="2092" t="s">
        <v>5572</v>
      </c>
      <c r="C36" s="2387"/>
    </row>
    <row r="37" spans="1:3">
      <c r="A37" s="2107"/>
      <c r="B37" s="2092" t="s">
        <v>5581</v>
      </c>
      <c r="C37" s="2387"/>
    </row>
    <row r="38" spans="1:3">
      <c r="A38" s="2107"/>
      <c r="B38" s="2092" t="s">
        <v>5582</v>
      </c>
      <c r="C38" s="2387">
        <v>555096</v>
      </c>
    </row>
    <row r="39" spans="1:3">
      <c r="A39" s="2107"/>
      <c r="B39" s="2092"/>
      <c r="C39" s="2387"/>
    </row>
    <row r="40" spans="1:3">
      <c r="A40" s="2107"/>
      <c r="B40" s="2110" t="s">
        <v>4452</v>
      </c>
      <c r="C40" s="2387"/>
    </row>
    <row r="41" spans="1:3">
      <c r="A41" s="2107"/>
      <c r="B41" s="2092" t="s">
        <v>4446</v>
      </c>
      <c r="C41" s="2387"/>
    </row>
    <row r="42" spans="1:3">
      <c r="A42" s="2107"/>
      <c r="B42" s="2092" t="s">
        <v>4453</v>
      </c>
      <c r="C42" s="2387"/>
    </row>
    <row r="43" spans="1:3">
      <c r="A43" s="2107"/>
      <c r="B43" s="2092" t="s">
        <v>4454</v>
      </c>
      <c r="C43" s="2387">
        <v>216128</v>
      </c>
    </row>
    <row r="44" spans="1:3">
      <c r="A44" s="2107"/>
      <c r="B44" s="2092"/>
      <c r="C44" s="2387"/>
    </row>
    <row r="45" spans="1:3">
      <c r="A45" s="2107"/>
      <c r="B45" s="2110" t="s">
        <v>4455</v>
      </c>
      <c r="C45" s="2387"/>
    </row>
    <row r="46" spans="1:3">
      <c r="A46" s="2107"/>
      <c r="B46" s="2092" t="s">
        <v>4456</v>
      </c>
      <c r="C46" s="2387"/>
    </row>
    <row r="47" spans="1:3">
      <c r="A47" s="2107"/>
      <c r="B47" s="2092" t="s">
        <v>5573</v>
      </c>
      <c r="C47" s="2387">
        <v>242778</v>
      </c>
    </row>
    <row r="48" spans="1:3">
      <c r="A48" s="2107"/>
      <c r="B48" s="2092"/>
      <c r="C48" s="2387"/>
    </row>
    <row r="49" spans="1:3">
      <c r="A49" s="2107"/>
      <c r="B49" s="2110" t="s">
        <v>4457</v>
      </c>
      <c r="C49" s="2387"/>
    </row>
    <row r="50" spans="1:3">
      <c r="A50" s="2107"/>
      <c r="B50" s="2092" t="s">
        <v>4458</v>
      </c>
      <c r="C50" s="2387"/>
    </row>
    <row r="51" spans="1:3">
      <c r="A51" s="2107"/>
      <c r="B51" s="2092" t="s">
        <v>4459</v>
      </c>
      <c r="C51" s="2387"/>
    </row>
    <row r="52" spans="1:3">
      <c r="A52" s="2107"/>
      <c r="B52" s="2092" t="s">
        <v>4460</v>
      </c>
      <c r="C52" s="2387">
        <v>68087</v>
      </c>
    </row>
    <row r="53" spans="1:3">
      <c r="A53" s="2107"/>
      <c r="B53" s="2092"/>
      <c r="C53" s="2388"/>
    </row>
    <row r="54" spans="1:3">
      <c r="A54" s="2107"/>
      <c r="B54" s="2092"/>
      <c r="C54" s="2111"/>
    </row>
    <row r="55" spans="1:3">
      <c r="A55" s="2107"/>
      <c r="B55" s="2092"/>
      <c r="C55" s="2111"/>
    </row>
    <row r="56" spans="1:3">
      <c r="A56" s="2107"/>
      <c r="B56" s="2092"/>
      <c r="C56" s="2111"/>
    </row>
    <row r="57" spans="1:3">
      <c r="A57" s="2107"/>
      <c r="B57" s="2092"/>
      <c r="C57" s="2111"/>
    </row>
    <row r="58" spans="1:3">
      <c r="A58" s="2107"/>
      <c r="B58" s="2092"/>
      <c r="C58" s="2111"/>
    </row>
    <row r="59" spans="1:3">
      <c r="A59" s="2107"/>
      <c r="B59" s="2092"/>
      <c r="C59" s="2111"/>
    </row>
    <row r="60" spans="1:3" ht="15.75" thickBot="1">
      <c r="A60" s="2112"/>
      <c r="B60" s="2113"/>
      <c r="C60" s="2114"/>
    </row>
    <row r="61" spans="1:3">
      <c r="A61" s="86"/>
      <c r="B61" s="86"/>
      <c r="C61" s="405" t="s">
        <v>2024</v>
      </c>
    </row>
    <row r="62" spans="1:3">
      <c r="A62" s="5" t="s">
        <v>129</v>
      </c>
      <c r="B62" s="5"/>
      <c r="C62" s="5"/>
    </row>
    <row r="63" spans="1:3" ht="15.75" thickBot="1">
      <c r="A63" s="86" t="str">
        <f>'Data sheet'!A55</f>
        <v>Annual Report of Veolia Water New York, Inc.                                  Year Ended  December 31, 2023</v>
      </c>
      <c r="B63" s="86"/>
      <c r="C63" s="86"/>
    </row>
    <row r="64" spans="1:3">
      <c r="A64" s="129"/>
      <c r="B64" s="130"/>
      <c r="C64" s="131"/>
    </row>
    <row r="65" spans="1:3" ht="15.75">
      <c r="A65" s="118" t="s">
        <v>130</v>
      </c>
      <c r="B65" s="5"/>
      <c r="C65" s="132"/>
    </row>
    <row r="66" spans="1:3" ht="15.75" thickBot="1">
      <c r="A66" s="154"/>
      <c r="B66" s="113"/>
      <c r="C66" s="116"/>
    </row>
    <row r="67" spans="1:3">
      <c r="A67" s="2107"/>
      <c r="B67" s="2092"/>
      <c r="C67" s="2111"/>
    </row>
    <row r="68" spans="1:3">
      <c r="A68" s="2107"/>
      <c r="B68" s="2110" t="s">
        <v>4461</v>
      </c>
      <c r="C68" s="2111"/>
    </row>
    <row r="69" spans="1:3">
      <c r="A69" s="2107"/>
      <c r="B69" s="2092" t="s">
        <v>4462</v>
      </c>
      <c r="C69" s="2111"/>
    </row>
    <row r="70" spans="1:3">
      <c r="A70" s="2107"/>
      <c r="B70" s="2092" t="s">
        <v>4532</v>
      </c>
      <c r="C70" s="2111"/>
    </row>
    <row r="71" spans="1:3">
      <c r="A71" s="2107"/>
      <c r="B71" s="2092" t="s">
        <v>4463</v>
      </c>
      <c r="C71" s="2111"/>
    </row>
    <row r="72" spans="1:3">
      <c r="A72" s="2107"/>
      <c r="B72" s="2092" t="s">
        <v>5574</v>
      </c>
      <c r="C72" s="2387">
        <v>1704131</v>
      </c>
    </row>
    <row r="73" spans="1:3">
      <c r="A73" s="2107"/>
      <c r="B73" s="2092"/>
      <c r="C73" s="2111"/>
    </row>
    <row r="74" spans="1:3">
      <c r="A74" s="2107"/>
      <c r="B74" s="2092"/>
      <c r="C74" s="2387"/>
    </row>
    <row r="75" spans="1:3">
      <c r="A75" s="2107"/>
      <c r="B75" s="2092"/>
      <c r="C75" s="2387"/>
    </row>
    <row r="76" spans="1:3">
      <c r="A76" s="2107"/>
      <c r="B76" s="2110" t="s">
        <v>4464</v>
      </c>
      <c r="C76" s="2387"/>
    </row>
    <row r="77" spans="1:3">
      <c r="A77" s="2107"/>
      <c r="B77" s="2092" t="s">
        <v>5575</v>
      </c>
      <c r="C77" s="2387"/>
    </row>
    <row r="78" spans="1:3">
      <c r="A78" s="2107"/>
      <c r="B78" s="2092" t="s">
        <v>5576</v>
      </c>
      <c r="C78" s="2387"/>
    </row>
    <row r="79" spans="1:3">
      <c r="A79" s="2107"/>
      <c r="B79" s="2092" t="s">
        <v>5577</v>
      </c>
      <c r="C79" s="2387"/>
    </row>
    <row r="80" spans="1:3">
      <c r="A80" s="2107"/>
      <c r="B80" s="2092" t="s">
        <v>5578</v>
      </c>
      <c r="C80" s="2387"/>
    </row>
    <row r="81" spans="1:3">
      <c r="A81" s="2107"/>
      <c r="B81" s="2092" t="s">
        <v>5579</v>
      </c>
      <c r="C81" s="2387"/>
    </row>
    <row r="82" spans="1:3">
      <c r="A82" s="2107"/>
      <c r="B82" s="2092" t="s">
        <v>5580</v>
      </c>
      <c r="C82" s="2387">
        <v>-789577</v>
      </c>
    </row>
    <row r="83" spans="1:3">
      <c r="A83" s="2107"/>
      <c r="B83" s="2092"/>
      <c r="C83" s="2111"/>
    </row>
    <row r="84" spans="1:3">
      <c r="A84" s="2107"/>
      <c r="B84" s="2092"/>
      <c r="C84" s="2111"/>
    </row>
    <row r="85" spans="1:3">
      <c r="A85" s="2107"/>
      <c r="B85" s="2092"/>
      <c r="C85" s="2111"/>
    </row>
    <row r="86" spans="1:3">
      <c r="A86" s="2107"/>
      <c r="B86" s="2838" t="s">
        <v>5586</v>
      </c>
      <c r="C86" s="2839">
        <v>39153</v>
      </c>
    </row>
    <row r="87" spans="1:3">
      <c r="A87" s="2107"/>
      <c r="B87" s="2092"/>
      <c r="C87" s="2111"/>
    </row>
    <row r="88" spans="1:3">
      <c r="A88" s="2107"/>
      <c r="B88" s="2092"/>
      <c r="C88" s="2111"/>
    </row>
    <row r="89" spans="1:3">
      <c r="A89" s="2107"/>
      <c r="B89" s="2092"/>
      <c r="C89" s="2111"/>
    </row>
    <row r="90" spans="1:3">
      <c r="A90" s="2107"/>
      <c r="B90" s="2092"/>
      <c r="C90" s="2111"/>
    </row>
    <row r="91" spans="1:3">
      <c r="A91" s="2107"/>
      <c r="B91" s="2092"/>
      <c r="C91" s="2111"/>
    </row>
    <row r="92" spans="1:3">
      <c r="A92" s="2107"/>
      <c r="B92" s="2092"/>
      <c r="C92" s="2111"/>
    </row>
    <row r="93" spans="1:3">
      <c r="A93" s="2107"/>
      <c r="B93" s="2092"/>
      <c r="C93" s="2111"/>
    </row>
    <row r="94" spans="1:3">
      <c r="A94" s="2107"/>
      <c r="B94" s="2092"/>
      <c r="C94" s="2111"/>
    </row>
    <row r="95" spans="1:3">
      <c r="A95" s="2107"/>
      <c r="B95" s="2092"/>
      <c r="C95" s="2111"/>
    </row>
    <row r="96" spans="1:3">
      <c r="A96" s="2107"/>
      <c r="B96" s="2092"/>
      <c r="C96" s="2111"/>
    </row>
    <row r="97" spans="1:3">
      <c r="A97" s="2107"/>
      <c r="B97" s="2092"/>
      <c r="C97" s="2111"/>
    </row>
    <row r="98" spans="1:3">
      <c r="A98" s="2107"/>
      <c r="B98" s="2092"/>
      <c r="C98" s="2111"/>
    </row>
    <row r="99" spans="1:3">
      <c r="A99" s="2107"/>
      <c r="B99" s="2092"/>
      <c r="C99" s="2111"/>
    </row>
    <row r="100" spans="1:3">
      <c r="A100" s="2107"/>
      <c r="B100" s="2092"/>
      <c r="C100" s="2111"/>
    </row>
    <row r="101" spans="1:3">
      <c r="A101" s="2107"/>
      <c r="B101" s="2092"/>
      <c r="C101" s="2111"/>
    </row>
    <row r="102" spans="1:3">
      <c r="A102" s="2107"/>
      <c r="B102" s="2092"/>
      <c r="C102" s="2111"/>
    </row>
    <row r="103" spans="1:3">
      <c r="A103" s="2107"/>
      <c r="B103" s="2092"/>
      <c r="C103" s="2111"/>
    </row>
    <row r="104" spans="1:3">
      <c r="A104" s="2107"/>
      <c r="B104" s="2092"/>
      <c r="C104" s="2111"/>
    </row>
    <row r="105" spans="1:3">
      <c r="A105" s="2107"/>
      <c r="B105" s="2092"/>
      <c r="C105" s="2111"/>
    </row>
    <row r="106" spans="1:3">
      <c r="A106" s="2107"/>
      <c r="B106" s="2092"/>
      <c r="C106" s="2111"/>
    </row>
    <row r="107" spans="1:3">
      <c r="A107" s="2107"/>
      <c r="B107" s="2092"/>
      <c r="C107" s="2111"/>
    </row>
    <row r="108" spans="1:3">
      <c r="A108" s="2107"/>
      <c r="B108" s="2092"/>
      <c r="C108" s="2111"/>
    </row>
    <row r="109" spans="1:3">
      <c r="A109" s="2107"/>
      <c r="B109" s="2092"/>
      <c r="C109" s="2111"/>
    </row>
    <row r="110" spans="1:3">
      <c r="A110" s="2107"/>
      <c r="B110" s="2092"/>
      <c r="C110" s="2111"/>
    </row>
    <row r="111" spans="1:3">
      <c r="A111" s="2107"/>
      <c r="B111" s="2092"/>
      <c r="C111" s="2111"/>
    </row>
    <row r="112" spans="1:3">
      <c r="A112" s="2107"/>
      <c r="B112" s="2092"/>
      <c r="C112" s="2111"/>
    </row>
    <row r="113" spans="1:3">
      <c r="A113" s="2107"/>
      <c r="B113" s="2092"/>
      <c r="C113" s="2111"/>
    </row>
    <row r="114" spans="1:3">
      <c r="A114" s="2107"/>
      <c r="B114" s="2092"/>
      <c r="C114" s="2111"/>
    </row>
    <row r="115" spans="1:3">
      <c r="A115" s="2107"/>
      <c r="B115" s="2092"/>
      <c r="C115" s="2111"/>
    </row>
    <row r="116" spans="1:3">
      <c r="A116" s="2107"/>
      <c r="B116" s="2092"/>
      <c r="C116" s="2111"/>
    </row>
    <row r="117" spans="1:3">
      <c r="A117" s="2107"/>
      <c r="B117" s="2092"/>
      <c r="C117" s="2111"/>
    </row>
    <row r="118" spans="1:3">
      <c r="A118" s="2107"/>
      <c r="B118" s="2092"/>
      <c r="C118" s="2111"/>
    </row>
    <row r="119" spans="1:3">
      <c r="A119" s="2107"/>
      <c r="B119" s="2092"/>
      <c r="C119" s="2111"/>
    </row>
    <row r="120" spans="1:3">
      <c r="A120" s="2107"/>
      <c r="B120" s="2092"/>
      <c r="C120" s="2111"/>
    </row>
    <row r="121" spans="1:3" ht="15.75" thickBot="1">
      <c r="A121" s="2112"/>
      <c r="B121" s="2113"/>
      <c r="C121" s="2114"/>
    </row>
    <row r="122" spans="1:3">
      <c r="A122" s="86" t="s">
        <v>2024</v>
      </c>
      <c r="B122" s="86"/>
      <c r="C122" s="86" t="s">
        <v>218</v>
      </c>
    </row>
    <row r="123" spans="1:3">
      <c r="A123" s="5" t="s">
        <v>131</v>
      </c>
      <c r="B123" s="5"/>
      <c r="C123" s="5"/>
    </row>
  </sheetData>
  <phoneticPr fontId="0" type="noConversion"/>
  <printOptions horizontalCentered="1" verticalCentered="1"/>
  <pageMargins left="0.32" right="0.4" top="0.3" bottom="0.3" header="0" footer="0"/>
  <pageSetup scale="80" fitToHeight="2" orientation="portrait" r:id="rId1"/>
  <headerFooter alignWithMargins="0"/>
  <rowBreaks count="1" manualBreakCount="1">
    <brk id="6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7"/>
  <dimension ref="B1:J122"/>
  <sheetViews>
    <sheetView defaultGridColor="0" colorId="22" zoomScaleNormal="100" workbookViewId="0">
      <selection activeCell="C23" sqref="C23"/>
    </sheetView>
  </sheetViews>
  <sheetFormatPr defaultColWidth="9.77734375" defaultRowHeight="15"/>
  <cols>
    <col min="1" max="1" width="3.77734375" customWidth="1"/>
    <col min="2" max="2" width="2.77734375" style="1989" customWidth="1"/>
    <col min="3" max="3" width="33.77734375" style="1989" customWidth="1"/>
    <col min="4" max="4" width="3.77734375" style="1989" customWidth="1"/>
    <col min="5" max="5" width="3.21875" style="1989" customWidth="1"/>
    <col min="6" max="6" width="2.88671875" style="1989" customWidth="1"/>
    <col min="7" max="7" width="17.77734375" style="1989" customWidth="1"/>
    <col min="8" max="8" width="16.77734375" style="1989" customWidth="1"/>
    <col min="9" max="9" width="20.21875" style="1989" customWidth="1"/>
  </cols>
  <sheetData>
    <row r="1" spans="2:9" ht="15.75" thickBot="1">
      <c r="B1" s="1989" t="str">
        <f>'Data sheet'!A59</f>
        <v>Annual Report of Veolia Water New York, Inc.                                                             Year Ended  December 31, 2023</v>
      </c>
    </row>
    <row r="2" spans="2:9">
      <c r="B2" s="2002"/>
      <c r="C2" s="2003"/>
      <c r="D2" s="2003"/>
      <c r="E2" s="2003"/>
      <c r="F2" s="2003"/>
      <c r="G2" s="2003"/>
      <c r="H2" s="2003"/>
      <c r="I2" s="2004"/>
    </row>
    <row r="3" spans="2:9" ht="15.75">
      <c r="B3" s="2012" t="s">
        <v>2701</v>
      </c>
      <c r="C3" s="1996"/>
      <c r="D3" s="1996"/>
      <c r="E3" s="1996"/>
      <c r="F3" s="1996"/>
      <c r="G3" s="1996"/>
      <c r="H3" s="1996"/>
      <c r="I3" s="2013"/>
    </row>
    <row r="4" spans="2:9">
      <c r="B4" s="2014"/>
      <c r="C4" s="2015"/>
      <c r="D4" s="2015"/>
      <c r="E4" s="2015"/>
      <c r="F4" s="2015"/>
      <c r="G4" s="2015"/>
      <c r="H4" s="2015"/>
      <c r="I4" s="2016"/>
    </row>
    <row r="5" spans="2:9">
      <c r="B5" s="2005"/>
      <c r="C5" s="1996"/>
      <c r="D5" s="1996"/>
      <c r="E5" s="1996"/>
      <c r="F5" s="1996"/>
      <c r="G5" s="1996"/>
      <c r="H5" s="1996"/>
      <c r="I5" s="2013"/>
    </row>
    <row r="6" spans="2:9">
      <c r="B6" s="2005"/>
      <c r="C6" s="1999" t="s">
        <v>2702</v>
      </c>
      <c r="D6" s="1996"/>
      <c r="E6" s="1996"/>
      <c r="F6" s="1996"/>
      <c r="G6" s="1996"/>
      <c r="H6" s="1996"/>
      <c r="I6" s="2013"/>
    </row>
    <row r="7" spans="2:9">
      <c r="B7" s="2005"/>
      <c r="C7" s="1999" t="s">
        <v>2703</v>
      </c>
      <c r="D7" s="1996"/>
      <c r="E7" s="1996"/>
      <c r="F7" s="1996"/>
      <c r="G7" s="1996"/>
      <c r="H7" s="1996"/>
      <c r="I7" s="2013"/>
    </row>
    <row r="8" spans="2:9">
      <c r="B8" s="2005"/>
      <c r="C8" s="1999" t="s">
        <v>2704</v>
      </c>
      <c r="D8" s="1996"/>
      <c r="E8" s="1996"/>
      <c r="F8" s="1996"/>
      <c r="G8" s="1996"/>
      <c r="H8" s="1996"/>
      <c r="I8" s="2013"/>
    </row>
    <row r="9" spans="2:9">
      <c r="B9" s="2005"/>
      <c r="C9" s="1999" t="s">
        <v>2948</v>
      </c>
      <c r="D9" s="1996"/>
      <c r="E9" s="1996"/>
      <c r="F9" s="1996"/>
      <c r="G9" s="1996"/>
      <c r="H9" s="1996"/>
      <c r="I9" s="2013"/>
    </row>
    <row r="10" spans="2:9">
      <c r="B10" s="2005"/>
      <c r="C10" s="1999" t="s">
        <v>2243</v>
      </c>
      <c r="D10" s="1996"/>
      <c r="E10" s="1996"/>
      <c r="F10" s="1996"/>
      <c r="G10" s="1996"/>
      <c r="H10" s="1996"/>
      <c r="I10" s="2013"/>
    </row>
    <row r="11" spans="2:9">
      <c r="B11" s="2005"/>
      <c r="C11" s="1999" t="s">
        <v>2105</v>
      </c>
      <c r="D11" s="1996"/>
      <c r="E11" s="1996"/>
      <c r="F11" s="1996"/>
      <c r="G11" s="1996"/>
      <c r="H11" s="1996"/>
      <c r="I11" s="2013"/>
    </row>
    <row r="12" spans="2:9">
      <c r="B12" s="2005"/>
      <c r="C12" s="1999" t="s">
        <v>2106</v>
      </c>
      <c r="D12" s="1996"/>
      <c r="E12" s="1996"/>
      <c r="F12" s="1996"/>
      <c r="G12" s="1996"/>
      <c r="H12" s="1996"/>
      <c r="I12" s="2013"/>
    </row>
    <row r="13" spans="2:9">
      <c r="B13" s="2005"/>
      <c r="C13" s="1999" t="s">
        <v>278</v>
      </c>
      <c r="D13" s="1996"/>
      <c r="E13" s="1996"/>
      <c r="F13" s="1996"/>
      <c r="G13" s="1996"/>
      <c r="H13" s="1996"/>
      <c r="I13" s="2013"/>
    </row>
    <row r="14" spans="2:9">
      <c r="B14" s="2017"/>
      <c r="C14" s="2015"/>
      <c r="D14" s="2015"/>
      <c r="E14" s="2015"/>
      <c r="F14" s="2015"/>
      <c r="G14" s="2015"/>
      <c r="H14" s="2015"/>
      <c r="I14" s="2016"/>
    </row>
    <row r="15" spans="2:9">
      <c r="B15" s="2682"/>
      <c r="C15" s="2683"/>
      <c r="D15" s="2683"/>
      <c r="E15" s="2683"/>
      <c r="F15" s="2683"/>
      <c r="G15" s="2683"/>
      <c r="H15" s="2683"/>
      <c r="I15" s="2684"/>
    </row>
    <row r="16" spans="2:9">
      <c r="B16" s="2689" t="s">
        <v>284</v>
      </c>
      <c r="C16" s="2690" t="s">
        <v>5116</v>
      </c>
      <c r="D16" s="2690"/>
      <c r="E16" s="2690"/>
      <c r="F16" s="2690"/>
      <c r="G16" s="2690"/>
      <c r="H16" s="2691"/>
      <c r="I16" s="2685"/>
    </row>
    <row r="17" spans="2:9">
      <c r="B17" s="2692"/>
      <c r="C17" s="2690" t="s">
        <v>5126</v>
      </c>
      <c r="D17" s="2691"/>
      <c r="E17" s="2691"/>
      <c r="F17" s="2691"/>
      <c r="G17" s="2691"/>
      <c r="H17" s="2691"/>
      <c r="I17" s="2685"/>
    </row>
    <row r="18" spans="2:9">
      <c r="B18" s="2692"/>
      <c r="C18" s="2690" t="s">
        <v>5127</v>
      </c>
      <c r="D18" s="2691"/>
      <c r="E18" s="2691"/>
      <c r="F18" s="2691"/>
      <c r="G18" s="2691"/>
      <c r="H18" s="2691"/>
      <c r="I18" s="2685"/>
    </row>
    <row r="19" spans="2:9">
      <c r="B19" s="2692"/>
      <c r="C19" s="2690" t="s">
        <v>5128</v>
      </c>
      <c r="D19" s="2693"/>
      <c r="E19" s="2693"/>
      <c r="F19" s="2693"/>
      <c r="G19" s="2693"/>
      <c r="H19" s="2691"/>
      <c r="I19" s="2685"/>
    </row>
    <row r="20" spans="2:9">
      <c r="B20" s="2692"/>
      <c r="C20" s="2690"/>
      <c r="D20" s="2693"/>
      <c r="E20" s="2693"/>
      <c r="F20" s="2693"/>
      <c r="G20" s="2693"/>
      <c r="H20" s="2691"/>
      <c r="I20" s="2685"/>
    </row>
    <row r="21" spans="2:9">
      <c r="B21" s="2689" t="s">
        <v>1687</v>
      </c>
      <c r="C21" s="2690" t="s">
        <v>5117</v>
      </c>
      <c r="D21" s="2693"/>
      <c r="E21" s="2693"/>
      <c r="F21" s="2693"/>
      <c r="G21" s="2693"/>
      <c r="H21" s="2691"/>
      <c r="I21" s="2685"/>
    </row>
    <row r="22" spans="2:9">
      <c r="B22" s="2692"/>
      <c r="C22" s="2690" t="s">
        <v>5619</v>
      </c>
      <c r="D22" s="2693"/>
      <c r="E22" s="2693"/>
      <c r="F22" s="2693"/>
      <c r="G22" s="2693"/>
      <c r="H22" s="2691"/>
      <c r="I22" s="2685"/>
    </row>
    <row r="23" spans="2:9">
      <c r="B23" s="2692"/>
      <c r="C23" s="2690" t="s">
        <v>4635</v>
      </c>
      <c r="D23" s="2690"/>
      <c r="E23" s="2690"/>
      <c r="F23" s="2690"/>
      <c r="G23" s="2690"/>
      <c r="H23" s="2691"/>
      <c r="I23" s="2685"/>
    </row>
    <row r="24" spans="2:9">
      <c r="B24" s="2692"/>
      <c r="C24" s="2690" t="s">
        <v>4763</v>
      </c>
      <c r="D24" s="2690"/>
      <c r="E24" s="2690"/>
      <c r="F24" s="2690"/>
      <c r="G24" s="2690"/>
      <c r="H24" s="2691"/>
      <c r="I24" s="2685"/>
    </row>
    <row r="25" spans="2:9">
      <c r="B25" s="2692"/>
      <c r="C25" s="2690" t="s">
        <v>4711</v>
      </c>
      <c r="D25" s="2693"/>
      <c r="E25" s="2690"/>
      <c r="F25" s="2690"/>
      <c r="G25" s="2690"/>
      <c r="H25" s="2691"/>
      <c r="I25" s="2685"/>
    </row>
    <row r="26" spans="2:9">
      <c r="B26" s="2692"/>
      <c r="C26" s="2690" t="s">
        <v>4662</v>
      </c>
      <c r="D26" s="2690"/>
      <c r="E26" s="2690"/>
      <c r="F26" s="2690"/>
      <c r="G26" s="2690"/>
      <c r="H26" s="2691"/>
      <c r="I26" s="2685"/>
    </row>
    <row r="27" spans="2:9" ht="15" customHeight="1">
      <c r="B27" s="2692"/>
      <c r="C27" s="2690" t="s">
        <v>4636</v>
      </c>
      <c r="D27" s="2694"/>
      <c r="E27" s="2694"/>
      <c r="F27" s="2694"/>
      <c r="G27" s="2694"/>
      <c r="H27" s="2694"/>
      <c r="I27" s="2685"/>
    </row>
    <row r="28" spans="2:9" ht="15" customHeight="1">
      <c r="B28" s="2692"/>
      <c r="C28" s="2690" t="s">
        <v>5590</v>
      </c>
      <c r="D28" s="2694"/>
      <c r="E28" s="2694"/>
      <c r="F28" s="2694"/>
      <c r="G28" s="2694"/>
      <c r="H28" s="2694"/>
      <c r="I28" s="2685"/>
    </row>
    <row r="29" spans="2:9" ht="15" customHeight="1">
      <c r="B29" s="2692"/>
      <c r="C29" s="2690" t="s">
        <v>4590</v>
      </c>
      <c r="D29" s="2694"/>
      <c r="E29" s="2694"/>
      <c r="F29" s="2694"/>
      <c r="G29" s="2694"/>
      <c r="H29" s="2694"/>
      <c r="I29" s="2685"/>
    </row>
    <row r="30" spans="2:9" ht="15" customHeight="1">
      <c r="B30" s="2692"/>
      <c r="C30" s="2690" t="s">
        <v>4637</v>
      </c>
      <c r="D30" s="2694"/>
      <c r="E30" s="2694"/>
      <c r="F30" s="2694"/>
      <c r="G30" s="2694"/>
      <c r="H30" s="2694"/>
      <c r="I30" s="2685"/>
    </row>
    <row r="31" spans="2:9" ht="15" customHeight="1">
      <c r="B31" s="2692"/>
      <c r="C31" s="2693" t="s">
        <v>4638</v>
      </c>
      <c r="D31" s="2693"/>
      <c r="E31" s="2690"/>
      <c r="F31" s="2690"/>
      <c r="G31" s="2690"/>
      <c r="H31" s="2694"/>
      <c r="I31" s="2685"/>
    </row>
    <row r="32" spans="2:9" ht="15" customHeight="1">
      <c r="B32" s="2692"/>
      <c r="C32" s="2690" t="s">
        <v>4639</v>
      </c>
      <c r="D32" s="2693"/>
      <c r="E32" s="2694"/>
      <c r="F32" s="2694"/>
      <c r="G32" s="2694"/>
      <c r="H32" s="2691"/>
      <c r="I32" s="2685"/>
    </row>
    <row r="33" spans="2:9">
      <c r="B33" s="2692"/>
      <c r="C33" s="2693" t="s">
        <v>5591</v>
      </c>
      <c r="D33" s="2693"/>
      <c r="E33" s="2693"/>
      <c r="F33" s="2693"/>
      <c r="G33" s="2693"/>
      <c r="H33" s="2691"/>
      <c r="I33" s="2685"/>
    </row>
    <row r="34" spans="2:9">
      <c r="B34" s="2692"/>
      <c r="C34" s="2690" t="s">
        <v>5592</v>
      </c>
      <c r="D34" s="2693"/>
      <c r="E34" s="2693"/>
      <c r="F34" s="2693"/>
      <c r="G34" s="2693"/>
      <c r="H34" s="2691"/>
      <c r="I34" s="2685"/>
    </row>
    <row r="35" spans="2:9">
      <c r="B35" s="2692"/>
      <c r="C35" s="2693" t="s">
        <v>5593</v>
      </c>
      <c r="D35" s="2693"/>
      <c r="E35" s="2693"/>
      <c r="F35" s="2693"/>
      <c r="G35" s="2693"/>
      <c r="H35" s="2691"/>
      <c r="I35" s="2685"/>
    </row>
    <row r="36" spans="2:9">
      <c r="B36" s="2692"/>
      <c r="C36" s="2693" t="s">
        <v>4589</v>
      </c>
      <c r="D36" s="2693"/>
      <c r="E36" s="2693"/>
      <c r="F36" s="2693"/>
      <c r="G36" s="2693"/>
      <c r="H36" s="2691"/>
      <c r="I36" s="2685"/>
    </row>
    <row r="37" spans="2:9">
      <c r="B37" s="2692"/>
      <c r="C37" s="2693"/>
      <c r="D37" s="2693"/>
      <c r="E37" s="2693"/>
      <c r="F37" s="2693"/>
      <c r="G37" s="2693"/>
      <c r="H37" s="2691"/>
      <c r="I37" s="2685"/>
    </row>
    <row r="38" spans="2:9">
      <c r="B38" s="2692"/>
      <c r="C38" s="2693"/>
      <c r="D38" s="2693"/>
      <c r="E38" s="2693"/>
      <c r="F38" s="2693"/>
      <c r="G38" s="2693"/>
      <c r="H38" s="2691"/>
      <c r="I38" s="2685"/>
    </row>
    <row r="39" spans="2:9">
      <c r="B39" s="2692" t="s">
        <v>3053</v>
      </c>
      <c r="C39" s="2693" t="s">
        <v>3437</v>
      </c>
      <c r="D39" s="2693"/>
      <c r="E39" s="2693"/>
      <c r="F39" s="2693"/>
      <c r="G39" s="2693"/>
      <c r="H39" s="2691"/>
      <c r="I39" s="2685"/>
    </row>
    <row r="40" spans="2:9">
      <c r="B40" s="2692"/>
      <c r="C40" s="2693" t="s">
        <v>3438</v>
      </c>
      <c r="D40" s="2693"/>
      <c r="E40" s="2693"/>
      <c r="F40" s="2693"/>
      <c r="G40" s="2693"/>
      <c r="H40" s="2691"/>
      <c r="I40" s="2685"/>
    </row>
    <row r="41" spans="2:9">
      <c r="B41" s="2692"/>
      <c r="C41" s="2690" t="s">
        <v>3439</v>
      </c>
      <c r="D41" s="2693"/>
      <c r="E41" s="2693"/>
      <c r="F41" s="2693"/>
      <c r="G41" s="2693"/>
      <c r="H41" s="2691"/>
      <c r="I41" s="2685"/>
    </row>
    <row r="42" spans="2:9" ht="15" customHeight="1">
      <c r="B42" s="2692"/>
      <c r="C42" s="2690" t="s">
        <v>3440</v>
      </c>
      <c r="D42" s="2693"/>
      <c r="E42" s="2691"/>
      <c r="F42" s="2691"/>
      <c r="G42" s="2691"/>
      <c r="H42" s="2691"/>
      <c r="I42" s="2685"/>
    </row>
    <row r="43" spans="2:9">
      <c r="B43" s="2692"/>
      <c r="C43" s="2693" t="s">
        <v>3441</v>
      </c>
      <c r="D43" s="2691"/>
      <c r="E43" s="2693"/>
      <c r="F43" s="2693"/>
      <c r="G43" s="2693"/>
      <c r="H43" s="2691"/>
      <c r="I43" s="2685"/>
    </row>
    <row r="44" spans="2:9">
      <c r="B44" s="2692"/>
      <c r="C44" s="2693" t="s">
        <v>3442</v>
      </c>
      <c r="D44" s="2691"/>
      <c r="E44" s="2693"/>
      <c r="F44" s="2693"/>
      <c r="G44" s="2693"/>
      <c r="H44" s="2691"/>
      <c r="I44" s="2685"/>
    </row>
    <row r="45" spans="2:9">
      <c r="B45" s="2692"/>
      <c r="C45" s="2693" t="s">
        <v>3443</v>
      </c>
      <c r="D45" s="2691"/>
      <c r="E45" s="2693"/>
      <c r="F45" s="2693"/>
      <c r="G45" s="2693"/>
      <c r="H45" s="2691"/>
      <c r="I45" s="2685"/>
    </row>
    <row r="46" spans="2:9">
      <c r="B46" s="2692"/>
      <c r="C46" s="2693"/>
      <c r="D46" s="2691"/>
      <c r="E46" s="2693"/>
      <c r="F46" s="2693"/>
      <c r="G46" s="2693"/>
      <c r="H46" s="2691"/>
      <c r="I46" s="2685"/>
    </row>
    <row r="47" spans="2:9">
      <c r="B47" s="2692" t="s">
        <v>2364</v>
      </c>
      <c r="C47" s="2693" t="s">
        <v>4634</v>
      </c>
      <c r="D47" s="2691"/>
      <c r="E47" s="2693"/>
      <c r="F47" s="2693"/>
      <c r="G47" s="2693"/>
      <c r="H47" s="2691"/>
      <c r="I47" s="2685"/>
    </row>
    <row r="48" spans="2:9">
      <c r="B48" s="2692"/>
      <c r="C48" s="2693"/>
      <c r="D48" s="2691"/>
      <c r="E48" s="2693"/>
      <c r="F48" s="2693"/>
      <c r="G48" s="2693"/>
      <c r="H48" s="2691"/>
      <c r="I48" s="2685"/>
    </row>
    <row r="49" spans="2:9">
      <c r="B49" s="2689" t="s">
        <v>2366</v>
      </c>
      <c r="C49" s="2690" t="s">
        <v>3444</v>
      </c>
      <c r="D49" s="2693"/>
      <c r="E49" s="2691"/>
      <c r="F49" s="2691"/>
      <c r="G49" s="2691"/>
      <c r="H49" s="2691"/>
      <c r="I49" s="2685"/>
    </row>
    <row r="50" spans="2:9">
      <c r="B50" s="2005"/>
      <c r="C50" s="1999" t="s">
        <v>5118</v>
      </c>
      <c r="D50" s="2654"/>
      <c r="E50" s="2654"/>
      <c r="F50" s="2654"/>
      <c r="G50" s="2654"/>
      <c r="H50" s="2654"/>
      <c r="I50" s="2688"/>
    </row>
    <row r="51" spans="2:9">
      <c r="B51" s="2005"/>
      <c r="C51" s="2686" t="s">
        <v>5119</v>
      </c>
      <c r="D51" s="2687"/>
      <c r="E51" s="2687"/>
      <c r="F51" s="2687"/>
      <c r="G51" s="2687"/>
      <c r="H51" s="2654"/>
      <c r="I51" s="2688"/>
    </row>
    <row r="52" spans="2:9">
      <c r="B52" s="2005"/>
      <c r="C52" s="2686" t="s">
        <v>3445</v>
      </c>
      <c r="D52" s="2687"/>
      <c r="E52" s="2687"/>
      <c r="F52" s="2687"/>
      <c r="G52" s="2687"/>
      <c r="H52" s="2654"/>
      <c r="I52" s="2688"/>
    </row>
    <row r="53" spans="2:9">
      <c r="B53" s="2005"/>
      <c r="C53" s="2686"/>
      <c r="D53" s="2687"/>
      <c r="E53" s="2687"/>
      <c r="F53" s="2687"/>
      <c r="G53" s="2687"/>
      <c r="H53" s="2654"/>
      <c r="I53" s="2688"/>
    </row>
    <row r="54" spans="2:9">
      <c r="B54" s="2005"/>
      <c r="C54" s="2686"/>
      <c r="D54" s="2687"/>
      <c r="E54" s="2687"/>
      <c r="F54" s="2687"/>
      <c r="G54" s="2687"/>
      <c r="H54" s="2654"/>
      <c r="I54" s="2688"/>
    </row>
    <row r="55" spans="2:9">
      <c r="B55" s="2005"/>
      <c r="C55" s="1999"/>
      <c r="D55" s="2654"/>
      <c r="E55" s="2654"/>
      <c r="F55" s="2654"/>
      <c r="G55" s="2654"/>
      <c r="H55" s="2654"/>
      <c r="I55" s="2036"/>
    </row>
    <row r="56" spans="2:9">
      <c r="B56" s="2005"/>
      <c r="D56" s="2654"/>
      <c r="E56" s="2654"/>
      <c r="F56" s="2654"/>
      <c r="G56" s="2654"/>
      <c r="H56" s="2654"/>
      <c r="I56" s="2036"/>
    </row>
    <row r="57" spans="2:9">
      <c r="B57" s="2005"/>
      <c r="C57" s="1999"/>
      <c r="D57" s="2654"/>
      <c r="E57" s="2654"/>
      <c r="F57" s="2654"/>
      <c r="G57" s="2654"/>
      <c r="H57" s="2654"/>
      <c r="I57" s="2036"/>
    </row>
    <row r="58" spans="2:9">
      <c r="B58" s="2167"/>
      <c r="C58" s="1999"/>
      <c r="D58" s="2654"/>
      <c r="E58" s="2654"/>
      <c r="F58" s="2654"/>
      <c r="G58" s="2654"/>
      <c r="H58" s="2654"/>
      <c r="I58" s="2036"/>
    </row>
    <row r="59" spans="2:9">
      <c r="B59" s="2005"/>
      <c r="C59" s="1999"/>
      <c r="D59" s="2654"/>
      <c r="E59" s="2654"/>
      <c r="F59" s="2654"/>
      <c r="G59" s="2654"/>
      <c r="H59" s="2654"/>
      <c r="I59" s="2036"/>
    </row>
    <row r="60" spans="2:9">
      <c r="B60" s="2005"/>
      <c r="C60" s="1999"/>
      <c r="D60" s="2654"/>
      <c r="E60" s="2654"/>
      <c r="F60" s="2654"/>
      <c r="G60" s="2654"/>
      <c r="H60" s="2654"/>
      <c r="I60" s="2036"/>
    </row>
    <row r="61" spans="2:9" ht="15.75" thickBot="1">
      <c r="B61" s="2007"/>
      <c r="C61" s="2008"/>
      <c r="D61" s="2165"/>
      <c r="E61" s="2165"/>
      <c r="F61" s="2165"/>
      <c r="G61" s="2165"/>
      <c r="H61" s="2165"/>
      <c r="I61" s="2166"/>
    </row>
    <row r="62" spans="2:9">
      <c r="B62" s="1999" t="s">
        <v>2024</v>
      </c>
      <c r="D62" s="1996"/>
      <c r="E62" s="1996"/>
      <c r="F62" s="1996"/>
      <c r="G62" s="1996"/>
      <c r="H62" s="1996"/>
      <c r="I62" s="1996"/>
    </row>
    <row r="63" spans="2:9">
      <c r="B63" s="1996" t="s">
        <v>279</v>
      </c>
      <c r="C63" s="1996"/>
      <c r="D63" s="1996"/>
      <c r="E63" s="1996"/>
      <c r="F63" s="1996"/>
      <c r="G63" s="1996"/>
      <c r="H63" s="1996"/>
      <c r="I63" s="1996"/>
    </row>
    <row r="64" spans="2:9">
      <c r="B64" s="1996"/>
      <c r="C64" s="1996"/>
      <c r="D64" s="1996"/>
      <c r="E64" s="1996"/>
      <c r="F64" s="1996"/>
      <c r="G64" s="1996"/>
      <c r="H64" s="1996"/>
      <c r="I64" s="1996"/>
    </row>
    <row r="65" spans="2:9" ht="15.75" thickBot="1">
      <c r="B65" s="1989" t="str">
        <f>'Data sheet'!A53</f>
        <v>Annual Report of Veolia Water New York, Inc.                            Year Ended  December 31, 2023</v>
      </c>
    </row>
    <row r="66" spans="2:9">
      <c r="B66" s="2002"/>
      <c r="C66" s="2003"/>
      <c r="D66" s="2003"/>
      <c r="E66" s="2003"/>
      <c r="F66" s="2003"/>
      <c r="G66" s="2003"/>
      <c r="H66" s="2003"/>
      <c r="I66" s="2004"/>
    </row>
    <row r="67" spans="2:9" ht="15.75">
      <c r="B67" s="2012" t="s">
        <v>280</v>
      </c>
      <c r="C67" s="1996"/>
      <c r="D67" s="1996"/>
      <c r="E67" s="1996"/>
      <c r="F67" s="1996"/>
      <c r="G67" s="1996"/>
      <c r="H67" s="1996"/>
      <c r="I67" s="2013"/>
    </row>
    <row r="68" spans="2:9">
      <c r="B68" s="2014"/>
      <c r="C68" s="2015"/>
      <c r="D68" s="2015"/>
      <c r="E68" s="2015"/>
      <c r="F68" s="2015"/>
      <c r="G68" s="2015"/>
      <c r="H68" s="2015"/>
      <c r="I68" s="2016"/>
    </row>
    <row r="69" spans="2:9">
      <c r="B69" s="2005"/>
      <c r="C69" s="1996"/>
      <c r="D69" s="1996"/>
      <c r="E69" s="1996"/>
      <c r="F69" s="1996"/>
      <c r="G69" s="1996"/>
      <c r="H69" s="1996"/>
      <c r="I69" s="2013"/>
    </row>
    <row r="70" spans="2:9">
      <c r="B70" s="2005"/>
      <c r="C70" s="1996"/>
      <c r="D70" s="1996"/>
      <c r="E70" s="1996"/>
      <c r="F70" s="1996"/>
      <c r="G70" s="1996"/>
      <c r="H70" s="1996"/>
      <c r="I70" s="2013"/>
    </row>
    <row r="71" spans="2:9">
      <c r="B71" s="2005"/>
      <c r="C71" s="1996"/>
      <c r="D71" s="1996"/>
      <c r="E71" s="1996"/>
      <c r="F71" s="1996"/>
      <c r="G71" s="1996"/>
      <c r="H71" s="1996"/>
      <c r="I71" s="2013"/>
    </row>
    <row r="72" spans="2:9">
      <c r="B72" s="2005"/>
      <c r="C72" s="1996"/>
      <c r="D72" s="1996"/>
      <c r="E72" s="1996"/>
      <c r="F72" s="1996"/>
      <c r="G72" s="1996"/>
      <c r="H72" s="1996"/>
      <c r="I72" s="2013"/>
    </row>
    <row r="73" spans="2:9">
      <c r="B73" s="2005"/>
      <c r="C73" s="1996"/>
      <c r="D73" s="1996"/>
      <c r="E73" s="1996"/>
      <c r="F73" s="1996"/>
      <c r="G73" s="1996"/>
      <c r="H73" s="1996"/>
      <c r="I73" s="2013"/>
    </row>
    <row r="74" spans="2:9">
      <c r="B74" s="2005"/>
      <c r="C74" s="1996"/>
      <c r="D74" s="1996"/>
      <c r="E74" s="1996"/>
      <c r="F74" s="1996"/>
      <c r="G74" s="1996"/>
      <c r="H74" s="1996"/>
      <c r="I74" s="2013"/>
    </row>
    <row r="75" spans="2:9">
      <c r="B75" s="2005"/>
      <c r="C75" s="1996"/>
      <c r="D75" s="1996"/>
      <c r="E75" s="1996"/>
      <c r="F75" s="1996"/>
      <c r="G75" s="1996"/>
      <c r="H75" s="1996"/>
      <c r="I75" s="2013"/>
    </row>
    <row r="76" spans="2:9">
      <c r="B76" s="2005"/>
      <c r="C76" s="1996"/>
      <c r="D76" s="1996"/>
      <c r="E76" s="1996"/>
      <c r="F76" s="1996"/>
      <c r="G76" s="1996"/>
      <c r="H76" s="1996"/>
      <c r="I76" s="2013"/>
    </row>
    <row r="77" spans="2:9">
      <c r="B77" s="2005"/>
      <c r="C77" s="1996"/>
      <c r="D77" s="1996"/>
      <c r="E77" s="1996"/>
      <c r="F77" s="1996"/>
      <c r="G77" s="1996"/>
      <c r="H77" s="1996"/>
      <c r="I77" s="2013"/>
    </row>
    <row r="78" spans="2:9">
      <c r="B78" s="2005"/>
      <c r="C78" s="1996"/>
      <c r="D78" s="1996"/>
      <c r="E78" s="1996"/>
      <c r="F78" s="1996"/>
      <c r="G78" s="1996"/>
      <c r="H78" s="1996"/>
      <c r="I78" s="2013"/>
    </row>
    <row r="79" spans="2:9">
      <c r="B79" s="2005"/>
      <c r="C79" s="1996"/>
      <c r="D79" s="1996"/>
      <c r="E79" s="1996"/>
      <c r="F79" s="1996"/>
      <c r="G79" s="1996"/>
      <c r="H79" s="1996"/>
      <c r="I79" s="2013"/>
    </row>
    <row r="80" spans="2:9">
      <c r="B80" s="2005"/>
      <c r="C80" s="1996"/>
      <c r="D80" s="1996"/>
      <c r="E80" s="1996"/>
      <c r="F80" s="1996"/>
      <c r="G80" s="1996"/>
      <c r="H80" s="1996"/>
      <c r="I80" s="2013"/>
    </row>
    <row r="81" spans="2:9">
      <c r="B81" s="2005"/>
      <c r="C81" s="1996"/>
      <c r="D81" s="1996"/>
      <c r="E81" s="1996"/>
      <c r="F81" s="1996"/>
      <c r="G81" s="1996"/>
      <c r="H81" s="1996"/>
      <c r="I81" s="2013"/>
    </row>
    <row r="82" spans="2:9">
      <c r="B82" s="2005"/>
      <c r="C82" s="1996"/>
      <c r="D82" s="1996"/>
      <c r="E82" s="1996"/>
      <c r="F82" s="1996"/>
      <c r="G82" s="1996"/>
      <c r="H82" s="1996"/>
      <c r="I82" s="2013"/>
    </row>
    <row r="83" spans="2:9">
      <c r="B83" s="2005"/>
      <c r="C83" s="1996"/>
      <c r="D83" s="1996"/>
      <c r="E83" s="1996"/>
      <c r="F83" s="1996"/>
      <c r="G83" s="1996"/>
      <c r="H83" s="1996"/>
      <c r="I83" s="2013"/>
    </row>
    <row r="84" spans="2:9">
      <c r="B84" s="2005"/>
      <c r="C84" s="1996"/>
      <c r="D84" s="1996"/>
      <c r="E84" s="1996"/>
      <c r="F84" s="1996"/>
      <c r="G84" s="1996"/>
      <c r="H84" s="1996"/>
      <c r="I84" s="2013"/>
    </row>
    <row r="85" spans="2:9">
      <c r="B85" s="2005"/>
      <c r="C85" s="1996"/>
      <c r="D85" s="1996"/>
      <c r="E85" s="1996"/>
      <c r="F85" s="1996"/>
      <c r="G85" s="1996"/>
      <c r="H85" s="1996"/>
      <c r="I85" s="2013"/>
    </row>
    <row r="86" spans="2:9">
      <c r="B86" s="2005"/>
      <c r="C86" s="1996"/>
      <c r="D86" s="1996"/>
      <c r="E86" s="1996"/>
      <c r="F86" s="1996"/>
      <c r="G86" s="1996"/>
      <c r="H86" s="1996"/>
      <c r="I86" s="2013"/>
    </row>
    <row r="87" spans="2:9">
      <c r="B87" s="2005"/>
      <c r="C87" s="1996"/>
      <c r="D87" s="1996"/>
      <c r="E87" s="1996"/>
      <c r="F87" s="1996"/>
      <c r="G87" s="1996"/>
      <c r="H87" s="1996"/>
      <c r="I87" s="2013"/>
    </row>
    <row r="88" spans="2:9">
      <c r="B88" s="2005"/>
      <c r="C88" s="1996"/>
      <c r="D88" s="1996"/>
      <c r="E88" s="1996"/>
      <c r="F88" s="1996"/>
      <c r="G88" s="2680">
        <v>0.8</v>
      </c>
      <c r="I88" s="2013"/>
    </row>
    <row r="89" spans="2:9">
      <c r="B89" s="2005"/>
      <c r="C89" s="2681">
        <v>0.2</v>
      </c>
      <c r="D89" s="1996"/>
      <c r="E89" s="1996"/>
      <c r="F89" s="1996"/>
      <c r="G89" s="1996"/>
      <c r="H89" s="1996"/>
      <c r="I89" s="2013"/>
    </row>
    <row r="90" spans="2:9">
      <c r="B90" s="2005"/>
      <c r="C90" s="1996"/>
      <c r="D90" s="1996"/>
      <c r="E90" s="1996"/>
      <c r="F90" s="1996"/>
      <c r="G90" s="1996"/>
      <c r="H90" s="1996"/>
      <c r="I90" s="2013"/>
    </row>
    <row r="91" spans="2:9">
      <c r="B91" s="2005"/>
      <c r="C91" s="1996"/>
      <c r="D91" s="1996"/>
      <c r="E91" s="1996"/>
      <c r="F91" s="1996"/>
      <c r="G91" s="1996"/>
      <c r="H91" s="1996"/>
      <c r="I91" s="2013"/>
    </row>
    <row r="92" spans="2:9">
      <c r="B92" s="2005"/>
      <c r="C92" s="1996"/>
      <c r="D92" s="1996"/>
      <c r="E92" s="1996"/>
      <c r="F92" s="1996"/>
      <c r="G92" s="1996"/>
      <c r="H92" s="1996"/>
      <c r="I92" s="2013"/>
    </row>
    <row r="93" spans="2:9">
      <c r="B93" s="2005"/>
      <c r="C93" s="1996"/>
      <c r="D93" s="1996"/>
      <c r="E93" s="1996"/>
      <c r="F93" s="1996"/>
      <c r="G93" s="1996"/>
      <c r="H93" s="1996"/>
      <c r="I93" s="2013"/>
    </row>
    <row r="94" spans="2:9">
      <c r="B94" s="2005"/>
      <c r="C94" s="1996"/>
      <c r="D94" s="1996"/>
      <c r="E94" s="1996"/>
      <c r="F94" s="1996"/>
      <c r="G94" s="1996"/>
      <c r="H94" s="1996"/>
      <c r="I94" s="2013"/>
    </row>
    <row r="95" spans="2:9">
      <c r="B95" s="2005"/>
      <c r="C95" s="1996"/>
      <c r="D95" s="1996"/>
      <c r="E95" s="1996"/>
      <c r="F95" s="1996"/>
      <c r="G95" s="1996"/>
      <c r="H95" s="1996"/>
      <c r="I95" s="2013"/>
    </row>
    <row r="96" spans="2:9">
      <c r="B96" s="2005"/>
      <c r="C96" s="1996"/>
      <c r="D96" s="1996"/>
      <c r="E96" s="1996"/>
      <c r="F96" s="1996"/>
      <c r="G96" s="1996"/>
      <c r="H96" s="1996"/>
      <c r="I96" s="2013"/>
    </row>
    <row r="97" spans="2:10">
      <c r="B97" s="2005"/>
      <c r="C97" s="1996"/>
      <c r="D97" s="1996"/>
      <c r="E97" s="1996"/>
      <c r="F97" s="1996"/>
      <c r="G97" s="1996"/>
      <c r="H97" s="1996"/>
      <c r="I97" s="2013"/>
    </row>
    <row r="98" spans="2:10">
      <c r="B98" s="2005"/>
      <c r="C98" s="1996"/>
      <c r="D98" s="1996"/>
      <c r="E98" s="1996"/>
      <c r="F98" s="1996"/>
      <c r="G98" s="1996"/>
      <c r="H98" s="1996"/>
      <c r="I98" s="2013"/>
    </row>
    <row r="99" spans="2:10">
      <c r="B99" s="2005"/>
      <c r="C99" s="1996"/>
      <c r="D99" s="1996"/>
      <c r="E99" s="1996"/>
      <c r="F99" s="1996"/>
      <c r="G99" s="1996"/>
      <c r="H99" s="1996"/>
      <c r="I99" s="2013"/>
    </row>
    <row r="100" spans="2:10">
      <c r="B100" s="2005"/>
      <c r="C100" s="1996"/>
      <c r="D100" s="1996"/>
      <c r="E100" s="1996"/>
      <c r="F100" s="1996"/>
      <c r="G100" s="1996"/>
      <c r="H100" s="1996"/>
      <c r="I100" s="2013"/>
    </row>
    <row r="101" spans="2:10">
      <c r="B101" s="2005"/>
      <c r="C101" s="1996"/>
      <c r="D101" s="1996"/>
      <c r="E101" s="1996"/>
      <c r="F101" s="1996"/>
      <c r="G101" s="1996"/>
      <c r="H101" s="1996"/>
      <c r="I101" s="2013"/>
    </row>
    <row r="102" spans="2:10">
      <c r="B102" s="2005"/>
      <c r="C102" s="1996"/>
      <c r="D102" s="1996"/>
      <c r="E102" s="1996"/>
      <c r="F102" s="1996"/>
      <c r="G102" s="1996"/>
      <c r="H102" s="1996"/>
      <c r="I102" s="2013"/>
    </row>
    <row r="103" spans="2:10">
      <c r="B103" s="2005"/>
      <c r="C103" s="1996"/>
      <c r="D103" s="1996"/>
      <c r="E103" s="1996"/>
      <c r="F103" s="1996"/>
      <c r="G103" s="1996"/>
      <c r="H103" s="1996"/>
      <c r="I103" s="2013"/>
    </row>
    <row r="104" spans="2:10">
      <c r="B104" s="2005"/>
      <c r="C104" s="1996"/>
      <c r="D104" s="1996"/>
      <c r="E104" s="1996"/>
      <c r="F104" s="1996"/>
      <c r="G104" s="1996"/>
      <c r="H104" s="1996"/>
      <c r="I104" s="2013"/>
    </row>
    <row r="105" spans="2:10">
      <c r="B105" s="2005"/>
      <c r="C105" s="1996"/>
      <c r="D105" s="1996"/>
      <c r="E105" s="1996"/>
      <c r="F105" s="1996"/>
      <c r="G105" s="1996"/>
      <c r="H105" s="1996"/>
      <c r="I105" s="2013"/>
    </row>
    <row r="106" spans="2:10">
      <c r="B106" s="2005"/>
      <c r="C106" s="1996"/>
      <c r="D106" s="1996"/>
      <c r="E106" s="1996"/>
      <c r="F106" s="1996"/>
      <c r="G106" s="1996"/>
      <c r="H106" s="1996"/>
      <c r="I106" s="2013"/>
    </row>
    <row r="107" spans="2:10">
      <c r="B107" s="2005"/>
      <c r="C107" s="1996"/>
      <c r="D107" s="1996"/>
      <c r="E107" s="1996"/>
      <c r="F107" s="1996"/>
      <c r="G107" s="1996"/>
      <c r="H107" s="1996"/>
      <c r="I107" s="2013"/>
    </row>
    <row r="108" spans="2:10">
      <c r="B108" s="2005"/>
      <c r="C108" s="1996"/>
      <c r="D108" s="1996"/>
      <c r="E108" s="1996"/>
      <c r="F108" s="1996"/>
      <c r="G108" s="1996"/>
      <c r="H108" s="1996"/>
      <c r="I108" s="2013"/>
    </row>
    <row r="109" spans="2:10">
      <c r="B109" s="2005"/>
      <c r="C109" s="1996"/>
      <c r="D109" s="1996"/>
      <c r="E109" s="1996"/>
      <c r="F109" s="1996"/>
      <c r="G109" s="1996"/>
      <c r="H109" s="1996"/>
      <c r="I109" s="2013"/>
    </row>
    <row r="110" spans="2:10">
      <c r="B110" s="2005"/>
      <c r="C110" s="1996"/>
      <c r="D110" s="1996"/>
      <c r="E110" s="1996"/>
      <c r="F110" s="1996"/>
      <c r="G110" s="1996"/>
      <c r="H110" s="1996"/>
      <c r="I110" s="2013"/>
      <c r="J110" s="2576"/>
    </row>
    <row r="111" spans="2:10">
      <c r="B111" s="2005"/>
      <c r="C111" s="1996"/>
      <c r="D111" s="1996"/>
      <c r="E111" s="1996"/>
      <c r="F111" s="1996"/>
      <c r="G111" s="1996"/>
      <c r="H111" s="1996"/>
      <c r="I111" s="2013"/>
      <c r="J111" s="2576"/>
    </row>
    <row r="112" spans="2:10">
      <c r="B112" s="2005"/>
      <c r="C112" s="1996"/>
      <c r="D112" s="1996"/>
      <c r="E112" s="1996"/>
      <c r="F112" s="1996"/>
      <c r="G112" s="1996"/>
      <c r="H112" s="1996"/>
      <c r="I112" s="2013"/>
      <c r="J112" s="2576"/>
    </row>
    <row r="113" spans="2:10">
      <c r="B113" s="2005"/>
      <c r="C113" s="1996"/>
      <c r="D113" s="1996"/>
      <c r="E113" s="1996"/>
      <c r="F113" s="1996"/>
      <c r="G113" s="1996"/>
      <c r="H113" s="1996"/>
      <c r="I113" s="2013"/>
      <c r="J113" s="2576"/>
    </row>
    <row r="114" spans="2:10">
      <c r="B114" s="2005"/>
      <c r="C114" s="1996"/>
      <c r="D114" s="1996"/>
      <c r="E114" s="1996"/>
      <c r="F114" s="1996"/>
      <c r="G114" s="1996"/>
      <c r="H114" s="1996"/>
      <c r="I114" s="2013"/>
      <c r="J114" s="2576"/>
    </row>
    <row r="115" spans="2:10">
      <c r="B115" s="2005"/>
      <c r="C115" s="1996"/>
      <c r="D115" s="1996"/>
      <c r="E115" s="1996"/>
      <c r="F115" s="1996"/>
      <c r="G115" s="1996"/>
      <c r="H115" s="1996"/>
      <c r="I115" s="2013"/>
      <c r="J115" s="2576"/>
    </row>
    <row r="116" spans="2:10">
      <c r="B116" s="2005"/>
      <c r="C116" s="1996"/>
      <c r="D116" s="1996"/>
      <c r="E116" s="1996"/>
      <c r="F116" s="1996"/>
      <c r="G116" s="1996"/>
      <c r="H116" s="1996"/>
      <c r="I116" s="2013"/>
      <c r="J116" s="2576"/>
    </row>
    <row r="117" spans="2:10">
      <c r="B117" s="2005"/>
      <c r="D117" s="1996"/>
      <c r="E117" s="1996"/>
      <c r="F117" s="1996"/>
      <c r="G117" s="1996"/>
      <c r="H117" s="1996"/>
      <c r="I117" s="2013"/>
      <c r="J117" s="2576"/>
    </row>
    <row r="118" spans="2:10">
      <c r="B118" s="2005"/>
      <c r="D118" s="1996"/>
      <c r="E118" s="1996"/>
      <c r="F118" s="1996"/>
      <c r="G118" s="1996"/>
      <c r="H118" s="1996"/>
      <c r="I118" s="2013"/>
      <c r="J118" s="2576"/>
    </row>
    <row r="119" spans="2:10">
      <c r="B119" s="2005"/>
      <c r="D119" s="1996"/>
      <c r="E119" s="1996"/>
      <c r="F119" s="1996"/>
      <c r="G119" s="1996"/>
      <c r="H119" s="1996"/>
      <c r="I119" s="2013"/>
      <c r="J119" s="2576"/>
    </row>
    <row r="120" spans="2:10" ht="15.75" thickBot="1">
      <c r="B120" s="2007"/>
      <c r="C120" s="2008"/>
      <c r="D120" s="2018"/>
      <c r="E120" s="2018"/>
      <c r="F120" s="2018"/>
      <c r="G120" s="2018"/>
      <c r="H120" s="2018"/>
      <c r="I120" s="2019"/>
      <c r="J120" s="2576"/>
    </row>
    <row r="121" spans="2:10">
      <c r="B121" s="1989" t="s">
        <v>2024</v>
      </c>
      <c r="D121" s="1996"/>
      <c r="E121" s="1996"/>
      <c r="F121" s="1996"/>
      <c r="G121" s="1996"/>
      <c r="H121" s="1996"/>
      <c r="I121" s="1996"/>
    </row>
    <row r="122" spans="2:10">
      <c r="B122" s="1996" t="s">
        <v>281</v>
      </c>
      <c r="C122" s="1996"/>
      <c r="D122" s="1996"/>
      <c r="E122" s="1996"/>
      <c r="F122" s="1996"/>
      <c r="G122" s="1996"/>
      <c r="H122" s="1996"/>
      <c r="I122" s="1996"/>
    </row>
  </sheetData>
  <phoneticPr fontId="0" type="noConversion"/>
  <pageMargins left="0.4" right="0" top="0.3" bottom="0.3" header="0.5" footer="0.5"/>
  <pageSetup scale="77" orientation="portrait" r:id="rId1"/>
  <headerFooter alignWithMargins="0"/>
  <rowBreaks count="1" manualBreakCount="1">
    <brk id="64" max="16383" man="1"/>
  </rowBreak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ransitionEvaluation="1" codeName="Sheet73"/>
  <dimension ref="A1:I128"/>
  <sheetViews>
    <sheetView defaultGridColor="0" colorId="22" zoomScaleNormal="100" workbookViewId="0">
      <selection activeCell="H30" sqref="H30"/>
    </sheetView>
  </sheetViews>
  <sheetFormatPr defaultColWidth="9.77734375" defaultRowHeight="15"/>
  <cols>
    <col min="1" max="1" width="3.77734375" customWidth="1"/>
    <col min="2" max="2" width="50.77734375" customWidth="1"/>
    <col min="3" max="3" width="55.5546875" customWidth="1"/>
    <col min="4" max="4" width="4.77734375" customWidth="1"/>
    <col min="5" max="5" width="2.109375" customWidth="1"/>
    <col min="6" max="6" width="62.109375" customWidth="1"/>
    <col min="7" max="7" width="4.33203125" customWidth="1"/>
    <col min="8" max="8" width="18.77734375" style="86" customWidth="1"/>
    <col min="9" max="9" width="3" customWidth="1"/>
  </cols>
  <sheetData>
    <row r="1" spans="1:9" ht="16.5" thickBot="1">
      <c r="A1" t="str">
        <f>'Data sheet'!A61</f>
        <v>Annual Report of Veolia Water New York, Inc.                                                                       Year Ended  December 31, 2023</v>
      </c>
      <c r="B1" s="14"/>
      <c r="C1" s="14"/>
      <c r="D1" t="str">
        <f>'Data sheet'!A59</f>
        <v>Annual Report of Veolia Water New York, Inc.                                                             Year Ended  December 31, 2023</v>
      </c>
      <c r="E1" s="876"/>
      <c r="F1" s="876"/>
      <c r="G1" s="14"/>
      <c r="H1" s="14"/>
      <c r="I1" s="876"/>
    </row>
    <row r="2" spans="1:9" ht="15.75">
      <c r="A2" s="2270" t="s">
        <v>4613</v>
      </c>
      <c r="B2" s="2271"/>
      <c r="C2" s="2272"/>
      <c r="D2" s="2759" t="s">
        <v>4613</v>
      </c>
      <c r="E2" s="2760"/>
      <c r="F2" s="2760"/>
      <c r="G2" s="2760"/>
      <c r="H2" s="2760"/>
      <c r="I2" s="2761"/>
    </row>
    <row r="3" spans="1:9" ht="15.75">
      <c r="A3" s="2273" t="s">
        <v>132</v>
      </c>
      <c r="B3" s="2274"/>
      <c r="C3" s="2275"/>
      <c r="D3" s="118" t="s">
        <v>133</v>
      </c>
      <c r="E3" s="724"/>
      <c r="F3" s="724"/>
      <c r="G3" s="724"/>
      <c r="H3" s="724"/>
      <c r="I3" s="725"/>
    </row>
    <row r="4" spans="1:9">
      <c r="A4" s="83"/>
      <c r="C4" s="214"/>
      <c r="D4" s="83"/>
      <c r="I4" s="214"/>
    </row>
    <row r="5" spans="1:9">
      <c r="A5" s="595" t="s">
        <v>284</v>
      </c>
      <c r="B5" s="977" t="s">
        <v>134</v>
      </c>
      <c r="C5" s="119"/>
      <c r="D5" s="456"/>
      <c r="E5" s="521"/>
      <c r="F5" s="242" t="s">
        <v>218</v>
      </c>
      <c r="G5" s="521"/>
      <c r="H5" s="90"/>
      <c r="I5" s="243"/>
    </row>
    <row r="6" spans="1:9">
      <c r="A6" s="83"/>
      <c r="B6" s="977" t="s">
        <v>880</v>
      </c>
      <c r="C6" s="119"/>
      <c r="D6" s="83"/>
      <c r="E6" s="522"/>
      <c r="G6" s="522"/>
      <c r="H6" s="94" t="s">
        <v>881</v>
      </c>
      <c r="I6" s="214"/>
    </row>
    <row r="7" spans="1:9">
      <c r="A7" s="83"/>
      <c r="B7" s="977" t="s">
        <v>882</v>
      </c>
      <c r="C7" s="214"/>
      <c r="D7" s="595" t="s">
        <v>1727</v>
      </c>
      <c r="E7" s="522"/>
      <c r="F7" s="600" t="s">
        <v>1290</v>
      </c>
      <c r="G7" s="522"/>
      <c r="H7" s="94" t="s">
        <v>712</v>
      </c>
      <c r="I7" s="214"/>
    </row>
    <row r="8" spans="1:9">
      <c r="A8" s="595" t="s">
        <v>1687</v>
      </c>
      <c r="B8" s="2869" t="s">
        <v>883</v>
      </c>
      <c r="C8" s="2870"/>
      <c r="D8" s="595" t="s">
        <v>1739</v>
      </c>
      <c r="E8" s="522"/>
      <c r="F8" s="600" t="s">
        <v>3279</v>
      </c>
      <c r="G8" s="522"/>
      <c r="H8" s="94" t="s">
        <v>3280</v>
      </c>
      <c r="I8" s="214"/>
    </row>
    <row r="9" spans="1:9">
      <c r="A9" s="83"/>
      <c r="B9" s="2869" t="s">
        <v>3451</v>
      </c>
      <c r="C9" s="2870"/>
      <c r="D9" s="123"/>
      <c r="E9" s="597"/>
      <c r="F9" s="224"/>
      <c r="G9" s="597"/>
      <c r="H9" s="98"/>
      <c r="I9" s="225"/>
    </row>
    <row r="10" spans="1:9">
      <c r="A10" s="83"/>
      <c r="B10" s="977" t="s">
        <v>3452</v>
      </c>
      <c r="C10" s="119"/>
      <c r="D10" s="83"/>
      <c r="E10" s="522"/>
      <c r="F10" s="2359" t="s">
        <v>4612</v>
      </c>
      <c r="G10" s="522"/>
      <c r="H10" s="1939"/>
      <c r="I10" s="214"/>
    </row>
    <row r="11" spans="1:9">
      <c r="A11" s="595" t="s">
        <v>3053</v>
      </c>
      <c r="B11" s="2869" t="s">
        <v>3454</v>
      </c>
      <c r="C11" s="2870"/>
      <c r="D11" s="595" t="s">
        <v>340</v>
      </c>
      <c r="E11" s="522"/>
      <c r="F11" t="s">
        <v>3455</v>
      </c>
      <c r="G11" s="827" t="s">
        <v>3456</v>
      </c>
      <c r="H11" s="2115">
        <v>372912850</v>
      </c>
      <c r="I11" s="214"/>
    </row>
    <row r="12" spans="1:9">
      <c r="A12" s="83"/>
      <c r="B12" s="2869" t="s">
        <v>3457</v>
      </c>
      <c r="C12" s="2870"/>
      <c r="D12" s="595" t="s">
        <v>341</v>
      </c>
      <c r="E12" s="522"/>
      <c r="F12" t="s">
        <v>2442</v>
      </c>
      <c r="G12" s="827" t="s">
        <v>3456</v>
      </c>
      <c r="H12" s="2115">
        <v>397835605</v>
      </c>
      <c r="I12" s="214"/>
    </row>
    <row r="13" spans="1:9">
      <c r="A13" s="595" t="s">
        <v>2364</v>
      </c>
      <c r="B13" s="977" t="s">
        <v>2443</v>
      </c>
      <c r="C13" s="119"/>
      <c r="D13" s="595" t="s">
        <v>342</v>
      </c>
      <c r="E13" s="522"/>
      <c r="F13" s="136" t="s">
        <v>2444</v>
      </c>
      <c r="G13" s="827" t="s">
        <v>3456</v>
      </c>
      <c r="H13" s="2115">
        <v>360110928</v>
      </c>
      <c r="I13" s="214"/>
    </row>
    <row r="14" spans="1:9">
      <c r="A14" s="83" t="s">
        <v>218</v>
      </c>
      <c r="B14" s="977" t="s">
        <v>4255</v>
      </c>
      <c r="C14" s="119"/>
      <c r="D14" s="595" t="s">
        <v>343</v>
      </c>
      <c r="E14" s="522"/>
      <c r="F14" t="s">
        <v>4256</v>
      </c>
      <c r="G14" s="827" t="s">
        <v>3456</v>
      </c>
      <c r="H14" s="2115">
        <v>0</v>
      </c>
      <c r="I14" s="214"/>
    </row>
    <row r="15" spans="1:9">
      <c r="A15" s="595" t="s">
        <v>2366</v>
      </c>
      <c r="B15" s="977" t="s">
        <v>604</v>
      </c>
      <c r="C15" s="119"/>
      <c r="D15" s="595" t="s">
        <v>344</v>
      </c>
      <c r="E15" s="522"/>
      <c r="F15" t="s">
        <v>605</v>
      </c>
      <c r="G15" s="827" t="s">
        <v>3456</v>
      </c>
      <c r="H15" s="2115">
        <v>8590</v>
      </c>
      <c r="I15" s="214"/>
    </row>
    <row r="16" spans="1:9">
      <c r="A16" s="595" t="s">
        <v>198</v>
      </c>
      <c r="B16" s="977" t="s">
        <v>3663</v>
      </c>
      <c r="C16" s="119"/>
      <c r="D16" s="595" t="s">
        <v>345</v>
      </c>
      <c r="E16" s="522"/>
      <c r="F16" t="s">
        <v>3664</v>
      </c>
      <c r="G16" s="827" t="s">
        <v>3456</v>
      </c>
      <c r="H16" s="2115">
        <v>96496691</v>
      </c>
      <c r="I16" s="214"/>
    </row>
    <row r="17" spans="1:9">
      <c r="A17" s="595" t="s">
        <v>3665</v>
      </c>
      <c r="B17" s="977" t="s">
        <v>3312</v>
      </c>
      <c r="C17" s="119"/>
      <c r="D17" s="595" t="s">
        <v>346</v>
      </c>
      <c r="E17" s="522"/>
      <c r="F17" t="s">
        <v>2814</v>
      </c>
      <c r="G17" s="522"/>
      <c r="H17" s="2116">
        <v>45291</v>
      </c>
      <c r="I17" s="214"/>
    </row>
    <row r="18" spans="1:9">
      <c r="A18" s="83"/>
      <c r="B18" s="977" t="s">
        <v>884</v>
      </c>
      <c r="C18" s="119"/>
      <c r="D18" s="595" t="s">
        <v>347</v>
      </c>
      <c r="E18" s="522"/>
      <c r="F18" t="s">
        <v>885</v>
      </c>
      <c r="G18" s="522"/>
      <c r="H18" s="2117">
        <v>5.3999999999999999E-2</v>
      </c>
      <c r="I18" s="214"/>
    </row>
    <row r="19" spans="1:9">
      <c r="A19" s="595" t="s">
        <v>886</v>
      </c>
      <c r="B19" s="977" t="s">
        <v>3619</v>
      </c>
      <c r="C19" s="119"/>
      <c r="D19" s="595" t="s">
        <v>348</v>
      </c>
      <c r="E19" s="522"/>
      <c r="F19" t="s">
        <v>3620</v>
      </c>
      <c r="G19" s="522"/>
      <c r="H19" s="2117">
        <v>6.25E-2</v>
      </c>
      <c r="I19" s="214"/>
    </row>
    <row r="20" spans="1:9">
      <c r="A20" s="83" t="s">
        <v>218</v>
      </c>
      <c r="B20" s="977" t="s">
        <v>2669</v>
      </c>
      <c r="C20" s="119"/>
      <c r="D20" s="595" t="s">
        <v>349</v>
      </c>
      <c r="E20" s="522"/>
      <c r="F20" t="s">
        <v>3621</v>
      </c>
      <c r="G20" s="522"/>
      <c r="H20" s="2118" t="s">
        <v>4982</v>
      </c>
      <c r="I20" s="214"/>
    </row>
    <row r="21" spans="1:9">
      <c r="A21" s="595" t="s">
        <v>3622</v>
      </c>
      <c r="B21" s="977" t="s">
        <v>3890</v>
      </c>
      <c r="C21" s="119"/>
      <c r="D21" s="83"/>
      <c r="E21" s="522"/>
      <c r="G21" s="522"/>
      <c r="H21" s="2360"/>
      <c r="I21" s="214"/>
    </row>
    <row r="22" spans="1:9">
      <c r="A22" s="83"/>
      <c r="B22" s="977" t="s">
        <v>2219</v>
      </c>
      <c r="C22" s="119"/>
      <c r="D22" s="83"/>
      <c r="E22" s="522"/>
      <c r="F22" s="686" t="s">
        <v>3540</v>
      </c>
      <c r="G22" s="522"/>
      <c r="I22" s="214"/>
    </row>
    <row r="23" spans="1:9">
      <c r="A23" s="595" t="s">
        <v>3541</v>
      </c>
      <c r="B23" s="977" t="s">
        <v>3542</v>
      </c>
      <c r="C23" s="2766"/>
      <c r="D23" s="595" t="s">
        <v>350</v>
      </c>
      <c r="E23" s="522"/>
      <c r="F23" t="s">
        <v>3543</v>
      </c>
      <c r="G23" s="827" t="s">
        <v>3456</v>
      </c>
      <c r="H23" s="2119">
        <v>5614997</v>
      </c>
      <c r="I23" s="214"/>
    </row>
    <row r="24" spans="1:9">
      <c r="A24" s="83"/>
      <c r="B24" s="977" t="s">
        <v>3544</v>
      </c>
      <c r="C24" s="214"/>
      <c r="D24" s="595" t="s">
        <v>351</v>
      </c>
      <c r="E24" s="522"/>
      <c r="F24" t="s">
        <v>3545</v>
      </c>
      <c r="G24" s="522"/>
      <c r="H24" s="2119">
        <v>21091561</v>
      </c>
      <c r="I24" s="214"/>
    </row>
    <row r="25" spans="1:9">
      <c r="A25" s="595" t="s">
        <v>3546</v>
      </c>
      <c r="B25" s="977" t="s">
        <v>2623</v>
      </c>
      <c r="C25" s="214"/>
      <c r="D25" s="595" t="s">
        <v>352</v>
      </c>
      <c r="E25" s="522"/>
      <c r="F25" t="s">
        <v>757</v>
      </c>
      <c r="G25" s="522"/>
      <c r="H25" s="2119">
        <v>-38705207</v>
      </c>
      <c r="I25" s="214"/>
    </row>
    <row r="26" spans="1:9">
      <c r="A26" s="83"/>
      <c r="B26" s="977" t="s">
        <v>4029</v>
      </c>
      <c r="C26" s="214"/>
      <c r="D26" s="595" t="s">
        <v>353</v>
      </c>
      <c r="E26" s="522"/>
      <c r="F26" t="s">
        <v>158</v>
      </c>
      <c r="G26" s="522"/>
      <c r="H26" s="2119">
        <v>18318414</v>
      </c>
      <c r="I26" s="214"/>
    </row>
    <row r="27" spans="1:9">
      <c r="A27" s="595" t="s">
        <v>1503</v>
      </c>
      <c r="B27" s="977" t="s">
        <v>2745</v>
      </c>
      <c r="C27" s="214"/>
      <c r="D27" s="595" t="s">
        <v>354</v>
      </c>
      <c r="E27" s="522"/>
      <c r="F27" t="s">
        <v>2746</v>
      </c>
      <c r="G27" s="522"/>
      <c r="H27" s="2119">
        <v>0</v>
      </c>
      <c r="I27" s="214"/>
    </row>
    <row r="28" spans="1:9">
      <c r="A28" s="595" t="s">
        <v>55</v>
      </c>
      <c r="B28" s="977" t="s">
        <v>3506</v>
      </c>
      <c r="C28" s="214"/>
      <c r="D28" s="595" t="s">
        <v>355</v>
      </c>
      <c r="E28" s="522"/>
      <c r="F28" t="s">
        <v>3507</v>
      </c>
      <c r="G28" s="522"/>
      <c r="H28" s="2119">
        <v>-1683</v>
      </c>
      <c r="I28" s="214"/>
    </row>
    <row r="29" spans="1:9">
      <c r="A29" s="123"/>
      <c r="B29" s="1130"/>
      <c r="C29" s="225"/>
      <c r="D29" s="595" t="s">
        <v>356</v>
      </c>
      <c r="E29" s="522"/>
      <c r="F29" t="s">
        <v>2934</v>
      </c>
      <c r="G29" s="522" t="s">
        <v>218</v>
      </c>
      <c r="H29" s="2115">
        <v>10457822</v>
      </c>
      <c r="I29" s="214"/>
    </row>
    <row r="30" spans="1:9">
      <c r="A30" s="456"/>
      <c r="B30" s="977" t="s">
        <v>2414</v>
      </c>
      <c r="C30" s="854"/>
      <c r="D30" s="595" t="s">
        <v>357</v>
      </c>
      <c r="E30" s="522"/>
      <c r="F30" s="600" t="s">
        <v>2415</v>
      </c>
      <c r="G30" s="827" t="s">
        <v>3456</v>
      </c>
      <c r="H30" s="422">
        <v>16775904</v>
      </c>
      <c r="I30" s="214" t="s">
        <v>2935</v>
      </c>
    </row>
    <row r="31" spans="1:9">
      <c r="A31" s="83"/>
      <c r="B31" s="977" t="s">
        <v>181</v>
      </c>
      <c r="C31" s="119"/>
      <c r="D31" s="83"/>
      <c r="E31" s="522"/>
      <c r="G31" s="522"/>
      <c r="H31" s="2120"/>
      <c r="I31" s="214"/>
    </row>
    <row r="32" spans="1:9">
      <c r="A32" s="83"/>
      <c r="B32" s="977" t="s">
        <v>182</v>
      </c>
      <c r="C32" s="119"/>
      <c r="D32" s="595" t="s">
        <v>358</v>
      </c>
      <c r="E32" s="522"/>
      <c r="F32" t="s">
        <v>183</v>
      </c>
      <c r="G32" s="522"/>
      <c r="H32" s="2119">
        <v>502</v>
      </c>
      <c r="I32" s="214"/>
    </row>
    <row r="33" spans="1:9">
      <c r="A33" s="85"/>
      <c r="C33" s="214"/>
      <c r="D33" s="595" t="s">
        <v>359</v>
      </c>
      <c r="E33" s="522"/>
      <c r="F33" t="s">
        <v>184</v>
      </c>
      <c r="G33" s="522"/>
      <c r="H33" s="2119">
        <v>1220</v>
      </c>
      <c r="I33" s="214"/>
    </row>
    <row r="34" spans="1:9">
      <c r="A34" s="85"/>
      <c r="C34" s="214"/>
      <c r="D34" s="596" t="s">
        <v>360</v>
      </c>
      <c r="E34" s="597"/>
      <c r="F34" s="224" t="s">
        <v>2425</v>
      </c>
      <c r="G34" s="597"/>
      <c r="H34" s="2115">
        <v>235</v>
      </c>
      <c r="I34" s="225"/>
    </row>
    <row r="35" spans="1:9">
      <c r="A35" s="595"/>
      <c r="B35" s="977" t="s">
        <v>5369</v>
      </c>
      <c r="C35" s="214"/>
      <c r="D35" s="83"/>
      <c r="E35" s="522"/>
      <c r="F35" s="686" t="s">
        <v>2426</v>
      </c>
      <c r="G35" s="522"/>
      <c r="H35" s="426"/>
      <c r="I35" s="214"/>
    </row>
    <row r="36" spans="1:9">
      <c r="A36" s="595" t="s">
        <v>4557</v>
      </c>
      <c r="B36" s="977" t="s">
        <v>5384</v>
      </c>
      <c r="C36" s="2263"/>
      <c r="D36" s="595" t="s">
        <v>361</v>
      </c>
      <c r="E36" s="522"/>
      <c r="F36" t="s">
        <v>1522</v>
      </c>
      <c r="G36" s="827" t="s">
        <v>3456</v>
      </c>
      <c r="H36" s="2119">
        <v>331563</v>
      </c>
      <c r="I36" s="214"/>
    </row>
    <row r="37" spans="1:9">
      <c r="A37" s="595"/>
      <c r="B37" s="977"/>
      <c r="C37" s="872"/>
      <c r="D37" s="595" t="s">
        <v>362</v>
      </c>
      <c r="E37" s="522"/>
      <c r="F37" t="s">
        <v>1523</v>
      </c>
      <c r="G37" s="827" t="s">
        <v>3456</v>
      </c>
      <c r="H37" s="2119">
        <v>300604</v>
      </c>
      <c r="I37" s="214"/>
    </row>
    <row r="38" spans="1:9">
      <c r="A38" s="595"/>
      <c r="B38" s="86" t="s">
        <v>5371</v>
      </c>
      <c r="C38" s="872"/>
      <c r="D38" s="595" t="s">
        <v>363</v>
      </c>
      <c r="E38" s="522"/>
      <c r="F38" t="s">
        <v>1524</v>
      </c>
      <c r="G38" s="827" t="s">
        <v>3456</v>
      </c>
      <c r="H38" s="2119">
        <v>12809746</v>
      </c>
      <c r="I38" s="214"/>
    </row>
    <row r="39" spans="1:9">
      <c r="A39" s="595" t="s">
        <v>4557</v>
      </c>
      <c r="B39" s="1982" t="s">
        <v>5385</v>
      </c>
      <c r="C39" s="872"/>
      <c r="D39" s="595" t="s">
        <v>364</v>
      </c>
      <c r="E39" s="522"/>
      <c r="F39" t="s">
        <v>1525</v>
      </c>
      <c r="G39" s="827" t="s">
        <v>3456</v>
      </c>
      <c r="H39" s="2119">
        <v>746489</v>
      </c>
      <c r="I39" s="214"/>
    </row>
    <row r="40" spans="1:9">
      <c r="A40" s="595"/>
      <c r="B40" s="1982"/>
      <c r="C40" s="872"/>
      <c r="D40" s="595" t="s">
        <v>3238</v>
      </c>
      <c r="E40" s="522"/>
      <c r="F40" t="s">
        <v>2415</v>
      </c>
      <c r="G40" s="827" t="s">
        <v>3456</v>
      </c>
      <c r="H40" s="2119">
        <v>392792</v>
      </c>
      <c r="I40" s="214"/>
    </row>
    <row r="41" spans="1:9">
      <c r="A41" s="595"/>
      <c r="C41" s="872"/>
      <c r="D41" s="595" t="s">
        <v>3239</v>
      </c>
      <c r="E41" s="522"/>
      <c r="F41" t="s">
        <v>1526</v>
      </c>
      <c r="G41" s="827" t="s">
        <v>3456</v>
      </c>
      <c r="H41" s="2119"/>
      <c r="I41" s="214"/>
    </row>
    <row r="42" spans="1:9">
      <c r="A42" s="595"/>
      <c r="B42" s="86"/>
      <c r="C42" s="872"/>
      <c r="D42" s="595" t="s">
        <v>3240</v>
      </c>
      <c r="E42" s="522"/>
      <c r="F42" t="s">
        <v>746</v>
      </c>
      <c r="G42" s="827" t="s">
        <v>3456</v>
      </c>
      <c r="H42" s="2361">
        <v>-107520</v>
      </c>
      <c r="I42" s="214"/>
    </row>
    <row r="43" spans="1:9">
      <c r="A43" s="595"/>
      <c r="B43" s="86"/>
      <c r="C43" s="872"/>
      <c r="D43" s="595" t="s">
        <v>3241</v>
      </c>
      <c r="E43" s="522"/>
      <c r="F43" t="s">
        <v>3736</v>
      </c>
      <c r="G43" s="522"/>
      <c r="H43" s="2119">
        <v>52</v>
      </c>
      <c r="I43" s="214"/>
    </row>
    <row r="44" spans="1:9">
      <c r="A44" s="595"/>
      <c r="C44" s="872"/>
      <c r="D44" s="595" t="s">
        <v>3242</v>
      </c>
      <c r="E44" s="522"/>
      <c r="F44" t="s">
        <v>183</v>
      </c>
      <c r="G44" s="522"/>
      <c r="H44" s="2119">
        <v>14</v>
      </c>
      <c r="I44" s="214"/>
    </row>
    <row r="45" spans="1:9">
      <c r="A45" s="595"/>
      <c r="C45" s="872"/>
      <c r="D45" s="595" t="s">
        <v>3243</v>
      </c>
      <c r="E45" s="522"/>
      <c r="F45" t="s">
        <v>184</v>
      </c>
      <c r="G45" s="522"/>
      <c r="H45" s="2119">
        <v>32</v>
      </c>
      <c r="I45" s="214"/>
    </row>
    <row r="46" spans="1:9">
      <c r="A46" s="595"/>
      <c r="B46" s="977"/>
      <c r="C46" s="872"/>
      <c r="D46" s="596" t="s">
        <v>3244</v>
      </c>
      <c r="E46" s="597"/>
      <c r="F46" s="224" t="s">
        <v>2425</v>
      </c>
      <c r="G46" s="597"/>
      <c r="H46" s="2115">
        <v>6</v>
      </c>
      <c r="I46" s="225"/>
    </row>
    <row r="47" spans="1:9">
      <c r="A47" s="871"/>
      <c r="C47" s="872"/>
      <c r="D47" s="83"/>
      <c r="E47" s="977" t="s">
        <v>3737</v>
      </c>
      <c r="F47" s="600"/>
      <c r="G47" s="600"/>
      <c r="H47" s="94"/>
      <c r="I47" s="214"/>
    </row>
    <row r="48" spans="1:9">
      <c r="A48" s="595"/>
      <c r="B48" s="977"/>
      <c r="C48" s="872"/>
      <c r="D48" s="83"/>
      <c r="F48" s="977" t="s">
        <v>3738</v>
      </c>
      <c r="G48" s="600"/>
      <c r="H48" s="94"/>
      <c r="I48" s="214"/>
    </row>
    <row r="49" spans="1:9">
      <c r="A49" s="595"/>
      <c r="C49" s="872"/>
      <c r="D49" s="83"/>
      <c r="I49" s="214"/>
    </row>
    <row r="50" spans="1:9">
      <c r="A50" s="595"/>
      <c r="B50" s="977"/>
      <c r="C50" s="872"/>
      <c r="D50" s="83"/>
      <c r="F50" t="s">
        <v>4701</v>
      </c>
      <c r="I50" s="214"/>
    </row>
    <row r="51" spans="1:9">
      <c r="A51" s="871"/>
      <c r="C51" s="872"/>
      <c r="D51" s="83"/>
      <c r="F51" t="s">
        <v>4702</v>
      </c>
      <c r="I51" s="214"/>
    </row>
    <row r="52" spans="1:9">
      <c r="A52" s="595"/>
      <c r="B52" s="977"/>
      <c r="C52" s="872"/>
      <c r="D52" s="83"/>
      <c r="F52" t="s">
        <v>4703</v>
      </c>
      <c r="I52" s="214"/>
    </row>
    <row r="53" spans="1:9">
      <c r="A53" s="871"/>
      <c r="C53" s="872"/>
      <c r="D53" s="83"/>
      <c r="F53" t="s">
        <v>4704</v>
      </c>
      <c r="I53" s="214"/>
    </row>
    <row r="54" spans="1:9">
      <c r="A54" s="871"/>
      <c r="B54" s="22"/>
      <c r="C54" s="872"/>
      <c r="D54" s="83"/>
      <c r="F54" t="s">
        <v>4705</v>
      </c>
      <c r="I54" s="214"/>
    </row>
    <row r="55" spans="1:9" ht="15.75" thickBot="1">
      <c r="A55" s="873"/>
      <c r="B55" s="874"/>
      <c r="C55" s="875"/>
      <c r="D55" s="124"/>
      <c r="E55" s="125"/>
      <c r="F55" s="125"/>
      <c r="G55" s="125"/>
      <c r="H55" s="113"/>
      <c r="I55" s="217"/>
    </row>
    <row r="56" spans="1:9">
      <c r="A56" s="977" t="s">
        <v>2024</v>
      </c>
      <c r="D56" s="977" t="s">
        <v>2024</v>
      </c>
    </row>
    <row r="57" spans="1:9">
      <c r="A57" s="4" t="s">
        <v>3739</v>
      </c>
      <c r="B57" s="4"/>
      <c r="C57" s="4"/>
      <c r="D57" s="4" t="s">
        <v>3740</v>
      </c>
      <c r="E57" s="4"/>
      <c r="F57" s="4"/>
      <c r="G57" s="4"/>
      <c r="H57" s="5"/>
      <c r="I57" s="4"/>
    </row>
    <row r="59" spans="1:9" ht="15.75">
      <c r="A59" s="3" t="s">
        <v>3741</v>
      </c>
      <c r="B59" s="5"/>
      <c r="C59" s="5"/>
      <c r="F59" s="108"/>
    </row>
    <row r="60" spans="1:9">
      <c r="B60" s="108"/>
      <c r="C60" s="108"/>
    </row>
    <row r="61" spans="1:9" ht="15.75" thickBot="1">
      <c r="A61" s="218" t="s">
        <v>218</v>
      </c>
      <c r="B61" s="14"/>
      <c r="C61" s="14"/>
    </row>
    <row r="62" spans="1:9" ht="15.75">
      <c r="A62" s="877" t="s">
        <v>218</v>
      </c>
      <c r="B62" s="878"/>
      <c r="C62" s="879"/>
    </row>
    <row r="63" spans="1:9" ht="15.75">
      <c r="A63" s="723" t="s">
        <v>132</v>
      </c>
      <c r="B63" s="724"/>
      <c r="C63" s="725"/>
      <c r="D63" s="876"/>
      <c r="E63" s="876"/>
    </row>
    <row r="64" spans="1:9" ht="15.75">
      <c r="A64" s="83"/>
      <c r="C64" s="214"/>
      <c r="D64" s="724"/>
      <c r="E64" s="724"/>
    </row>
    <row r="65" spans="1:5">
      <c r="A65" s="83"/>
      <c r="B65" s="4"/>
      <c r="C65" s="119"/>
    </row>
    <row r="66" spans="1:5">
      <c r="A66" s="83"/>
      <c r="B66" s="4"/>
      <c r="C66" s="119"/>
      <c r="E66" s="4"/>
    </row>
    <row r="67" spans="1:5">
      <c r="A67" s="83"/>
      <c r="C67" s="214"/>
      <c r="E67" s="4"/>
    </row>
    <row r="68" spans="1:5">
      <c r="A68" s="456"/>
      <c r="B68" s="322"/>
      <c r="C68" s="854"/>
    </row>
    <row r="69" spans="1:5">
      <c r="A69" s="83"/>
      <c r="B69" s="4"/>
      <c r="C69" s="119"/>
      <c r="E69" s="4"/>
    </row>
    <row r="70" spans="1:5">
      <c r="A70" s="83"/>
      <c r="B70" s="4"/>
      <c r="C70" s="119"/>
      <c r="E70" s="4"/>
    </row>
    <row r="71" spans="1:5">
      <c r="A71" s="83"/>
      <c r="B71" s="4"/>
      <c r="C71" s="119"/>
      <c r="E71" s="4"/>
    </row>
    <row r="72" spans="1:5">
      <c r="A72" s="83"/>
      <c r="B72" s="4"/>
      <c r="C72" s="119"/>
      <c r="E72" s="4"/>
    </row>
    <row r="73" spans="1:5">
      <c r="A73" s="83"/>
      <c r="B73" s="4"/>
      <c r="C73" s="119"/>
      <c r="E73" s="4"/>
    </row>
    <row r="74" spans="1:5">
      <c r="A74" s="83"/>
      <c r="B74" s="4"/>
      <c r="C74" s="119"/>
      <c r="E74" s="4"/>
    </row>
    <row r="75" spans="1:5">
      <c r="A75" s="83"/>
      <c r="B75" s="4"/>
      <c r="C75" s="119"/>
      <c r="E75" s="4"/>
    </row>
    <row r="76" spans="1:5">
      <c r="A76" s="83"/>
      <c r="B76" s="4"/>
      <c r="C76" s="119"/>
      <c r="E76" s="4"/>
    </row>
    <row r="77" spans="1:5">
      <c r="A77" s="83"/>
      <c r="B77" s="4"/>
      <c r="C77" s="119"/>
      <c r="E77" s="4"/>
    </row>
    <row r="78" spans="1:5">
      <c r="A78" s="83"/>
      <c r="B78" s="4"/>
      <c r="C78" s="119"/>
      <c r="E78" s="4"/>
    </row>
    <row r="79" spans="1:5">
      <c r="A79" s="83"/>
      <c r="B79" s="4"/>
      <c r="C79" s="119"/>
      <c r="E79" s="4"/>
    </row>
    <row r="80" spans="1:5">
      <c r="A80" s="83"/>
      <c r="B80" s="4"/>
      <c r="C80" s="119"/>
      <c r="E80" s="4"/>
    </row>
    <row r="81" spans="1:5">
      <c r="A81" s="83"/>
      <c r="B81" s="4"/>
      <c r="C81" s="119"/>
      <c r="E81" s="4"/>
    </row>
    <row r="82" spans="1:5">
      <c r="A82" s="83"/>
      <c r="B82" s="4"/>
      <c r="C82" s="119"/>
      <c r="E82" s="4"/>
    </row>
    <row r="83" spans="1:5">
      <c r="A83" s="83"/>
      <c r="B83" s="4"/>
      <c r="C83" s="119"/>
      <c r="E83" s="4"/>
    </row>
    <row r="84" spans="1:5">
      <c r="A84" s="83"/>
      <c r="B84" s="4"/>
      <c r="C84" s="119"/>
      <c r="E84" s="4"/>
    </row>
    <row r="85" spans="1:5">
      <c r="A85" s="83"/>
      <c r="B85" s="4"/>
      <c r="C85" s="119"/>
      <c r="E85" s="4"/>
    </row>
    <row r="86" spans="1:5">
      <c r="A86" s="83"/>
      <c r="B86" s="4"/>
      <c r="C86" s="119"/>
      <c r="E86" s="4"/>
    </row>
    <row r="87" spans="1:5">
      <c r="A87" s="83"/>
      <c r="B87" s="4"/>
      <c r="C87" s="119"/>
      <c r="E87" s="4"/>
    </row>
    <row r="88" spans="1:5">
      <c r="A88" s="83"/>
      <c r="B88" s="4"/>
      <c r="C88" s="119"/>
      <c r="E88" s="4"/>
    </row>
    <row r="89" spans="1:5">
      <c r="A89" s="83"/>
      <c r="B89" s="4"/>
      <c r="C89" s="119"/>
      <c r="E89" s="4"/>
    </row>
    <row r="90" spans="1:5">
      <c r="A90" s="83"/>
      <c r="C90" s="214"/>
      <c r="E90" s="4"/>
    </row>
    <row r="91" spans="1:5">
      <c r="A91" s="83"/>
      <c r="B91" s="4"/>
      <c r="C91" s="119"/>
    </row>
    <row r="92" spans="1:5">
      <c r="A92" s="83"/>
      <c r="B92" s="4"/>
      <c r="C92" s="119"/>
      <c r="E92" s="4"/>
    </row>
    <row r="93" spans="1:5">
      <c r="A93" s="83"/>
      <c r="B93" s="4"/>
      <c r="C93" s="119"/>
      <c r="E93" s="4"/>
    </row>
    <row r="94" spans="1:5">
      <c r="A94" s="83"/>
      <c r="B94" s="4"/>
      <c r="C94" s="119"/>
      <c r="E94" s="4"/>
    </row>
    <row r="95" spans="1:5">
      <c r="A95" s="83"/>
      <c r="C95" s="214"/>
      <c r="E95" s="4"/>
    </row>
    <row r="96" spans="1:5">
      <c r="A96" s="83"/>
      <c r="C96" s="214"/>
    </row>
    <row r="97" spans="1:3">
      <c r="A97" s="83"/>
      <c r="C97" s="214"/>
    </row>
    <row r="98" spans="1:3">
      <c r="A98" s="83"/>
      <c r="C98" s="214"/>
    </row>
    <row r="99" spans="1:3">
      <c r="A99" s="83"/>
      <c r="C99" s="214"/>
    </row>
    <row r="100" spans="1:3">
      <c r="A100" s="83"/>
      <c r="C100" s="214"/>
    </row>
    <row r="101" spans="1:3">
      <c r="A101" s="83"/>
      <c r="C101" s="214"/>
    </row>
    <row r="102" spans="1:3">
      <c r="A102" s="83"/>
      <c r="C102" s="214"/>
    </row>
    <row r="103" spans="1:3">
      <c r="A103" s="83"/>
      <c r="C103" s="214"/>
    </row>
    <row r="104" spans="1:3">
      <c r="A104" s="83"/>
      <c r="C104" s="214"/>
    </row>
    <row r="105" spans="1:3">
      <c r="A105" s="83"/>
      <c r="C105" s="214"/>
    </row>
    <row r="106" spans="1:3">
      <c r="A106" s="83"/>
      <c r="C106" s="214"/>
    </row>
    <row r="107" spans="1:3">
      <c r="A107" s="83"/>
      <c r="C107" s="214"/>
    </row>
    <row r="108" spans="1:3">
      <c r="A108" s="83"/>
      <c r="C108" s="214"/>
    </row>
    <row r="109" spans="1:3">
      <c r="A109" s="83"/>
      <c r="C109" s="214"/>
    </row>
    <row r="110" spans="1:3">
      <c r="A110" s="83"/>
      <c r="C110" s="214"/>
    </row>
    <row r="111" spans="1:3">
      <c r="A111" s="83"/>
      <c r="C111" s="214"/>
    </row>
    <row r="112" spans="1:3">
      <c r="A112" s="83"/>
      <c r="C112" s="214"/>
    </row>
    <row r="113" spans="1:3">
      <c r="A113" s="83"/>
      <c r="C113" s="214"/>
    </row>
    <row r="114" spans="1:3" ht="15.75" thickBot="1">
      <c r="A114" s="124"/>
      <c r="B114" s="125"/>
      <c r="C114" s="217"/>
    </row>
    <row r="115" spans="1:3">
      <c r="A115" t="s">
        <v>2024</v>
      </c>
    </row>
    <row r="116" spans="1:3">
      <c r="A116" s="4" t="s">
        <v>3742</v>
      </c>
      <c r="B116" s="4"/>
      <c r="C116" s="4"/>
    </row>
    <row r="120" spans="1:3">
      <c r="B120" s="108"/>
      <c r="C120" s="108"/>
    </row>
    <row r="123" spans="1:3">
      <c r="B123" s="108"/>
      <c r="C123" s="108"/>
    </row>
    <row r="124" spans="1:3">
      <c r="B124" s="108"/>
      <c r="C124" s="108"/>
    </row>
    <row r="125" spans="1:3">
      <c r="B125" s="108"/>
      <c r="C125" s="108"/>
    </row>
    <row r="126" spans="1:3">
      <c r="B126" s="108"/>
      <c r="C126" s="108"/>
    </row>
    <row r="127" spans="1:3">
      <c r="B127" s="108"/>
      <c r="C127" s="108"/>
    </row>
    <row r="128" spans="1:3">
      <c r="B128" s="108"/>
      <c r="C128" s="108"/>
    </row>
  </sheetData>
  <mergeCells count="4">
    <mergeCell ref="B8:C8"/>
    <mergeCell ref="B9:C9"/>
    <mergeCell ref="B11:C11"/>
    <mergeCell ref="B12:C12"/>
  </mergeCells>
  <phoneticPr fontId="0" type="noConversion"/>
  <printOptions horizontalCentered="1" verticalCentered="1"/>
  <pageMargins left="0" right="0" top="0" bottom="0" header="0.25" footer="0.25"/>
  <pageSetup scale="75" fitToWidth="2" fitToHeight="2" pageOrder="overThenDown" orientation="portrait" r:id="rId1"/>
  <headerFooter alignWithMargins="0"/>
  <rowBreaks count="1" manualBreakCount="1">
    <brk id="58" max="16383" man="1"/>
  </rowBreaks>
  <colBreaks count="1" manualBreakCount="1">
    <brk id="3"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ransitionEvaluation="1" codeName="Sheet75"/>
  <dimension ref="A1:H128"/>
  <sheetViews>
    <sheetView defaultGridColor="0" colorId="22" zoomScaleNormal="100" workbookViewId="0">
      <pane xSplit="1" ySplit="11" topLeftCell="B12" activePane="bottomRight" state="frozen"/>
      <selection activeCell="A2" sqref="A2"/>
      <selection pane="topRight" activeCell="A2" sqref="A2"/>
      <selection pane="bottomLeft" activeCell="A2" sqref="A2"/>
      <selection pane="bottomRight" activeCell="I52" sqref="I52"/>
    </sheetView>
  </sheetViews>
  <sheetFormatPr defaultColWidth="9.77734375" defaultRowHeight="15"/>
  <cols>
    <col min="1" max="1" width="3.77734375" customWidth="1"/>
    <col min="2" max="2" width="50.77734375" customWidth="1"/>
    <col min="3" max="3" width="55.5546875" customWidth="1"/>
    <col min="4" max="4" width="4.77734375" customWidth="1"/>
    <col min="5" max="5" width="60.77734375" customWidth="1"/>
    <col min="6" max="6" width="4.109375" customWidth="1"/>
    <col min="7" max="7" width="13" style="86" bestFit="1" customWidth="1"/>
    <col min="8" max="8" width="1.88671875" customWidth="1"/>
  </cols>
  <sheetData>
    <row r="1" spans="1:8" ht="16.5" thickBot="1">
      <c r="A1" t="str">
        <f>'Data sheet'!A59</f>
        <v>Annual Report of Veolia Water New York, Inc.                                                             Year Ended  December 31, 2023</v>
      </c>
      <c r="B1" s="14"/>
      <c r="C1" s="14"/>
      <c r="D1" t="str">
        <f>'Data sheet'!A55</f>
        <v>Annual Report of Veolia Water New York, Inc.                                  Year Ended  December 31, 2023</v>
      </c>
      <c r="E1" s="876"/>
      <c r="F1" s="14"/>
      <c r="G1" s="14"/>
      <c r="H1" s="876"/>
    </row>
    <row r="2" spans="1:8" ht="15.75">
      <c r="A2" s="2759" t="s">
        <v>4993</v>
      </c>
      <c r="B2" s="2760"/>
      <c r="C2" s="2761"/>
      <c r="D2" s="2299" t="s">
        <v>4993</v>
      </c>
      <c r="E2" s="2300"/>
      <c r="F2" s="2300"/>
      <c r="G2" s="2300"/>
      <c r="H2" s="2301"/>
    </row>
    <row r="3" spans="1:8" ht="18">
      <c r="A3" s="723" t="s">
        <v>132</v>
      </c>
      <c r="B3" s="724"/>
      <c r="C3" s="725"/>
      <c r="D3" s="2758" t="s">
        <v>133</v>
      </c>
      <c r="E3" s="2278"/>
      <c r="F3" s="2277"/>
      <c r="G3" s="2277"/>
      <c r="H3" s="2279"/>
    </row>
    <row r="4" spans="1:8" ht="15.75">
      <c r="A4" s="723"/>
      <c r="B4" s="724"/>
      <c r="C4" s="725"/>
      <c r="D4" s="2280"/>
      <c r="E4" s="2281"/>
      <c r="F4" s="2281"/>
      <c r="G4" s="2281"/>
      <c r="H4" s="2282"/>
    </row>
    <row r="5" spans="1:8">
      <c r="A5" s="595" t="s">
        <v>284</v>
      </c>
      <c r="B5" s="977" t="s">
        <v>134</v>
      </c>
      <c r="C5" s="727"/>
      <c r="D5" s="2283"/>
      <c r="E5" s="2284"/>
      <c r="F5" s="2285"/>
      <c r="G5" s="2286" t="s">
        <v>1738</v>
      </c>
      <c r="H5" s="2287"/>
    </row>
    <row r="6" spans="1:8">
      <c r="A6" s="595"/>
      <c r="B6" s="977" t="s">
        <v>880</v>
      </c>
      <c r="C6" s="119"/>
      <c r="D6" s="2288" t="s">
        <v>1727</v>
      </c>
      <c r="E6" s="2286" t="s">
        <v>1290</v>
      </c>
      <c r="F6" s="2285"/>
      <c r="G6" s="2286" t="s">
        <v>2318</v>
      </c>
      <c r="H6" s="2287"/>
    </row>
    <row r="7" spans="1:8">
      <c r="A7" s="83"/>
      <c r="B7" s="977" t="s">
        <v>882</v>
      </c>
      <c r="C7" s="119"/>
      <c r="D7" s="2358" t="s">
        <v>1739</v>
      </c>
      <c r="E7" s="2290" t="s">
        <v>3279</v>
      </c>
      <c r="F7" s="2289"/>
      <c r="G7" s="2290" t="s">
        <v>3280</v>
      </c>
      <c r="H7" s="2282"/>
    </row>
    <row r="8" spans="1:8">
      <c r="A8" s="83" t="s">
        <v>1687</v>
      </c>
      <c r="B8" s="977" t="s">
        <v>883</v>
      </c>
      <c r="C8" s="214"/>
      <c r="D8" s="2291"/>
      <c r="E8" s="2310" t="s">
        <v>4612</v>
      </c>
      <c r="F8" s="2285"/>
      <c r="G8" s="2276"/>
      <c r="H8" s="2287"/>
    </row>
    <row r="9" spans="1:8" ht="15.75">
      <c r="A9" s="595"/>
      <c r="B9" s="2869" t="s">
        <v>3451</v>
      </c>
      <c r="C9" s="2870"/>
      <c r="D9" s="2294" t="s">
        <v>340</v>
      </c>
      <c r="E9" s="2260" t="s">
        <v>3455</v>
      </c>
      <c r="F9" s="2315" t="s">
        <v>3456</v>
      </c>
      <c r="G9" s="2302">
        <v>372912850</v>
      </c>
      <c r="H9" s="2293"/>
    </row>
    <row r="10" spans="1:8" ht="15.75">
      <c r="A10" s="83"/>
      <c r="B10" s="2869" t="s">
        <v>3452</v>
      </c>
      <c r="C10" s="2870"/>
      <c r="D10" s="2294" t="s">
        <v>341</v>
      </c>
      <c r="E10" s="2260" t="s">
        <v>2442</v>
      </c>
      <c r="F10" s="2315" t="s">
        <v>3456</v>
      </c>
      <c r="G10" s="2302">
        <v>397835605</v>
      </c>
      <c r="H10" s="2293"/>
    </row>
    <row r="11" spans="1:8" ht="15.75">
      <c r="A11" s="83" t="s">
        <v>3053</v>
      </c>
      <c r="B11" s="977" t="s">
        <v>3454</v>
      </c>
      <c r="C11" s="119"/>
      <c r="D11" s="2294" t="s">
        <v>342</v>
      </c>
      <c r="E11" s="2311" t="s">
        <v>2444</v>
      </c>
      <c r="F11" s="2315" t="s">
        <v>3456</v>
      </c>
      <c r="G11" s="2302">
        <v>360110928</v>
      </c>
      <c r="H11" s="2293"/>
    </row>
    <row r="12" spans="1:8" ht="15.75">
      <c r="A12" s="595"/>
      <c r="B12" s="2869" t="s">
        <v>3457</v>
      </c>
      <c r="C12" s="2870"/>
      <c r="D12" s="2294" t="s">
        <v>343</v>
      </c>
      <c r="E12" s="2260" t="s">
        <v>4256</v>
      </c>
      <c r="F12" s="2315" t="s">
        <v>3456</v>
      </c>
      <c r="G12" s="2302">
        <v>0</v>
      </c>
      <c r="H12" s="2293"/>
    </row>
    <row r="13" spans="1:8" ht="15.75">
      <c r="A13" s="83" t="s">
        <v>2364</v>
      </c>
      <c r="B13" s="2869" t="s">
        <v>2443</v>
      </c>
      <c r="C13" s="2870"/>
      <c r="D13" s="2294" t="s">
        <v>344</v>
      </c>
      <c r="E13" s="2260" t="s">
        <v>605</v>
      </c>
      <c r="F13" s="2315" t="s">
        <v>3456</v>
      </c>
      <c r="G13" s="2302">
        <v>8590</v>
      </c>
      <c r="H13" s="2293"/>
    </row>
    <row r="14" spans="1:8" ht="15.75">
      <c r="A14" s="595" t="s">
        <v>218</v>
      </c>
      <c r="B14" s="977" t="s">
        <v>4255</v>
      </c>
      <c r="C14" s="119"/>
      <c r="D14" s="2294" t="s">
        <v>345</v>
      </c>
      <c r="E14" s="2260" t="s">
        <v>3664</v>
      </c>
      <c r="F14" s="2315" t="s">
        <v>3456</v>
      </c>
      <c r="G14" s="2302">
        <v>96496691</v>
      </c>
      <c r="H14" s="2293"/>
    </row>
    <row r="15" spans="1:8" ht="15.75">
      <c r="A15" s="83" t="s">
        <v>2366</v>
      </c>
      <c r="B15" s="977" t="s">
        <v>604</v>
      </c>
      <c r="C15" s="119"/>
      <c r="D15" s="2294" t="s">
        <v>346</v>
      </c>
      <c r="E15" s="2260" t="s">
        <v>2814</v>
      </c>
      <c r="F15" s="2259"/>
      <c r="G15" s="2316">
        <v>45291</v>
      </c>
      <c r="H15" s="2293"/>
    </row>
    <row r="16" spans="1:8" ht="15.75">
      <c r="A16" s="595" t="s">
        <v>198</v>
      </c>
      <c r="B16" s="977" t="s">
        <v>3663</v>
      </c>
      <c r="C16" s="119"/>
      <c r="D16" s="2294" t="s">
        <v>347</v>
      </c>
      <c r="E16" s="2260" t="s">
        <v>885</v>
      </c>
      <c r="F16" s="2259"/>
      <c r="G16" s="2303">
        <v>5.3999999999999999E-2</v>
      </c>
      <c r="H16" s="2293"/>
    </row>
    <row r="17" spans="1:8" ht="15.75">
      <c r="A17" s="595" t="s">
        <v>3665</v>
      </c>
      <c r="B17" s="977" t="s">
        <v>3312</v>
      </c>
      <c r="C17" s="119"/>
      <c r="D17" s="2294" t="s">
        <v>348</v>
      </c>
      <c r="E17" s="2260" t="s">
        <v>3620</v>
      </c>
      <c r="F17" s="2259"/>
      <c r="G17" s="2303">
        <v>6.25E-2</v>
      </c>
      <c r="H17" s="2293"/>
    </row>
    <row r="18" spans="1:8" ht="15.75">
      <c r="A18" s="595"/>
      <c r="B18" s="977" t="s">
        <v>884</v>
      </c>
      <c r="C18" s="119"/>
      <c r="D18" s="2294" t="s">
        <v>349</v>
      </c>
      <c r="E18" s="2260" t="s">
        <v>3621</v>
      </c>
      <c r="F18" s="2259"/>
      <c r="G18" s="2304" t="s">
        <v>4982</v>
      </c>
      <c r="H18" s="2293"/>
    </row>
    <row r="19" spans="1:8" ht="15.75">
      <c r="A19" s="83" t="s">
        <v>886</v>
      </c>
      <c r="B19" s="977" t="s">
        <v>3619</v>
      </c>
      <c r="C19" s="119"/>
      <c r="D19" s="2294"/>
      <c r="E19" s="2260"/>
      <c r="F19" s="2259"/>
      <c r="G19" s="2317"/>
      <c r="H19" s="2293"/>
    </row>
    <row r="20" spans="1:8" ht="15.75">
      <c r="A20" s="595" t="s">
        <v>218</v>
      </c>
      <c r="B20" s="977" t="s">
        <v>2669</v>
      </c>
      <c r="C20" s="119"/>
      <c r="D20" s="2294"/>
      <c r="E20" s="2310" t="s">
        <v>3540</v>
      </c>
      <c r="F20" s="2259"/>
      <c r="G20" s="2260"/>
      <c r="H20" s="2293"/>
    </row>
    <row r="21" spans="1:8" ht="15.75">
      <c r="A21" s="83" t="s">
        <v>3622</v>
      </c>
      <c r="B21" s="977" t="s">
        <v>3890</v>
      </c>
      <c r="C21" s="119"/>
      <c r="D21" s="2294" t="s">
        <v>350</v>
      </c>
      <c r="E21" s="2260" t="s">
        <v>3543</v>
      </c>
      <c r="F21" s="2315" t="s">
        <v>3456</v>
      </c>
      <c r="G21" s="2305">
        <v>5614997</v>
      </c>
      <c r="H21" s="2293"/>
    </row>
    <row r="22" spans="1:8" ht="15.75">
      <c r="A22" s="595"/>
      <c r="B22" s="977" t="s">
        <v>2219</v>
      </c>
      <c r="C22" s="119"/>
      <c r="D22" s="2294" t="s">
        <v>351</v>
      </c>
      <c r="E22" s="2260" t="s">
        <v>3545</v>
      </c>
      <c r="F22" s="2259"/>
      <c r="G22" s="2305">
        <v>21091561</v>
      </c>
      <c r="H22" s="2293"/>
    </row>
    <row r="23" spans="1:8" ht="15.75">
      <c r="A23" s="83" t="s">
        <v>3541</v>
      </c>
      <c r="B23" s="977" t="s">
        <v>3542</v>
      </c>
      <c r="C23" s="119"/>
      <c r="D23" s="2294" t="s">
        <v>352</v>
      </c>
      <c r="E23" s="2260" t="s">
        <v>757</v>
      </c>
      <c r="F23" s="2259"/>
      <c r="G23" s="2305">
        <v>-38705207</v>
      </c>
      <c r="H23" s="2293"/>
    </row>
    <row r="24" spans="1:8" ht="15.75">
      <c r="A24" s="595"/>
      <c r="B24" s="977" t="s">
        <v>3544</v>
      </c>
      <c r="C24" s="214"/>
      <c r="D24" s="2294" t="s">
        <v>353</v>
      </c>
      <c r="E24" s="2260" t="s">
        <v>158</v>
      </c>
      <c r="F24" s="2259"/>
      <c r="G24" s="2305">
        <v>18318414</v>
      </c>
      <c r="H24" s="2293"/>
    </row>
    <row r="25" spans="1:8" ht="15.75">
      <c r="A25" s="83" t="s">
        <v>3546</v>
      </c>
      <c r="B25" s="977" t="s">
        <v>2623</v>
      </c>
      <c r="C25" s="214"/>
      <c r="D25" s="2294" t="s">
        <v>354</v>
      </c>
      <c r="E25" s="2260" t="s">
        <v>2746</v>
      </c>
      <c r="F25" s="2259"/>
      <c r="G25" s="2305">
        <v>0</v>
      </c>
      <c r="H25" s="2293"/>
    </row>
    <row r="26" spans="1:8" ht="15.75">
      <c r="A26" s="595"/>
      <c r="B26" s="977" t="s">
        <v>4029</v>
      </c>
      <c r="C26" s="214"/>
      <c r="D26" s="2294" t="s">
        <v>355</v>
      </c>
      <c r="E26" s="2260" t="s">
        <v>3507</v>
      </c>
      <c r="F26" s="2259"/>
      <c r="G26" s="2305">
        <v>-1683</v>
      </c>
      <c r="H26" s="2293"/>
    </row>
    <row r="27" spans="1:8" ht="15.75">
      <c r="A27" s="83" t="s">
        <v>1503</v>
      </c>
      <c r="B27" s="977" t="s">
        <v>2745</v>
      </c>
      <c r="C27" s="214"/>
      <c r="D27" s="2294" t="s">
        <v>356</v>
      </c>
      <c r="E27" s="2260" t="s">
        <v>4706</v>
      </c>
      <c r="F27" s="2259" t="s">
        <v>218</v>
      </c>
      <c r="G27" s="2302">
        <v>10457822</v>
      </c>
      <c r="H27" s="2293"/>
    </row>
    <row r="28" spans="1:8" ht="15.75">
      <c r="A28" s="595" t="s">
        <v>55</v>
      </c>
      <c r="B28" s="977" t="s">
        <v>3506</v>
      </c>
      <c r="C28" s="214"/>
      <c r="D28" s="2294" t="s">
        <v>357</v>
      </c>
      <c r="E28" s="2312" t="s">
        <v>2415</v>
      </c>
      <c r="F28" s="2315" t="s">
        <v>3456</v>
      </c>
      <c r="G28" s="2306">
        <v>16775904</v>
      </c>
      <c r="H28" s="2293" t="s">
        <v>2935</v>
      </c>
    </row>
    <row r="29" spans="1:8" ht="15.75">
      <c r="A29" s="595"/>
      <c r="B29" s="977"/>
      <c r="C29" s="214"/>
      <c r="D29" s="2294"/>
      <c r="E29" s="2260"/>
      <c r="F29" s="2259"/>
      <c r="G29" s="2318"/>
      <c r="H29" s="2293"/>
    </row>
    <row r="30" spans="1:8" ht="15.75">
      <c r="A30" s="456"/>
      <c r="B30" s="2765" t="s">
        <v>2414</v>
      </c>
      <c r="C30" s="243"/>
      <c r="D30" s="2294" t="s">
        <v>358</v>
      </c>
      <c r="E30" s="2260" t="s">
        <v>183</v>
      </c>
      <c r="F30" s="2259"/>
      <c r="G30" s="2305">
        <v>502</v>
      </c>
      <c r="H30" s="2293"/>
    </row>
    <row r="31" spans="1:8" ht="15.75">
      <c r="A31" s="83"/>
      <c r="B31" s="977" t="s">
        <v>181</v>
      </c>
      <c r="C31" s="119"/>
      <c r="D31" s="2294" t="s">
        <v>359</v>
      </c>
      <c r="E31" s="2260" t="s">
        <v>184</v>
      </c>
      <c r="F31" s="2259"/>
      <c r="G31" s="2305">
        <v>1220</v>
      </c>
      <c r="H31" s="2293"/>
    </row>
    <row r="32" spans="1:8" ht="15.75">
      <c r="A32" s="83"/>
      <c r="B32" s="977" t="s">
        <v>182</v>
      </c>
      <c r="C32" s="119"/>
      <c r="D32" s="2294" t="s">
        <v>360</v>
      </c>
      <c r="E32" s="2313" t="s">
        <v>2425</v>
      </c>
      <c r="F32" s="2319"/>
      <c r="G32" s="2307">
        <v>235</v>
      </c>
      <c r="H32" s="2293"/>
    </row>
    <row r="33" spans="1:8" ht="15.75">
      <c r="A33" s="682"/>
      <c r="B33" s="977"/>
      <c r="C33" s="119"/>
      <c r="D33" s="2294"/>
      <c r="E33" s="2310" t="s">
        <v>4707</v>
      </c>
      <c r="F33" s="2259"/>
      <c r="G33" s="2308"/>
      <c r="H33" s="2293"/>
    </row>
    <row r="34" spans="1:8" ht="15.75">
      <c r="A34" s="2373"/>
      <c r="B34" s="2260"/>
      <c r="C34" s="2353"/>
      <c r="D34" s="2294" t="s">
        <v>361</v>
      </c>
      <c r="E34" s="2260" t="s">
        <v>1522</v>
      </c>
      <c r="F34" s="2315" t="s">
        <v>3456</v>
      </c>
      <c r="G34" s="2305">
        <v>330782</v>
      </c>
      <c r="H34" s="2293"/>
    </row>
    <row r="35" spans="1:8" ht="15.75">
      <c r="A35" s="2373"/>
      <c r="B35" s="2260" t="s">
        <v>5369</v>
      </c>
      <c r="C35" s="2353"/>
      <c r="D35" s="2294" t="s">
        <v>362</v>
      </c>
      <c r="E35" s="2260" t="s">
        <v>1523</v>
      </c>
      <c r="F35" s="2315" t="s">
        <v>3456</v>
      </c>
      <c r="G35" s="2305">
        <v>299896</v>
      </c>
      <c r="H35" s="2293"/>
    </row>
    <row r="36" spans="1:8" ht="15.75">
      <c r="A36" s="2355" t="s">
        <v>4557</v>
      </c>
      <c r="B36" s="2320" t="s">
        <v>5386</v>
      </c>
      <c r="C36" s="2354"/>
      <c r="D36" s="2294" t="s">
        <v>363</v>
      </c>
      <c r="E36" s="2260" t="s">
        <v>1524</v>
      </c>
      <c r="F36" s="2315" t="s">
        <v>3456</v>
      </c>
      <c r="G36" s="2305">
        <v>26421121</v>
      </c>
      <c r="H36" s="2293"/>
    </row>
    <row r="37" spans="1:8" ht="15.75">
      <c r="A37" s="2355"/>
      <c r="B37" s="2320"/>
      <c r="C37" s="2356"/>
      <c r="D37" s="2294" t="s">
        <v>364</v>
      </c>
      <c r="E37" s="2260" t="s">
        <v>1525</v>
      </c>
      <c r="F37" s="2315" t="s">
        <v>3456</v>
      </c>
      <c r="G37" s="2305">
        <v>964995</v>
      </c>
      <c r="H37" s="2293"/>
    </row>
    <row r="38" spans="1:8">
      <c r="A38" s="2355"/>
      <c r="B38" s="2320" t="s">
        <v>5371</v>
      </c>
      <c r="C38" s="2356"/>
      <c r="D38" s="2294" t="s">
        <v>3238</v>
      </c>
      <c r="E38" s="2260" t="s">
        <v>2415</v>
      </c>
      <c r="F38" s="2315" t="s">
        <v>3456</v>
      </c>
      <c r="G38" s="2305">
        <v>1234406</v>
      </c>
      <c r="H38" s="2287"/>
    </row>
    <row r="39" spans="1:8">
      <c r="A39" s="2355" t="s">
        <v>4557</v>
      </c>
      <c r="B39" s="2320" t="s">
        <v>5387</v>
      </c>
      <c r="C39" s="2357"/>
      <c r="D39" s="2294" t="s">
        <v>3239</v>
      </c>
      <c r="E39" s="2260" t="s">
        <v>1526</v>
      </c>
      <c r="F39" s="2315" t="s">
        <v>3456</v>
      </c>
      <c r="G39" s="2305"/>
      <c r="H39" s="2287"/>
    </row>
    <row r="40" spans="1:8">
      <c r="A40" s="2355"/>
      <c r="B40" s="2320"/>
      <c r="C40" s="2357"/>
      <c r="D40" s="2294" t="s">
        <v>3240</v>
      </c>
      <c r="E40" s="2260" t="s">
        <v>746</v>
      </c>
      <c r="F40" s="2315" t="s">
        <v>3456</v>
      </c>
      <c r="G40" s="2305">
        <v>-6035044</v>
      </c>
      <c r="H40" s="2287"/>
    </row>
    <row r="41" spans="1:8">
      <c r="A41" s="2355"/>
      <c r="B41" s="2320"/>
      <c r="C41" s="2357"/>
      <c r="D41" s="2294" t="s">
        <v>3241</v>
      </c>
      <c r="E41" s="2260" t="s">
        <v>3736</v>
      </c>
      <c r="F41" s="2259"/>
      <c r="G41" s="2305">
        <v>110</v>
      </c>
      <c r="H41" s="2287"/>
    </row>
    <row r="42" spans="1:8">
      <c r="A42" s="682"/>
      <c r="B42" s="86"/>
      <c r="C42" s="872"/>
      <c r="D42" s="2294" t="s">
        <v>3242</v>
      </c>
      <c r="E42" s="2260" t="s">
        <v>183</v>
      </c>
      <c r="F42" s="2259"/>
      <c r="G42" s="2305">
        <v>44</v>
      </c>
      <c r="H42" s="2287"/>
    </row>
    <row r="43" spans="1:8">
      <c r="A43" s="682"/>
      <c r="B43" s="86"/>
      <c r="C43" s="872"/>
      <c r="D43" s="2294" t="s">
        <v>3243</v>
      </c>
      <c r="E43" s="2260" t="s">
        <v>184</v>
      </c>
      <c r="F43" s="2259"/>
      <c r="G43" s="2305">
        <v>48</v>
      </c>
      <c r="H43" s="2287"/>
    </row>
    <row r="44" spans="1:8">
      <c r="A44" s="682"/>
      <c r="B44" s="977"/>
      <c r="C44" s="872"/>
      <c r="D44" s="2294" t="s">
        <v>3244</v>
      </c>
      <c r="E44" s="2313" t="s">
        <v>2425</v>
      </c>
      <c r="F44" s="2319"/>
      <c r="G44" s="2309">
        <v>18</v>
      </c>
      <c r="H44" s="2287"/>
    </row>
    <row r="45" spans="1:8">
      <c r="A45" s="682"/>
      <c r="B45" s="108"/>
      <c r="C45" s="872"/>
      <c r="D45" s="2291"/>
      <c r="E45" s="86" t="s">
        <v>4708</v>
      </c>
      <c r="F45" s="2284"/>
      <c r="G45" s="2284"/>
      <c r="H45" s="2287"/>
    </row>
    <row r="46" spans="1:8">
      <c r="A46" s="682"/>
      <c r="B46" s="977"/>
      <c r="C46" s="872"/>
      <c r="D46" s="2291"/>
      <c r="E46" s="86" t="s">
        <v>4709</v>
      </c>
      <c r="F46" s="2284"/>
      <c r="G46" s="2284"/>
      <c r="H46" s="2287"/>
    </row>
    <row r="47" spans="1:8">
      <c r="A47" s="871"/>
      <c r="B47" s="86"/>
      <c r="C47" s="872"/>
      <c r="D47" s="2291"/>
      <c r="E47" s="2260"/>
      <c r="F47" s="2284"/>
      <c r="G47" s="2284"/>
      <c r="H47" s="2287"/>
    </row>
    <row r="48" spans="1:8">
      <c r="A48" s="682"/>
      <c r="B48" s="977"/>
      <c r="C48" s="872"/>
      <c r="D48" s="2291"/>
      <c r="E48" s="2314" t="s">
        <v>4701</v>
      </c>
      <c r="F48" s="2284"/>
      <c r="G48" s="2284"/>
      <c r="H48" s="2287"/>
    </row>
    <row r="49" spans="1:8">
      <c r="A49" s="83"/>
      <c r="B49" s="86"/>
      <c r="C49" s="872"/>
      <c r="D49" s="2291"/>
      <c r="E49" s="2314" t="s">
        <v>4702</v>
      </c>
      <c r="F49" s="2284"/>
      <c r="G49" s="2284"/>
      <c r="H49" s="2287"/>
    </row>
    <row r="50" spans="1:8">
      <c r="A50" s="682"/>
      <c r="B50" s="977"/>
      <c r="C50" s="872"/>
      <c r="D50" s="2291"/>
      <c r="E50" s="2314" t="s">
        <v>4703</v>
      </c>
      <c r="F50" s="2284"/>
      <c r="G50" s="2284"/>
      <c r="H50" s="2287"/>
    </row>
    <row r="51" spans="1:8">
      <c r="A51" s="871"/>
      <c r="B51" s="86"/>
      <c r="C51" s="872"/>
      <c r="D51" s="2291"/>
      <c r="E51" s="2314" t="s">
        <v>4704</v>
      </c>
      <c r="F51" s="2284"/>
      <c r="G51" s="2284"/>
      <c r="H51" s="2287"/>
    </row>
    <row r="52" spans="1:8">
      <c r="A52" s="682"/>
      <c r="B52" s="977"/>
      <c r="C52" s="872"/>
      <c r="D52" s="2291"/>
      <c r="E52" s="2314" t="s">
        <v>4705</v>
      </c>
      <c r="F52" s="2284"/>
      <c r="G52" s="2284"/>
      <c r="H52" s="2287"/>
    </row>
    <row r="53" spans="1:8" ht="18">
      <c r="A53" s="871"/>
      <c r="B53" s="22"/>
      <c r="C53" s="872"/>
      <c r="D53" s="2291"/>
      <c r="E53" s="2292"/>
      <c r="F53" s="2284"/>
      <c r="G53" s="2284"/>
      <c r="H53" s="2287"/>
    </row>
    <row r="54" spans="1:8" ht="18">
      <c r="A54" s="871"/>
      <c r="B54" s="22"/>
      <c r="C54" s="872"/>
      <c r="D54" s="2291"/>
      <c r="E54" s="2292"/>
      <c r="F54" s="2284"/>
      <c r="G54" s="2284"/>
      <c r="H54" s="2287"/>
    </row>
    <row r="55" spans="1:8" ht="18.75" thickBot="1">
      <c r="A55" s="873" t="s">
        <v>218</v>
      </c>
      <c r="B55" s="874" t="s">
        <v>218</v>
      </c>
      <c r="C55" s="875"/>
      <c r="D55" s="2295"/>
      <c r="E55" s="2296"/>
      <c r="F55" s="2297"/>
      <c r="G55" s="2297"/>
      <c r="H55" s="2298"/>
    </row>
    <row r="56" spans="1:8">
      <c r="A56" s="977" t="s">
        <v>2024</v>
      </c>
      <c r="D56" s="4" t="s">
        <v>2560</v>
      </c>
      <c r="E56" s="4"/>
      <c r="F56" s="4"/>
      <c r="G56" s="5"/>
      <c r="H56" s="4"/>
    </row>
    <row r="57" spans="1:8">
      <c r="A57" s="4" t="s">
        <v>3893</v>
      </c>
      <c r="B57" s="4"/>
      <c r="C57" s="4"/>
    </row>
    <row r="59" spans="1:8" ht="15.75">
      <c r="A59" s="3" t="s">
        <v>3741</v>
      </c>
      <c r="B59" s="5"/>
      <c r="C59" s="5"/>
      <c r="E59" s="108"/>
    </row>
    <row r="60" spans="1:8">
      <c r="B60" s="108"/>
      <c r="C60" s="108"/>
    </row>
    <row r="61" spans="1:8" ht="15.75" thickBot="1">
      <c r="A61" s="218" t="s">
        <v>218</v>
      </c>
      <c r="B61" s="14"/>
      <c r="C61" s="14"/>
    </row>
    <row r="62" spans="1:8" ht="15.75">
      <c r="A62" s="877" t="s">
        <v>218</v>
      </c>
      <c r="B62" s="878"/>
      <c r="C62" s="879"/>
    </row>
    <row r="63" spans="1:8" ht="15.75">
      <c r="A63" s="723" t="s">
        <v>132</v>
      </c>
      <c r="B63" s="724"/>
      <c r="C63" s="725"/>
      <c r="D63" s="876"/>
    </row>
    <row r="64" spans="1:8" ht="15.75">
      <c r="A64" s="83"/>
      <c r="C64" s="214"/>
      <c r="D64" s="724"/>
    </row>
    <row r="65" spans="1:3">
      <c r="A65" s="83"/>
      <c r="B65" s="4"/>
      <c r="C65" s="119"/>
    </row>
    <row r="66" spans="1:3">
      <c r="A66" s="83"/>
      <c r="B66" s="4"/>
      <c r="C66" s="119"/>
    </row>
    <row r="67" spans="1:3">
      <c r="A67" s="83"/>
      <c r="C67" s="214"/>
    </row>
    <row r="68" spans="1:3">
      <c r="A68" s="456"/>
      <c r="B68" s="322"/>
      <c r="C68" s="854"/>
    </row>
    <row r="69" spans="1:3">
      <c r="A69" s="83"/>
      <c r="B69" s="4"/>
      <c r="C69" s="119"/>
    </row>
    <row r="70" spans="1:3">
      <c r="A70" s="83"/>
      <c r="B70" s="4"/>
      <c r="C70" s="119"/>
    </row>
    <row r="71" spans="1:3">
      <c r="A71" s="83"/>
      <c r="B71" s="4"/>
      <c r="C71" s="119"/>
    </row>
    <row r="72" spans="1:3">
      <c r="A72" s="83"/>
      <c r="B72" s="4"/>
      <c r="C72" s="119"/>
    </row>
    <row r="73" spans="1:3">
      <c r="A73" s="83"/>
      <c r="B73" s="4"/>
      <c r="C73" s="119"/>
    </row>
    <row r="74" spans="1:3">
      <c r="A74" s="83"/>
      <c r="B74" s="4"/>
      <c r="C74" s="119"/>
    </row>
    <row r="75" spans="1:3">
      <c r="A75" s="83"/>
      <c r="B75" s="4"/>
      <c r="C75" s="119"/>
    </row>
    <row r="76" spans="1:3">
      <c r="A76" s="83"/>
      <c r="B76" s="4"/>
      <c r="C76" s="119"/>
    </row>
    <row r="77" spans="1:3">
      <c r="A77" s="83"/>
      <c r="B77" s="4"/>
      <c r="C77" s="119"/>
    </row>
    <row r="78" spans="1:3">
      <c r="A78" s="83"/>
      <c r="B78" s="4"/>
      <c r="C78" s="119"/>
    </row>
    <row r="79" spans="1:3">
      <c r="A79" s="83"/>
      <c r="B79" s="4"/>
      <c r="C79" s="119"/>
    </row>
    <row r="80" spans="1:3">
      <c r="A80" s="83"/>
      <c r="B80" s="4"/>
      <c r="C80" s="119"/>
    </row>
    <row r="81" spans="1:3">
      <c r="A81" s="83"/>
      <c r="B81" s="4"/>
      <c r="C81" s="119"/>
    </row>
    <row r="82" spans="1:3">
      <c r="A82" s="83"/>
      <c r="B82" s="4"/>
      <c r="C82" s="119"/>
    </row>
    <row r="83" spans="1:3">
      <c r="A83" s="83"/>
      <c r="B83" s="4"/>
      <c r="C83" s="119"/>
    </row>
    <row r="84" spans="1:3">
      <c r="A84" s="83"/>
      <c r="B84" s="4"/>
      <c r="C84" s="119"/>
    </row>
    <row r="85" spans="1:3">
      <c r="A85" s="83"/>
      <c r="B85" s="4"/>
      <c r="C85" s="119"/>
    </row>
    <row r="86" spans="1:3">
      <c r="A86" s="83"/>
      <c r="B86" s="4"/>
      <c r="C86" s="119"/>
    </row>
    <row r="87" spans="1:3">
      <c r="A87" s="83"/>
      <c r="B87" s="4"/>
      <c r="C87" s="119"/>
    </row>
    <row r="88" spans="1:3">
      <c r="A88" s="83"/>
      <c r="B88" s="4"/>
      <c r="C88" s="119"/>
    </row>
    <row r="89" spans="1:3">
      <c r="A89" s="83"/>
      <c r="B89" s="4"/>
      <c r="C89" s="119"/>
    </row>
    <row r="90" spans="1:3">
      <c r="A90" s="83"/>
      <c r="C90" s="214"/>
    </row>
    <row r="91" spans="1:3">
      <c r="A91" s="83"/>
      <c r="B91" s="4"/>
      <c r="C91" s="119"/>
    </row>
    <row r="92" spans="1:3">
      <c r="A92" s="83"/>
      <c r="B92" s="4"/>
      <c r="C92" s="119"/>
    </row>
    <row r="93" spans="1:3">
      <c r="A93" s="83"/>
      <c r="B93" s="4"/>
      <c r="C93" s="119"/>
    </row>
    <row r="94" spans="1:3">
      <c r="A94" s="83"/>
      <c r="B94" s="4"/>
      <c r="C94" s="119"/>
    </row>
    <row r="95" spans="1:3">
      <c r="A95" s="83"/>
      <c r="C95" s="214"/>
    </row>
    <row r="96" spans="1:3">
      <c r="A96" s="83"/>
      <c r="C96" s="214"/>
    </row>
    <row r="97" spans="1:3">
      <c r="A97" s="83"/>
      <c r="C97" s="214"/>
    </row>
    <row r="98" spans="1:3">
      <c r="A98" s="83"/>
      <c r="C98" s="214"/>
    </row>
    <row r="99" spans="1:3">
      <c r="A99" s="83"/>
      <c r="C99" s="214"/>
    </row>
    <row r="100" spans="1:3">
      <c r="A100" s="83"/>
      <c r="C100" s="214"/>
    </row>
    <row r="101" spans="1:3">
      <c r="A101" s="83"/>
      <c r="C101" s="214"/>
    </row>
    <row r="102" spans="1:3">
      <c r="A102" s="83"/>
      <c r="C102" s="214"/>
    </row>
    <row r="103" spans="1:3">
      <c r="A103" s="83"/>
      <c r="C103" s="214"/>
    </row>
    <row r="104" spans="1:3">
      <c r="A104" s="83"/>
      <c r="C104" s="214"/>
    </row>
    <row r="105" spans="1:3">
      <c r="A105" s="83"/>
      <c r="C105" s="214"/>
    </row>
    <row r="106" spans="1:3">
      <c r="A106" s="83"/>
      <c r="C106" s="214"/>
    </row>
    <row r="107" spans="1:3">
      <c r="A107" s="83"/>
      <c r="C107" s="214"/>
    </row>
    <row r="108" spans="1:3">
      <c r="A108" s="83"/>
      <c r="C108" s="214"/>
    </row>
    <row r="109" spans="1:3">
      <c r="A109" s="83"/>
      <c r="C109" s="214"/>
    </row>
    <row r="110" spans="1:3">
      <c r="A110" s="83"/>
      <c r="C110" s="214"/>
    </row>
    <row r="111" spans="1:3">
      <c r="A111" s="83"/>
      <c r="C111" s="214"/>
    </row>
    <row r="112" spans="1:3">
      <c r="A112" s="83"/>
      <c r="C112" s="214"/>
    </row>
    <row r="113" spans="1:3">
      <c r="A113" s="83"/>
      <c r="C113" s="214"/>
    </row>
    <row r="114" spans="1:3" ht="15.75" thickBot="1">
      <c r="A114" s="124"/>
      <c r="B114" s="125"/>
      <c r="C114" s="217"/>
    </row>
    <row r="115" spans="1:3">
      <c r="A115" t="s">
        <v>2024</v>
      </c>
    </row>
    <row r="116" spans="1:3">
      <c r="A116" s="4" t="s">
        <v>3742</v>
      </c>
      <c r="B116" s="4"/>
      <c r="C116" s="4"/>
    </row>
    <row r="120" spans="1:3">
      <c r="B120" s="108"/>
      <c r="C120" s="108"/>
    </row>
    <row r="123" spans="1:3">
      <c r="B123" s="108"/>
      <c r="C123" s="108"/>
    </row>
    <row r="124" spans="1:3">
      <c r="B124" s="108"/>
      <c r="C124" s="108"/>
    </row>
    <row r="125" spans="1:3">
      <c r="B125" s="108"/>
      <c r="C125" s="108"/>
    </row>
    <row r="126" spans="1:3">
      <c r="B126" s="108"/>
      <c r="C126" s="108"/>
    </row>
    <row r="127" spans="1:3">
      <c r="B127" s="108"/>
      <c r="C127" s="108"/>
    </row>
    <row r="128" spans="1:3">
      <c r="B128" s="108"/>
      <c r="C128" s="108"/>
    </row>
  </sheetData>
  <mergeCells count="4">
    <mergeCell ref="B9:C9"/>
    <mergeCell ref="B12:C12"/>
    <mergeCell ref="B10:C10"/>
    <mergeCell ref="B13:C13"/>
  </mergeCells>
  <phoneticPr fontId="0" type="noConversion"/>
  <printOptions horizontalCentered="1" verticalCentered="1"/>
  <pageMargins left="0" right="0" top="0" bottom="0" header="0.25" footer="0.25"/>
  <pageSetup scale="75" fitToWidth="2" fitToHeight="2" pageOrder="overThenDown" orientation="portrait" r:id="rId1"/>
  <headerFooter alignWithMargins="0"/>
  <rowBreaks count="1" manualBreakCount="1">
    <brk id="58" max="16383" man="1"/>
  </rowBreaks>
  <colBreaks count="1" manualBreakCount="1">
    <brk id="3"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ransitionEvaluation="1"/>
  <dimension ref="A1:H128"/>
  <sheetViews>
    <sheetView defaultGridColor="0" colorId="22" zoomScaleNormal="100" workbookViewId="0">
      <selection activeCell="G22" sqref="G22"/>
    </sheetView>
  </sheetViews>
  <sheetFormatPr defaultColWidth="9.77734375" defaultRowHeight="15"/>
  <cols>
    <col min="1" max="1" width="3.77734375" customWidth="1"/>
    <col min="2" max="2" width="50.77734375" customWidth="1"/>
    <col min="3" max="3" width="55.5546875" customWidth="1"/>
    <col min="4" max="4" width="4.77734375" customWidth="1"/>
    <col min="5" max="5" width="60.77734375" customWidth="1"/>
    <col min="6" max="6" width="4.109375" customWidth="1"/>
    <col min="7" max="7" width="13" style="86" bestFit="1" customWidth="1"/>
    <col min="8" max="8" width="1.88671875" customWidth="1"/>
  </cols>
  <sheetData>
    <row r="1" spans="1:8" ht="16.5" thickBot="1">
      <c r="A1" t="s">
        <v>5234</v>
      </c>
      <c r="B1" s="14"/>
      <c r="C1" s="2585" t="s">
        <v>5368</v>
      </c>
      <c r="D1" t="s">
        <v>5234</v>
      </c>
      <c r="E1" s="876"/>
      <c r="F1" s="14"/>
      <c r="G1" s="2586" t="str">
        <f>+C1</f>
        <v xml:space="preserve">                                                        Year Ended  December 31, 2023</v>
      </c>
      <c r="H1" s="876"/>
    </row>
    <row r="2" spans="1:8" ht="15.75">
      <c r="A2" s="2270" t="s">
        <v>4978</v>
      </c>
      <c r="B2" s="2271"/>
      <c r="C2" s="2762"/>
      <c r="D2" s="2299" t="s">
        <v>4978</v>
      </c>
      <c r="E2" s="2300"/>
      <c r="F2" s="2300"/>
      <c r="G2" s="2300"/>
      <c r="H2" s="2301"/>
    </row>
    <row r="3" spans="1:8" ht="18">
      <c r="A3" s="2273" t="s">
        <v>132</v>
      </c>
      <c r="B3" s="2763"/>
      <c r="C3" s="2764"/>
      <c r="D3" s="2758" t="s">
        <v>133</v>
      </c>
      <c r="E3" s="2278"/>
      <c r="F3" s="2277"/>
      <c r="G3" s="2277"/>
      <c r="H3" s="2279"/>
    </row>
    <row r="4" spans="1:8">
      <c r="A4" s="2670"/>
      <c r="B4" s="2260"/>
      <c r="C4" s="2354"/>
      <c r="D4" s="2280"/>
      <c r="E4" s="2281"/>
      <c r="F4" s="2281"/>
      <c r="G4" s="2281"/>
      <c r="H4" s="2282"/>
    </row>
    <row r="5" spans="1:8">
      <c r="A5" s="2671" t="s">
        <v>284</v>
      </c>
      <c r="B5" s="2669" t="s">
        <v>134</v>
      </c>
      <c r="C5" s="2675"/>
      <c r="D5" s="2283"/>
      <c r="E5" s="2284"/>
      <c r="F5" s="2285"/>
      <c r="G5" s="2286" t="s">
        <v>1738</v>
      </c>
      <c r="H5" s="2287"/>
    </row>
    <row r="6" spans="1:8">
      <c r="A6" s="2670"/>
      <c r="B6" s="2669" t="s">
        <v>880</v>
      </c>
      <c r="C6" s="2675"/>
      <c r="D6" s="2288" t="s">
        <v>1727</v>
      </c>
      <c r="E6" s="2286" t="s">
        <v>1290</v>
      </c>
      <c r="F6" s="2285"/>
      <c r="G6" s="2286" t="s">
        <v>2318</v>
      </c>
      <c r="H6" s="2287"/>
    </row>
    <row r="7" spans="1:8">
      <c r="A7" s="2670"/>
      <c r="B7" s="2669" t="s">
        <v>882</v>
      </c>
      <c r="C7" s="2354"/>
      <c r="D7" s="2358" t="s">
        <v>1739</v>
      </c>
      <c r="E7" s="2290" t="s">
        <v>3279</v>
      </c>
      <c r="F7" s="2289"/>
      <c r="G7" s="2290" t="s">
        <v>3280</v>
      </c>
      <c r="H7" s="2282"/>
    </row>
    <row r="8" spans="1:8">
      <c r="A8" s="2671" t="s">
        <v>1687</v>
      </c>
      <c r="B8" s="2871" t="s">
        <v>883</v>
      </c>
      <c r="C8" s="2872"/>
      <c r="D8" s="2291"/>
      <c r="E8" s="2310" t="s">
        <v>4612</v>
      </c>
      <c r="F8" s="2285"/>
      <c r="G8" s="2276"/>
      <c r="H8" s="2287"/>
    </row>
    <row r="9" spans="1:8" ht="15.75">
      <c r="A9" s="2670"/>
      <c r="B9" s="2871" t="s">
        <v>3451</v>
      </c>
      <c r="C9" s="2872"/>
      <c r="D9" s="2294" t="s">
        <v>340</v>
      </c>
      <c r="E9" s="2260" t="s">
        <v>3455</v>
      </c>
      <c r="F9" s="2315" t="s">
        <v>3456</v>
      </c>
      <c r="G9" s="2302">
        <v>372912850</v>
      </c>
      <c r="H9" s="2293"/>
    </row>
    <row r="10" spans="1:8" ht="15.75">
      <c r="A10" s="2670"/>
      <c r="B10" s="2669" t="s">
        <v>3452</v>
      </c>
      <c r="C10" s="2675"/>
      <c r="D10" s="2294" t="s">
        <v>341</v>
      </c>
      <c r="E10" s="2260" t="s">
        <v>2442</v>
      </c>
      <c r="F10" s="2315" t="s">
        <v>3456</v>
      </c>
      <c r="G10" s="2302">
        <v>397835605</v>
      </c>
      <c r="H10" s="2293"/>
    </row>
    <row r="11" spans="1:8" ht="15.75">
      <c r="A11" s="2671" t="s">
        <v>3053</v>
      </c>
      <c r="B11" s="2871" t="s">
        <v>3454</v>
      </c>
      <c r="C11" s="2872"/>
      <c r="D11" s="2294" t="s">
        <v>342</v>
      </c>
      <c r="E11" s="2311" t="s">
        <v>2444</v>
      </c>
      <c r="F11" s="2315" t="s">
        <v>3456</v>
      </c>
      <c r="G11" s="2302">
        <v>360110928</v>
      </c>
      <c r="H11" s="2293"/>
    </row>
    <row r="12" spans="1:8" ht="15.75">
      <c r="A12" s="2670"/>
      <c r="B12" s="2871" t="s">
        <v>3457</v>
      </c>
      <c r="C12" s="2872"/>
      <c r="D12" s="2294" t="s">
        <v>343</v>
      </c>
      <c r="E12" s="2260" t="s">
        <v>4256</v>
      </c>
      <c r="F12" s="2315" t="s">
        <v>3456</v>
      </c>
      <c r="G12" s="2302">
        <v>0</v>
      </c>
      <c r="H12" s="2293"/>
    </row>
    <row r="13" spans="1:8" ht="15.75">
      <c r="A13" s="2671" t="s">
        <v>2364</v>
      </c>
      <c r="B13" s="2669" t="s">
        <v>2443</v>
      </c>
      <c r="C13" s="2675"/>
      <c r="D13" s="2294" t="s">
        <v>344</v>
      </c>
      <c r="E13" s="2260" t="s">
        <v>605</v>
      </c>
      <c r="F13" s="2315" t="s">
        <v>3456</v>
      </c>
      <c r="G13" s="2302">
        <v>8590</v>
      </c>
      <c r="H13" s="2293"/>
    </row>
    <row r="14" spans="1:8" ht="15.75">
      <c r="A14" s="2670" t="s">
        <v>218</v>
      </c>
      <c r="B14" s="2669" t="s">
        <v>4255</v>
      </c>
      <c r="C14" s="2675"/>
      <c r="D14" s="2294" t="s">
        <v>345</v>
      </c>
      <c r="E14" s="2260" t="s">
        <v>3664</v>
      </c>
      <c r="F14" s="2315" t="s">
        <v>3456</v>
      </c>
      <c r="G14" s="2302">
        <v>96496691</v>
      </c>
      <c r="H14" s="2293"/>
    </row>
    <row r="15" spans="1:8" ht="15.75">
      <c r="A15" s="2671" t="s">
        <v>2366</v>
      </c>
      <c r="B15" s="2669" t="s">
        <v>604</v>
      </c>
      <c r="C15" s="2675"/>
      <c r="D15" s="2294" t="s">
        <v>346</v>
      </c>
      <c r="E15" s="2260" t="s">
        <v>2814</v>
      </c>
      <c r="F15" s="2259"/>
      <c r="G15" s="2316">
        <v>45291</v>
      </c>
      <c r="H15" s="2293"/>
    </row>
    <row r="16" spans="1:8" ht="15.75">
      <c r="A16" s="2671" t="s">
        <v>198</v>
      </c>
      <c r="B16" s="2669" t="s">
        <v>3663</v>
      </c>
      <c r="C16" s="2675"/>
      <c r="D16" s="2294" t="s">
        <v>347</v>
      </c>
      <c r="E16" s="2260" t="s">
        <v>885</v>
      </c>
      <c r="F16" s="2259"/>
      <c r="G16" s="2303">
        <v>5.3999999999999999E-2</v>
      </c>
      <c r="H16" s="2293"/>
    </row>
    <row r="17" spans="1:8" ht="15.75">
      <c r="A17" s="2671" t="s">
        <v>3665</v>
      </c>
      <c r="B17" s="2669" t="s">
        <v>3312</v>
      </c>
      <c r="C17" s="2675"/>
      <c r="D17" s="2294" t="s">
        <v>348</v>
      </c>
      <c r="E17" s="2260" t="s">
        <v>3620</v>
      </c>
      <c r="F17" s="2259"/>
      <c r="G17" s="2303">
        <v>6.25E-2</v>
      </c>
      <c r="H17" s="2293"/>
    </row>
    <row r="18" spans="1:8" ht="15.75">
      <c r="A18" s="2670"/>
      <c r="B18" s="2669" t="s">
        <v>884</v>
      </c>
      <c r="C18" s="2675"/>
      <c r="D18" s="2294" t="s">
        <v>349</v>
      </c>
      <c r="E18" s="2260" t="s">
        <v>3621</v>
      </c>
      <c r="F18" s="2259"/>
      <c r="G18" s="2304" t="s">
        <v>4982</v>
      </c>
      <c r="H18" s="2293"/>
    </row>
    <row r="19" spans="1:8" ht="15.75">
      <c r="A19" s="2671" t="s">
        <v>886</v>
      </c>
      <c r="B19" s="2669" t="s">
        <v>3619</v>
      </c>
      <c r="C19" s="2675"/>
      <c r="D19" s="2294"/>
      <c r="E19" s="2260"/>
      <c r="F19" s="2259"/>
      <c r="G19" s="2317"/>
      <c r="H19" s="2293"/>
    </row>
    <row r="20" spans="1:8" ht="15.75">
      <c r="A20" s="2670" t="s">
        <v>218</v>
      </c>
      <c r="B20" s="2669" t="s">
        <v>2669</v>
      </c>
      <c r="C20" s="2675"/>
      <c r="D20" s="2294"/>
      <c r="E20" s="2310" t="s">
        <v>3540</v>
      </c>
      <c r="F20" s="2259"/>
      <c r="G20" s="2260"/>
      <c r="H20" s="2293"/>
    </row>
    <row r="21" spans="1:8" ht="15.75">
      <c r="A21" s="2671" t="s">
        <v>3622</v>
      </c>
      <c r="B21" s="2669" t="s">
        <v>3890</v>
      </c>
      <c r="C21" s="2675"/>
      <c r="D21" s="2294" t="s">
        <v>350</v>
      </c>
      <c r="E21" s="2260" t="s">
        <v>3543</v>
      </c>
      <c r="F21" s="2315" t="s">
        <v>3456</v>
      </c>
      <c r="G21" s="2305">
        <v>5614997</v>
      </c>
      <c r="H21" s="2293"/>
    </row>
    <row r="22" spans="1:8" ht="15.75">
      <c r="A22" s="2670"/>
      <c r="B22" s="2669" t="s">
        <v>2219</v>
      </c>
      <c r="C22" s="2675"/>
      <c r="D22" s="2294" t="s">
        <v>351</v>
      </c>
      <c r="E22" s="2260" t="s">
        <v>3545</v>
      </c>
      <c r="F22" s="2259"/>
      <c r="G22" s="2305">
        <v>21091561</v>
      </c>
      <c r="H22" s="2293"/>
    </row>
    <row r="23" spans="1:8" ht="15.75">
      <c r="A23" s="2671" t="s">
        <v>3541</v>
      </c>
      <c r="B23" s="2669" t="s">
        <v>3542</v>
      </c>
      <c r="C23" s="2354"/>
      <c r="D23" s="2294" t="s">
        <v>352</v>
      </c>
      <c r="E23" s="2260" t="s">
        <v>757</v>
      </c>
      <c r="F23" s="2259"/>
      <c r="G23" s="2305">
        <v>-38705207</v>
      </c>
      <c r="H23" s="2293"/>
    </row>
    <row r="24" spans="1:8" ht="15.75">
      <c r="A24" s="2670"/>
      <c r="B24" s="2669" t="s">
        <v>3544</v>
      </c>
      <c r="C24" s="2354"/>
      <c r="D24" s="2294" t="s">
        <v>353</v>
      </c>
      <c r="E24" s="2260" t="s">
        <v>158</v>
      </c>
      <c r="F24" s="2259"/>
      <c r="G24" s="2305">
        <v>18318414</v>
      </c>
      <c r="H24" s="2293"/>
    </row>
    <row r="25" spans="1:8" ht="15.75">
      <c r="A25" s="2671" t="s">
        <v>3546</v>
      </c>
      <c r="B25" s="2669" t="s">
        <v>2623</v>
      </c>
      <c r="C25" s="2354"/>
      <c r="D25" s="2294" t="s">
        <v>354</v>
      </c>
      <c r="E25" s="2260" t="s">
        <v>2746</v>
      </c>
      <c r="F25" s="2259"/>
      <c r="G25" s="2305">
        <v>0</v>
      </c>
      <c r="H25" s="2293"/>
    </row>
    <row r="26" spans="1:8" ht="15.75">
      <c r="A26" s="2670"/>
      <c r="B26" s="2669" t="s">
        <v>4029</v>
      </c>
      <c r="C26" s="2354"/>
      <c r="D26" s="2294" t="s">
        <v>355</v>
      </c>
      <c r="E26" s="2260" t="s">
        <v>3507</v>
      </c>
      <c r="F26" s="2259"/>
      <c r="G26" s="2305">
        <v>-1683</v>
      </c>
      <c r="H26" s="2293"/>
    </row>
    <row r="27" spans="1:8" ht="15.75">
      <c r="A27" s="2671" t="s">
        <v>1503</v>
      </c>
      <c r="B27" s="2669" t="s">
        <v>2745</v>
      </c>
      <c r="C27" s="2354"/>
      <c r="D27" s="2294" t="s">
        <v>356</v>
      </c>
      <c r="E27" s="2260" t="s">
        <v>4706</v>
      </c>
      <c r="F27" s="2259" t="s">
        <v>218</v>
      </c>
      <c r="G27" s="2302">
        <v>10457822</v>
      </c>
      <c r="H27" s="2293"/>
    </row>
    <row r="28" spans="1:8" ht="15.75">
      <c r="A28" s="2671" t="s">
        <v>55</v>
      </c>
      <c r="B28" s="2669" t="s">
        <v>3506</v>
      </c>
      <c r="C28" s="2354"/>
      <c r="D28" s="2294" t="s">
        <v>357</v>
      </c>
      <c r="E28" s="2312" t="s">
        <v>2415</v>
      </c>
      <c r="F28" s="2315" t="s">
        <v>3456</v>
      </c>
      <c r="G28" s="2306">
        <v>16775904</v>
      </c>
      <c r="H28" s="2293"/>
    </row>
    <row r="29" spans="1:8" ht="15.75">
      <c r="A29" s="2672"/>
      <c r="B29" s="2587"/>
      <c r="C29" s="2676"/>
      <c r="D29" s="2294"/>
      <c r="E29" s="2260"/>
      <c r="F29" s="2259"/>
      <c r="G29" s="2318"/>
      <c r="H29" s="2293"/>
    </row>
    <row r="30" spans="1:8" ht="15.75">
      <c r="A30" s="2673"/>
      <c r="B30" s="2669" t="s">
        <v>2414</v>
      </c>
      <c r="C30" s="2677"/>
      <c r="D30" s="2294" t="s">
        <v>358</v>
      </c>
      <c r="E30" s="2260" t="s">
        <v>183</v>
      </c>
      <c r="F30" s="2259"/>
      <c r="G30" s="2305">
        <v>502</v>
      </c>
      <c r="H30" s="2293"/>
    </row>
    <row r="31" spans="1:8" ht="15.75">
      <c r="A31" s="2670"/>
      <c r="B31" s="2669" t="s">
        <v>181</v>
      </c>
      <c r="C31" s="2675"/>
      <c r="D31" s="2294" t="s">
        <v>359</v>
      </c>
      <c r="E31" s="2260" t="s">
        <v>184</v>
      </c>
      <c r="F31" s="2259"/>
      <c r="G31" s="2305">
        <v>1220</v>
      </c>
      <c r="H31" s="2293"/>
    </row>
    <row r="32" spans="1:8" ht="15.75">
      <c r="A32" s="2670"/>
      <c r="B32" s="2669" t="s">
        <v>182</v>
      </c>
      <c r="C32" s="2675"/>
      <c r="D32" s="2674" t="s">
        <v>360</v>
      </c>
      <c r="E32" s="2313" t="s">
        <v>2425</v>
      </c>
      <c r="F32" s="2319"/>
      <c r="G32" s="2309">
        <v>235</v>
      </c>
      <c r="H32" s="2588"/>
    </row>
    <row r="33" spans="1:8" ht="15.75">
      <c r="A33" s="2670"/>
      <c r="B33" s="2260"/>
      <c r="C33" s="2354"/>
      <c r="D33" s="2294"/>
      <c r="E33" s="2310" t="s">
        <v>4707</v>
      </c>
      <c r="F33" s="2259"/>
      <c r="G33" s="2308"/>
      <c r="H33" s="2293"/>
    </row>
    <row r="34" spans="1:8" ht="15.75">
      <c r="A34" s="2670"/>
      <c r="B34" s="2260"/>
      <c r="C34" s="2354"/>
      <c r="D34" s="2294" t="s">
        <v>361</v>
      </c>
      <c r="E34" s="2260" t="s">
        <v>1522</v>
      </c>
      <c r="F34" s="2315" t="s">
        <v>3456</v>
      </c>
      <c r="G34" s="2305">
        <v>0</v>
      </c>
      <c r="H34" s="2293"/>
    </row>
    <row r="35" spans="1:8" ht="15.75">
      <c r="A35" s="2767"/>
      <c r="B35" s="2320" t="s">
        <v>5369</v>
      </c>
      <c r="C35" s="2354"/>
      <c r="D35" s="2294" t="s">
        <v>362</v>
      </c>
      <c r="E35" s="2260" t="s">
        <v>1523</v>
      </c>
      <c r="F35" s="2315" t="s">
        <v>3456</v>
      </c>
      <c r="G35" s="2305">
        <v>0</v>
      </c>
      <c r="H35" s="2293"/>
    </row>
    <row r="36" spans="1:8" ht="15.75">
      <c r="A36" s="2355" t="s">
        <v>4557</v>
      </c>
      <c r="B36" s="2320" t="s">
        <v>5370</v>
      </c>
      <c r="C36" s="2357"/>
      <c r="D36" s="2294" t="s">
        <v>363</v>
      </c>
      <c r="E36" s="2260" t="s">
        <v>1524</v>
      </c>
      <c r="F36" s="2315" t="s">
        <v>3456</v>
      </c>
      <c r="G36" s="2305">
        <v>1311766</v>
      </c>
      <c r="H36" s="2293"/>
    </row>
    <row r="37" spans="1:8" ht="15.75">
      <c r="A37" s="2670"/>
      <c r="B37" s="2320"/>
      <c r="C37" s="2357"/>
      <c r="D37" s="2294" t="s">
        <v>364</v>
      </c>
      <c r="E37" s="2260" t="s">
        <v>1525</v>
      </c>
      <c r="F37" s="2315" t="s">
        <v>3456</v>
      </c>
      <c r="G37" s="2305">
        <v>70694</v>
      </c>
      <c r="H37" s="2293"/>
    </row>
    <row r="38" spans="1:8">
      <c r="A38" s="2355"/>
      <c r="B38" s="2320" t="s">
        <v>5371</v>
      </c>
      <c r="C38" s="2357"/>
      <c r="D38" s="2294" t="s">
        <v>3238</v>
      </c>
      <c r="E38" s="2260" t="s">
        <v>2415</v>
      </c>
      <c r="F38" s="2315" t="s">
        <v>3456</v>
      </c>
      <c r="G38" s="2305">
        <v>76933</v>
      </c>
      <c r="H38" s="2287"/>
    </row>
    <row r="39" spans="1:8">
      <c r="A39" s="2373" t="s">
        <v>4557</v>
      </c>
      <c r="B39" s="2260" t="s">
        <v>5372</v>
      </c>
      <c r="C39" s="2354"/>
      <c r="D39" s="2294" t="s">
        <v>3239</v>
      </c>
      <c r="E39" s="2260" t="s">
        <v>1526</v>
      </c>
      <c r="F39" s="2315" t="s">
        <v>3456</v>
      </c>
      <c r="G39" s="2305"/>
      <c r="H39" s="2287"/>
    </row>
    <row r="40" spans="1:8">
      <c r="A40" s="2355"/>
      <c r="B40" s="2320"/>
      <c r="C40" s="2356"/>
      <c r="D40" s="2294" t="s">
        <v>3240</v>
      </c>
      <c r="E40" s="2260" t="s">
        <v>746</v>
      </c>
      <c r="F40" s="2315" t="s">
        <v>3456</v>
      </c>
      <c r="G40" s="2305">
        <v>-185387</v>
      </c>
      <c r="H40" s="2287"/>
    </row>
    <row r="41" spans="1:8">
      <c r="A41" s="2355"/>
      <c r="B41" s="2320"/>
      <c r="C41" s="2356"/>
      <c r="D41" s="2294" t="s">
        <v>3241</v>
      </c>
      <c r="E41" s="2260" t="s">
        <v>3736</v>
      </c>
      <c r="F41" s="2259"/>
      <c r="G41" s="2305">
        <v>11</v>
      </c>
      <c r="H41" s="2287"/>
    </row>
    <row r="42" spans="1:8">
      <c r="A42" s="2670"/>
      <c r="B42" s="2260"/>
      <c r="C42" s="2354"/>
      <c r="D42" s="2294" t="s">
        <v>3242</v>
      </c>
      <c r="E42" s="2260" t="s">
        <v>183</v>
      </c>
      <c r="F42" s="2259"/>
      <c r="G42" s="2305">
        <v>4</v>
      </c>
      <c r="H42" s="2287"/>
    </row>
    <row r="43" spans="1:8">
      <c r="A43" s="2355"/>
      <c r="B43" s="2320"/>
      <c r="C43" s="2357"/>
      <c r="D43" s="2294" t="s">
        <v>3243</v>
      </c>
      <c r="E43" s="2260" t="s">
        <v>184</v>
      </c>
      <c r="F43" s="2259"/>
      <c r="G43" s="2305">
        <v>6</v>
      </c>
      <c r="H43" s="2287"/>
    </row>
    <row r="44" spans="1:8">
      <c r="A44" s="2355"/>
      <c r="B44" s="2260"/>
      <c r="C44" s="2357"/>
      <c r="D44" s="2294" t="s">
        <v>3244</v>
      </c>
      <c r="E44" s="2313" t="s">
        <v>2425</v>
      </c>
      <c r="F44" s="2319"/>
      <c r="G44" s="2309">
        <v>1</v>
      </c>
      <c r="H44" s="2282"/>
    </row>
    <row r="45" spans="1:8">
      <c r="A45" s="2767"/>
      <c r="B45" s="2320"/>
      <c r="C45" s="2357"/>
      <c r="D45" s="2291"/>
      <c r="E45" s="86" t="s">
        <v>4708</v>
      </c>
      <c r="F45" s="2284"/>
      <c r="G45" s="2284"/>
      <c r="H45" s="2287"/>
    </row>
    <row r="46" spans="1:8">
      <c r="A46" s="2355"/>
      <c r="B46" s="2260"/>
      <c r="C46" s="2357"/>
      <c r="D46" s="2291"/>
      <c r="E46" s="86" t="s">
        <v>4709</v>
      </c>
      <c r="F46" s="2284"/>
      <c r="G46" s="2284"/>
      <c r="H46" s="2287"/>
    </row>
    <row r="47" spans="1:8">
      <c r="A47" s="2767"/>
      <c r="B47" s="2320"/>
      <c r="C47" s="2357"/>
      <c r="D47" s="2291"/>
      <c r="E47" s="2260"/>
      <c r="F47" s="2284"/>
      <c r="G47" s="2284"/>
      <c r="H47" s="2287"/>
    </row>
    <row r="48" spans="1:8">
      <c r="A48" s="2355"/>
      <c r="B48" s="2260"/>
      <c r="C48" s="2357"/>
      <c r="D48" s="2291"/>
      <c r="E48" s="2314" t="s">
        <v>4701</v>
      </c>
      <c r="F48" s="2284"/>
      <c r="G48" s="2284"/>
      <c r="H48" s="2287"/>
    </row>
    <row r="49" spans="1:8">
      <c r="A49" s="2767"/>
      <c r="B49" s="2320"/>
      <c r="C49" s="2357"/>
      <c r="D49" s="2291"/>
      <c r="E49" s="2314" t="s">
        <v>4702</v>
      </c>
      <c r="F49" s="2284"/>
      <c r="G49" s="2284"/>
      <c r="H49" s="2287"/>
    </row>
    <row r="50" spans="1:8">
      <c r="A50" s="2355"/>
      <c r="B50" s="2260"/>
      <c r="C50" s="2357"/>
      <c r="D50" s="2291"/>
      <c r="E50" s="2314" t="s">
        <v>4703</v>
      </c>
      <c r="F50" s="2284"/>
      <c r="G50" s="2284"/>
      <c r="H50" s="2287"/>
    </row>
    <row r="51" spans="1:8">
      <c r="A51" s="2767"/>
      <c r="B51" s="2320"/>
      <c r="C51" s="2357"/>
      <c r="D51" s="2291"/>
      <c r="E51" s="2314" t="s">
        <v>4704</v>
      </c>
      <c r="F51" s="2284"/>
      <c r="G51" s="2284"/>
      <c r="H51" s="2287"/>
    </row>
    <row r="52" spans="1:8">
      <c r="A52" s="2355"/>
      <c r="B52" s="2320"/>
      <c r="C52" s="2357"/>
      <c r="D52" s="2291"/>
      <c r="E52" s="2314" t="s">
        <v>4705</v>
      </c>
      <c r="F52" s="2284"/>
      <c r="G52" s="2284"/>
      <c r="H52" s="2287"/>
    </row>
    <row r="53" spans="1:8" ht="18">
      <c r="A53" s="871"/>
      <c r="B53" s="22"/>
      <c r="C53" s="872"/>
      <c r="D53" s="2291"/>
      <c r="E53" s="2292"/>
      <c r="F53" s="2284"/>
      <c r="G53" s="2284"/>
      <c r="H53" s="2287"/>
    </row>
    <row r="54" spans="1:8" ht="18">
      <c r="A54" s="871"/>
      <c r="B54" s="22"/>
      <c r="C54" s="872"/>
      <c r="D54" s="2291"/>
      <c r="E54" s="2292"/>
      <c r="F54" s="2284"/>
      <c r="G54" s="2284"/>
      <c r="H54" s="2287"/>
    </row>
    <row r="55" spans="1:8" ht="18.75" thickBot="1">
      <c r="A55" s="873" t="s">
        <v>218</v>
      </c>
      <c r="B55" s="874" t="s">
        <v>218</v>
      </c>
      <c r="C55" s="875"/>
      <c r="D55" s="2295"/>
      <c r="E55" s="2296"/>
      <c r="F55" s="2297"/>
      <c r="G55" s="2297"/>
      <c r="H55" s="2298"/>
    </row>
    <row r="56" spans="1:8">
      <c r="A56" s="977" t="s">
        <v>2024</v>
      </c>
      <c r="D56" s="5" t="s">
        <v>4980</v>
      </c>
      <c r="E56" s="4"/>
      <c r="F56" s="4"/>
      <c r="G56" s="5"/>
      <c r="H56" s="4"/>
    </row>
    <row r="57" spans="1:8">
      <c r="A57" s="5" t="s">
        <v>4979</v>
      </c>
      <c r="B57" s="4"/>
      <c r="C57" s="4"/>
    </row>
    <row r="59" spans="1:8" ht="15.75">
      <c r="A59" s="3" t="s">
        <v>3741</v>
      </c>
      <c r="B59" s="5"/>
      <c r="C59" s="5"/>
      <c r="E59" s="108"/>
    </row>
    <row r="60" spans="1:8">
      <c r="B60" s="108"/>
      <c r="C60" s="108"/>
    </row>
    <row r="61" spans="1:8" ht="15.75" thickBot="1">
      <c r="A61" s="218" t="s">
        <v>218</v>
      </c>
      <c r="B61" s="14"/>
      <c r="C61" s="14"/>
    </row>
    <row r="62" spans="1:8" ht="15.75">
      <c r="A62" s="877" t="s">
        <v>218</v>
      </c>
      <c r="B62" s="878"/>
      <c r="C62" s="879"/>
    </row>
    <row r="63" spans="1:8" ht="15.75">
      <c r="A63" s="723" t="s">
        <v>132</v>
      </c>
      <c r="B63" s="724"/>
      <c r="C63" s="725"/>
      <c r="D63" s="876"/>
    </row>
    <row r="64" spans="1:8" ht="15.75">
      <c r="A64" s="83"/>
      <c r="C64" s="214"/>
      <c r="D64" s="724"/>
    </row>
    <row r="65" spans="1:3">
      <c r="A65" s="83"/>
      <c r="B65" s="4"/>
      <c r="C65" s="119"/>
    </row>
    <row r="66" spans="1:3">
      <c r="A66" s="83"/>
      <c r="B66" s="4"/>
      <c r="C66" s="119"/>
    </row>
    <row r="67" spans="1:3">
      <c r="A67" s="83"/>
      <c r="C67" s="214"/>
    </row>
    <row r="68" spans="1:3">
      <c r="A68" s="456"/>
      <c r="B68" s="322"/>
      <c r="C68" s="854"/>
    </row>
    <row r="69" spans="1:3">
      <c r="A69" s="83"/>
      <c r="B69" s="4"/>
      <c r="C69" s="119"/>
    </row>
    <row r="70" spans="1:3">
      <c r="A70" s="83"/>
      <c r="B70" s="4"/>
      <c r="C70" s="119"/>
    </row>
    <row r="71" spans="1:3">
      <c r="A71" s="83"/>
      <c r="B71" s="4"/>
      <c r="C71" s="119"/>
    </row>
    <row r="72" spans="1:3">
      <c r="A72" s="83"/>
      <c r="B72" s="4"/>
      <c r="C72" s="119"/>
    </row>
    <row r="73" spans="1:3">
      <c r="A73" s="83"/>
      <c r="B73" s="4"/>
      <c r="C73" s="119"/>
    </row>
    <row r="74" spans="1:3">
      <c r="A74" s="83"/>
      <c r="B74" s="4"/>
      <c r="C74" s="119"/>
    </row>
    <row r="75" spans="1:3">
      <c r="A75" s="83"/>
      <c r="B75" s="4"/>
      <c r="C75" s="119"/>
    </row>
    <row r="76" spans="1:3">
      <c r="A76" s="83"/>
      <c r="B76" s="4"/>
      <c r="C76" s="119"/>
    </row>
    <row r="77" spans="1:3">
      <c r="A77" s="83"/>
      <c r="B77" s="4"/>
      <c r="C77" s="119"/>
    </row>
    <row r="78" spans="1:3">
      <c r="A78" s="83"/>
      <c r="B78" s="4"/>
      <c r="C78" s="119"/>
    </row>
    <row r="79" spans="1:3">
      <c r="A79" s="83"/>
      <c r="B79" s="4"/>
      <c r="C79" s="119"/>
    </row>
    <row r="80" spans="1:3">
      <c r="A80" s="83"/>
      <c r="B80" s="4"/>
      <c r="C80" s="119"/>
    </row>
    <row r="81" spans="1:3">
      <c r="A81" s="83"/>
      <c r="B81" s="4"/>
      <c r="C81" s="119"/>
    </row>
    <row r="82" spans="1:3">
      <c r="A82" s="83"/>
      <c r="B82" s="4"/>
      <c r="C82" s="119"/>
    </row>
    <row r="83" spans="1:3">
      <c r="A83" s="83"/>
      <c r="B83" s="4"/>
      <c r="C83" s="119"/>
    </row>
    <row r="84" spans="1:3">
      <c r="A84" s="83"/>
      <c r="B84" s="4"/>
      <c r="C84" s="119"/>
    </row>
    <row r="85" spans="1:3">
      <c r="A85" s="83"/>
      <c r="B85" s="4"/>
      <c r="C85" s="119"/>
    </row>
    <row r="86" spans="1:3">
      <c r="A86" s="83"/>
      <c r="B86" s="4"/>
      <c r="C86" s="119"/>
    </row>
    <row r="87" spans="1:3">
      <c r="A87" s="83"/>
      <c r="B87" s="4"/>
      <c r="C87" s="119"/>
    </row>
    <row r="88" spans="1:3">
      <c r="A88" s="83"/>
      <c r="B88" s="4"/>
      <c r="C88" s="119"/>
    </row>
    <row r="89" spans="1:3">
      <c r="A89" s="83"/>
      <c r="B89" s="4"/>
      <c r="C89" s="119"/>
    </row>
    <row r="90" spans="1:3">
      <c r="A90" s="83"/>
      <c r="C90" s="214"/>
    </row>
    <row r="91" spans="1:3">
      <c r="A91" s="83"/>
      <c r="B91" s="4"/>
      <c r="C91" s="119"/>
    </row>
    <row r="92" spans="1:3">
      <c r="A92" s="83"/>
      <c r="B92" s="4"/>
      <c r="C92" s="119"/>
    </row>
    <row r="93" spans="1:3">
      <c r="A93" s="83"/>
      <c r="B93" s="4"/>
      <c r="C93" s="119"/>
    </row>
    <row r="94" spans="1:3">
      <c r="A94" s="83"/>
      <c r="B94" s="4"/>
      <c r="C94" s="119"/>
    </row>
    <row r="95" spans="1:3">
      <c r="A95" s="83"/>
      <c r="C95" s="214"/>
    </row>
    <row r="96" spans="1:3">
      <c r="A96" s="83"/>
      <c r="C96" s="214"/>
    </row>
    <row r="97" spans="1:3">
      <c r="A97" s="83"/>
      <c r="C97" s="214"/>
    </row>
    <row r="98" spans="1:3">
      <c r="A98" s="83"/>
      <c r="C98" s="214"/>
    </row>
    <row r="99" spans="1:3">
      <c r="A99" s="83"/>
      <c r="C99" s="214"/>
    </row>
    <row r="100" spans="1:3">
      <c r="A100" s="83"/>
      <c r="C100" s="214"/>
    </row>
    <row r="101" spans="1:3">
      <c r="A101" s="83"/>
      <c r="C101" s="214"/>
    </row>
    <row r="102" spans="1:3">
      <c r="A102" s="83"/>
      <c r="C102" s="214"/>
    </row>
    <row r="103" spans="1:3">
      <c r="A103" s="83"/>
      <c r="C103" s="214"/>
    </row>
    <row r="104" spans="1:3">
      <c r="A104" s="83"/>
      <c r="C104" s="214"/>
    </row>
    <row r="105" spans="1:3">
      <c r="A105" s="83"/>
      <c r="C105" s="214"/>
    </row>
    <row r="106" spans="1:3">
      <c r="A106" s="83"/>
      <c r="C106" s="214"/>
    </row>
    <row r="107" spans="1:3">
      <c r="A107" s="83"/>
      <c r="C107" s="214"/>
    </row>
    <row r="108" spans="1:3">
      <c r="A108" s="83"/>
      <c r="C108" s="214"/>
    </row>
    <row r="109" spans="1:3">
      <c r="A109" s="83"/>
      <c r="C109" s="214"/>
    </row>
    <row r="110" spans="1:3">
      <c r="A110" s="83"/>
      <c r="C110" s="214"/>
    </row>
    <row r="111" spans="1:3">
      <c r="A111" s="83"/>
      <c r="C111" s="214"/>
    </row>
    <row r="112" spans="1:3">
      <c r="A112" s="83"/>
      <c r="C112" s="214"/>
    </row>
    <row r="113" spans="1:3">
      <c r="A113" s="83"/>
      <c r="C113" s="214"/>
    </row>
    <row r="114" spans="1:3" ht="15.75" thickBot="1">
      <c r="A114" s="124"/>
      <c r="B114" s="125"/>
      <c r="C114" s="217"/>
    </row>
    <row r="115" spans="1:3">
      <c r="A115" t="s">
        <v>2024</v>
      </c>
    </row>
    <row r="116" spans="1:3">
      <c r="A116" s="5" t="s">
        <v>4981</v>
      </c>
      <c r="B116" s="4"/>
      <c r="C116" s="4"/>
    </row>
    <row r="120" spans="1:3">
      <c r="B120" s="108"/>
      <c r="C120" s="108"/>
    </row>
    <row r="123" spans="1:3">
      <c r="B123" s="108"/>
      <c r="C123" s="108"/>
    </row>
    <row r="124" spans="1:3">
      <c r="B124" s="108"/>
      <c r="C124" s="108"/>
    </row>
    <row r="125" spans="1:3">
      <c r="B125" s="108"/>
      <c r="C125" s="108"/>
    </row>
    <row r="126" spans="1:3">
      <c r="B126" s="108"/>
      <c r="C126" s="108"/>
    </row>
    <row r="127" spans="1:3">
      <c r="B127" s="108"/>
      <c r="C127" s="108"/>
    </row>
    <row r="128" spans="1:3">
      <c r="B128" s="108"/>
      <c r="C128" s="108"/>
    </row>
  </sheetData>
  <mergeCells count="4">
    <mergeCell ref="B8:C8"/>
    <mergeCell ref="B11:C11"/>
    <mergeCell ref="B9:C9"/>
    <mergeCell ref="B12:C12"/>
  </mergeCells>
  <printOptions horizontalCentered="1" verticalCentered="1"/>
  <pageMargins left="0" right="0" top="0" bottom="0" header="0.25" footer="0.25"/>
  <pageSetup scale="75" fitToWidth="2" fitToHeight="2" pageOrder="overThenDown" orientation="portrait" r:id="rId1"/>
  <headerFooter alignWithMargins="0"/>
  <rowBreaks count="1" manualBreakCount="1">
    <brk id="58" max="16383" man="1"/>
  </rowBreaks>
  <colBreaks count="1" manualBreakCount="1">
    <brk id="3"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ransitionEvaluation="1" codeName="Sheet77"/>
  <dimension ref="A1:L154"/>
  <sheetViews>
    <sheetView defaultGridColor="0" topLeftCell="A27" colorId="22" zoomScaleNormal="100" workbookViewId="0">
      <selection activeCell="B35" sqref="B34:C35"/>
    </sheetView>
  </sheetViews>
  <sheetFormatPr defaultColWidth="9.77734375" defaultRowHeight="15"/>
  <cols>
    <col min="1" max="1" width="4.77734375" customWidth="1"/>
    <col min="2" max="2" width="50.77734375" customWidth="1"/>
    <col min="3" max="3" width="55.33203125" customWidth="1"/>
    <col min="4" max="4" width="4.77734375" customWidth="1"/>
    <col min="5" max="5" width="1.77734375" customWidth="1"/>
    <col min="6" max="6" width="70.21875" customWidth="1"/>
    <col min="7" max="7" width="3.77734375" customWidth="1"/>
    <col min="8" max="8" width="13.77734375" customWidth="1"/>
    <col min="9" max="9" width="1.77734375" customWidth="1"/>
    <col min="10" max="10" width="3.77734375" customWidth="1"/>
    <col min="11" max="11" width="13.77734375" customWidth="1"/>
    <col min="12" max="12" width="1.77734375" customWidth="1"/>
  </cols>
  <sheetData>
    <row r="1" spans="1:12" ht="18.75" thickBot="1">
      <c r="A1" t="str">
        <f>'Data sheet'!A59</f>
        <v>Annual Report of Veolia Water New York, Inc.                                                             Year Ended  December 31, 2023</v>
      </c>
      <c r="B1" s="882"/>
      <c r="D1" t="str">
        <f>'Data sheet'!A59</f>
        <v>Annual Report of Veolia Water New York, Inc.                                                             Year Ended  December 31, 2023</v>
      </c>
      <c r="E1" s="876"/>
      <c r="F1" s="876"/>
      <c r="G1" s="876"/>
      <c r="I1" s="876"/>
      <c r="J1" s="876"/>
      <c r="K1" s="876"/>
      <c r="L1" s="876"/>
    </row>
    <row r="2" spans="1:12" ht="15.75">
      <c r="A2" s="2270" t="s">
        <v>4613</v>
      </c>
      <c r="B2" s="2271"/>
      <c r="C2" s="2272"/>
      <c r="D2" s="2759" t="s">
        <v>4613</v>
      </c>
      <c r="E2" s="2760"/>
      <c r="F2" s="2760"/>
      <c r="G2" s="2760"/>
      <c r="H2" s="2760"/>
      <c r="I2" s="2760"/>
      <c r="J2" s="2760"/>
      <c r="K2" s="2760"/>
      <c r="L2" s="2761"/>
    </row>
    <row r="3" spans="1:12" ht="15.75">
      <c r="A3" s="2273" t="s">
        <v>4710</v>
      </c>
      <c r="B3" s="2274"/>
      <c r="C3" s="2275"/>
      <c r="D3" s="2273" t="s">
        <v>1021</v>
      </c>
      <c r="E3" s="2321"/>
      <c r="F3" s="2321"/>
      <c r="G3" s="2321"/>
      <c r="H3" s="2321"/>
      <c r="I3" s="2321"/>
      <c r="J3" s="2321"/>
      <c r="K3" s="2321"/>
      <c r="L3" s="725"/>
    </row>
    <row r="4" spans="1:12">
      <c r="A4" s="83"/>
      <c r="C4" s="214"/>
      <c r="D4" s="83"/>
      <c r="L4" s="214"/>
    </row>
    <row r="5" spans="1:12">
      <c r="A5" s="595" t="s">
        <v>284</v>
      </c>
      <c r="B5" s="2869" t="s">
        <v>2244</v>
      </c>
      <c r="C5" s="2873"/>
      <c r="D5" s="456"/>
      <c r="E5" s="521"/>
      <c r="F5" s="242"/>
      <c r="G5" s="521"/>
      <c r="H5" s="242"/>
      <c r="I5" s="242"/>
      <c r="J5" s="521"/>
      <c r="K5" s="242"/>
      <c r="L5" s="243"/>
    </row>
    <row r="6" spans="1:12">
      <c r="A6" s="83"/>
      <c r="B6" s="2869" t="s">
        <v>3748</v>
      </c>
      <c r="C6" s="2873"/>
      <c r="D6" s="595" t="s">
        <v>1727</v>
      </c>
      <c r="E6" s="522"/>
      <c r="F6" s="600" t="s">
        <v>3749</v>
      </c>
      <c r="G6" s="522"/>
      <c r="H6" t="s">
        <v>218</v>
      </c>
      <c r="J6" s="522"/>
      <c r="K6" t="s">
        <v>218</v>
      </c>
      <c r="L6" s="214"/>
    </row>
    <row r="7" spans="1:12">
      <c r="A7" s="83"/>
      <c r="B7" s="2869" t="s">
        <v>3750</v>
      </c>
      <c r="C7" s="2873"/>
      <c r="D7" s="595" t="s">
        <v>1739</v>
      </c>
      <c r="E7" s="522"/>
      <c r="F7" s="600" t="s">
        <v>3279</v>
      </c>
      <c r="G7" s="522"/>
      <c r="H7" s="600" t="s">
        <v>3280</v>
      </c>
      <c r="J7" s="522"/>
      <c r="K7" s="600" t="s">
        <v>3281</v>
      </c>
      <c r="L7" s="214"/>
    </row>
    <row r="8" spans="1:12">
      <c r="A8" s="83"/>
      <c r="B8" s="2869" t="s">
        <v>519</v>
      </c>
      <c r="C8" s="2873"/>
      <c r="D8" s="123"/>
      <c r="E8" s="597"/>
      <c r="F8" s="224"/>
      <c r="G8" s="597"/>
      <c r="H8" s="224"/>
      <c r="I8" s="224"/>
      <c r="J8" s="597"/>
      <c r="K8" s="224"/>
      <c r="L8" s="225"/>
    </row>
    <row r="9" spans="1:12">
      <c r="A9" s="83"/>
      <c r="B9" s="2869" t="s">
        <v>658</v>
      </c>
      <c r="C9" s="2873"/>
      <c r="D9" s="83"/>
      <c r="E9" s="522"/>
      <c r="F9" s="600" t="s">
        <v>3453</v>
      </c>
      <c r="G9" s="522"/>
      <c r="J9" s="522"/>
      <c r="K9" s="140"/>
      <c r="L9" s="214"/>
    </row>
    <row r="10" spans="1:12">
      <c r="A10" s="83"/>
      <c r="B10" t="s">
        <v>659</v>
      </c>
      <c r="C10" s="214"/>
      <c r="D10" s="595" t="s">
        <v>340</v>
      </c>
      <c r="E10" s="522"/>
      <c r="F10" t="s">
        <v>660</v>
      </c>
      <c r="G10" s="522"/>
      <c r="H10" s="139"/>
      <c r="J10" s="713" t="s">
        <v>284</v>
      </c>
      <c r="K10" s="868"/>
      <c r="L10" s="214"/>
    </row>
    <row r="11" spans="1:12">
      <c r="A11" s="83"/>
      <c r="B11" t="s">
        <v>661</v>
      </c>
      <c r="C11" s="214"/>
      <c r="D11" s="595" t="s">
        <v>341</v>
      </c>
      <c r="E11" s="522"/>
      <c r="F11" t="s">
        <v>662</v>
      </c>
      <c r="G11" s="522"/>
      <c r="H11" s="139"/>
      <c r="J11" s="713" t="s">
        <v>1687</v>
      </c>
      <c r="K11" s="868"/>
      <c r="L11" s="214"/>
    </row>
    <row r="12" spans="1:12">
      <c r="A12" s="83"/>
      <c r="B12" s="2869" t="s">
        <v>3369</v>
      </c>
      <c r="C12" s="2873"/>
      <c r="D12" s="83"/>
      <c r="E12" s="522"/>
      <c r="F12" t="s">
        <v>3370</v>
      </c>
      <c r="G12" s="522"/>
      <c r="H12" s="22"/>
      <c r="J12" s="522"/>
      <c r="K12" s="22"/>
      <c r="L12" s="214"/>
    </row>
    <row r="13" spans="1:12">
      <c r="A13" s="83"/>
      <c r="B13" s="977" t="s">
        <v>2405</v>
      </c>
      <c r="C13" s="214"/>
      <c r="D13" s="595" t="s">
        <v>342</v>
      </c>
      <c r="E13" s="522"/>
      <c r="F13" t="s">
        <v>2406</v>
      </c>
      <c r="G13" s="713" t="s">
        <v>3053</v>
      </c>
      <c r="H13" s="868"/>
      <c r="J13" s="522"/>
      <c r="K13" s="22"/>
      <c r="L13" s="214"/>
    </row>
    <row r="14" spans="1:12">
      <c r="A14" s="83"/>
      <c r="B14" s="2869" t="s">
        <v>1157</v>
      </c>
      <c r="C14" s="2873"/>
      <c r="D14" s="595" t="s">
        <v>343</v>
      </c>
      <c r="E14" s="522"/>
      <c r="F14" t="s">
        <v>1158</v>
      </c>
      <c r="G14" s="713" t="s">
        <v>2364</v>
      </c>
      <c r="H14" s="868"/>
      <c r="J14" s="522"/>
      <c r="K14" s="22"/>
      <c r="L14" s="214"/>
    </row>
    <row r="15" spans="1:12">
      <c r="A15" s="83"/>
      <c r="B15" s="2869" t="s">
        <v>1159</v>
      </c>
      <c r="C15" s="2873"/>
      <c r="D15" s="595" t="s">
        <v>344</v>
      </c>
      <c r="E15" s="522"/>
      <c r="F15" t="s">
        <v>2640</v>
      </c>
      <c r="G15" s="522"/>
      <c r="H15" s="139"/>
      <c r="J15" s="713" t="s">
        <v>2366</v>
      </c>
      <c r="K15" s="689">
        <f>H13-H14</f>
        <v>0</v>
      </c>
      <c r="L15" s="214"/>
    </row>
    <row r="16" spans="1:12">
      <c r="A16" s="1131"/>
      <c r="B16" s="977" t="s">
        <v>2641</v>
      </c>
      <c r="C16" s="214"/>
      <c r="D16" s="83"/>
      <c r="E16" s="522"/>
      <c r="F16" t="s">
        <v>2642</v>
      </c>
      <c r="G16" s="522"/>
      <c r="H16" s="22"/>
      <c r="J16" s="522"/>
      <c r="L16" s="214"/>
    </row>
    <row r="17" spans="1:12">
      <c r="A17" s="83"/>
      <c r="B17" s="2874" t="s">
        <v>2358</v>
      </c>
      <c r="C17" s="2870"/>
      <c r="D17" s="595" t="s">
        <v>345</v>
      </c>
      <c r="E17" s="522"/>
      <c r="F17" t="s">
        <v>4101</v>
      </c>
      <c r="G17" s="713" t="s">
        <v>198</v>
      </c>
      <c r="H17" s="868"/>
      <c r="J17" s="522"/>
      <c r="K17" s="22"/>
      <c r="L17" s="214"/>
    </row>
    <row r="18" spans="1:12">
      <c r="A18" s="83"/>
      <c r="B18" s="2874" t="s">
        <v>4102</v>
      </c>
      <c r="C18" s="2870"/>
      <c r="D18" s="595" t="s">
        <v>346</v>
      </c>
      <c r="E18" s="522"/>
      <c r="F18" t="s">
        <v>2552</v>
      </c>
      <c r="G18" s="713" t="s">
        <v>3665</v>
      </c>
      <c r="H18" s="868"/>
      <c r="J18" s="522" t="s">
        <v>2553</v>
      </c>
      <c r="K18" s="22"/>
      <c r="L18" s="214"/>
    </row>
    <row r="19" spans="1:12">
      <c r="A19" s="83"/>
      <c r="B19" s="977" t="s">
        <v>1384</v>
      </c>
      <c r="C19" s="214"/>
      <c r="D19" s="595" t="s">
        <v>347</v>
      </c>
      <c r="E19" s="522"/>
      <c r="F19" t="s">
        <v>470</v>
      </c>
      <c r="G19" s="713" t="s">
        <v>886</v>
      </c>
      <c r="H19" s="885"/>
      <c r="J19" s="522"/>
      <c r="K19" s="22"/>
      <c r="L19" s="214"/>
    </row>
    <row r="20" spans="1:12">
      <c r="A20" s="83"/>
      <c r="C20" s="214"/>
      <c r="D20" s="595" t="s">
        <v>348</v>
      </c>
      <c r="E20" s="522"/>
      <c r="F20" t="s">
        <v>471</v>
      </c>
      <c r="G20" s="522"/>
      <c r="H20" s="22"/>
      <c r="J20" s="713" t="s">
        <v>3622</v>
      </c>
      <c r="K20" s="689">
        <f>(+H17*(+H18/10000)*+H19)*100</f>
        <v>0</v>
      </c>
      <c r="L20" s="214"/>
    </row>
    <row r="21" spans="1:12">
      <c r="A21" s="595" t="s">
        <v>1687</v>
      </c>
      <c r="B21" s="2869" t="s">
        <v>472</v>
      </c>
      <c r="C21" s="2873"/>
      <c r="D21" s="83"/>
      <c r="E21" s="522"/>
      <c r="F21" t="s">
        <v>473</v>
      </c>
      <c r="G21" s="522"/>
      <c r="H21" s="22"/>
      <c r="J21" s="522"/>
      <c r="L21" s="214"/>
    </row>
    <row r="22" spans="1:12">
      <c r="A22" s="83"/>
      <c r="B22" s="977" t="s">
        <v>474</v>
      </c>
      <c r="C22" s="214"/>
      <c r="D22" s="595" t="s">
        <v>349</v>
      </c>
      <c r="E22" s="522"/>
      <c r="F22" t="s">
        <v>475</v>
      </c>
      <c r="G22" s="713" t="s">
        <v>3541</v>
      </c>
      <c r="H22" s="868"/>
      <c r="J22" s="522"/>
      <c r="K22" s="22"/>
      <c r="L22" s="214"/>
    </row>
    <row r="23" spans="1:12">
      <c r="A23" s="83"/>
      <c r="C23" s="214"/>
      <c r="D23" s="595" t="s">
        <v>350</v>
      </c>
      <c r="E23" s="522"/>
      <c r="F23" t="s">
        <v>2438</v>
      </c>
      <c r="G23" s="713" t="s">
        <v>3546</v>
      </c>
      <c r="H23" s="868"/>
      <c r="J23" s="522"/>
      <c r="K23" s="22"/>
      <c r="L23" s="214"/>
    </row>
    <row r="24" spans="1:12">
      <c r="A24" s="595" t="s">
        <v>3053</v>
      </c>
      <c r="B24" s="2869" t="s">
        <v>2439</v>
      </c>
      <c r="C24" s="2873"/>
      <c r="D24" s="595" t="s">
        <v>351</v>
      </c>
      <c r="E24" s="522"/>
      <c r="F24" t="s">
        <v>2440</v>
      </c>
      <c r="G24" s="522"/>
      <c r="H24" s="22"/>
      <c r="J24" s="713" t="s">
        <v>1503</v>
      </c>
      <c r="K24" s="689">
        <f>H22-H23</f>
        <v>0</v>
      </c>
      <c r="L24" s="214"/>
    </row>
    <row r="25" spans="1:12">
      <c r="A25" s="83"/>
      <c r="B25" s="2869" t="s">
        <v>1272</v>
      </c>
      <c r="C25" s="2873"/>
      <c r="D25" s="595" t="s">
        <v>352</v>
      </c>
      <c r="E25" s="522"/>
      <c r="F25" t="s">
        <v>1273</v>
      </c>
      <c r="G25" s="522"/>
      <c r="H25" s="22"/>
      <c r="J25" s="713" t="s">
        <v>55</v>
      </c>
      <c r="K25" s="689">
        <f>K10+K11+K15+K20+K24</f>
        <v>0</v>
      </c>
      <c r="L25" s="214"/>
    </row>
    <row r="26" spans="1:12">
      <c r="A26" s="83"/>
      <c r="B26" s="977" t="s">
        <v>2458</v>
      </c>
      <c r="C26" s="214"/>
      <c r="D26" s="595" t="s">
        <v>353</v>
      </c>
      <c r="E26" s="522"/>
      <c r="F26" t="s">
        <v>2459</v>
      </c>
      <c r="G26" s="522"/>
      <c r="H26" s="22"/>
      <c r="J26" s="713" t="s">
        <v>3799</v>
      </c>
      <c r="K26" s="886">
        <f>IF(K25=0,0,+H22/+H17)</f>
        <v>0</v>
      </c>
      <c r="L26" s="214"/>
    </row>
    <row r="27" spans="1:12">
      <c r="A27" s="83"/>
      <c r="B27" s="4"/>
      <c r="C27" s="214"/>
      <c r="D27" s="596" t="s">
        <v>354</v>
      </c>
      <c r="E27" s="597"/>
      <c r="F27" s="224" t="s">
        <v>3800</v>
      </c>
      <c r="G27" s="597"/>
      <c r="H27" s="880"/>
      <c r="I27" s="224"/>
      <c r="J27" s="914" t="s">
        <v>3801</v>
      </c>
      <c r="K27" s="689">
        <f>K25*+K26</f>
        <v>0</v>
      </c>
      <c r="L27" s="225"/>
    </row>
    <row r="28" spans="1:12">
      <c r="A28" s="595" t="s">
        <v>2364</v>
      </c>
      <c r="B28" s="2875" t="s">
        <v>4321</v>
      </c>
      <c r="C28" s="2870"/>
      <c r="D28" s="682"/>
      <c r="E28" s="522"/>
      <c r="F28" s="600" t="s">
        <v>2426</v>
      </c>
      <c r="G28" s="522"/>
      <c r="H28" s="22"/>
      <c r="J28" s="522"/>
      <c r="L28" s="214"/>
    </row>
    <row r="29" spans="1:12">
      <c r="A29" s="83"/>
      <c r="B29" s="2875" t="s">
        <v>4322</v>
      </c>
      <c r="C29" s="2870"/>
      <c r="D29" s="595" t="s">
        <v>355</v>
      </c>
      <c r="E29" s="522"/>
      <c r="F29" t="s">
        <v>4068</v>
      </c>
      <c r="G29" s="522"/>
      <c r="H29" s="22"/>
      <c r="J29" s="713" t="s">
        <v>4069</v>
      </c>
      <c r="K29" s="868"/>
      <c r="L29" s="214"/>
    </row>
    <row r="30" spans="1:12">
      <c r="A30" s="83"/>
      <c r="B30" s="2875" t="s">
        <v>4070</v>
      </c>
      <c r="C30" s="2870"/>
      <c r="D30" s="83"/>
      <c r="E30" s="522"/>
      <c r="F30" t="s">
        <v>4071</v>
      </c>
      <c r="G30" s="522"/>
      <c r="H30" s="22"/>
      <c r="J30" s="522"/>
      <c r="K30" s="22"/>
      <c r="L30" s="214"/>
    </row>
    <row r="31" spans="1:12">
      <c r="A31" s="83"/>
      <c r="C31" s="214"/>
      <c r="D31" s="595" t="s">
        <v>356</v>
      </c>
      <c r="E31" s="522"/>
      <c r="F31" t="s">
        <v>4072</v>
      </c>
      <c r="G31" s="713" t="s">
        <v>4073</v>
      </c>
      <c r="H31" s="881"/>
      <c r="J31" s="522"/>
      <c r="K31" s="22"/>
      <c r="L31" s="214"/>
    </row>
    <row r="32" spans="1:12">
      <c r="A32" s="595" t="s">
        <v>2366</v>
      </c>
      <c r="B32" s="2869" t="s">
        <v>4074</v>
      </c>
      <c r="C32" s="2873"/>
      <c r="D32" s="596" t="s">
        <v>357</v>
      </c>
      <c r="E32" s="597"/>
      <c r="F32" s="224" t="s">
        <v>4075</v>
      </c>
      <c r="G32" s="597"/>
      <c r="H32" s="880"/>
      <c r="I32" s="224"/>
      <c r="J32" s="914" t="s">
        <v>4076</v>
      </c>
      <c r="K32" s="689">
        <f>K29*(1-H31)</f>
        <v>0</v>
      </c>
      <c r="L32" s="225"/>
    </row>
    <row r="33" spans="1:12">
      <c r="A33" s="83"/>
      <c r="B33" s="2869"/>
      <c r="C33" s="2873"/>
      <c r="D33" s="83"/>
      <c r="E33" s="2876" t="s">
        <v>4077</v>
      </c>
      <c r="F33" s="2876"/>
      <c r="G33" s="2876"/>
      <c r="H33" s="2876"/>
      <c r="I33" s="2876"/>
      <c r="J33" s="2876"/>
      <c r="K33" s="2876"/>
      <c r="L33" s="214"/>
    </row>
    <row r="34" spans="1:12">
      <c r="A34" s="595" t="s">
        <v>198</v>
      </c>
      <c r="B34" s="2869" t="s">
        <v>3077</v>
      </c>
      <c r="C34" s="2873"/>
      <c r="D34" s="83"/>
      <c r="L34" s="214"/>
    </row>
    <row r="35" spans="1:12">
      <c r="A35" s="83"/>
      <c r="B35" s="2869" t="s">
        <v>1857</v>
      </c>
      <c r="C35" s="2873"/>
      <c r="D35" s="83"/>
      <c r="G35" s="4"/>
      <c r="H35" s="4"/>
      <c r="I35" s="4"/>
      <c r="J35" s="4"/>
      <c r="K35" s="4"/>
      <c r="L35" s="214"/>
    </row>
    <row r="36" spans="1:12">
      <c r="A36" s="83"/>
      <c r="C36" s="214"/>
      <c r="D36" s="83"/>
      <c r="E36" t="s">
        <v>4188</v>
      </c>
      <c r="L36" s="214"/>
    </row>
    <row r="37" spans="1:12">
      <c r="A37" s="595" t="s">
        <v>3665</v>
      </c>
      <c r="B37" s="2869" t="s">
        <v>4234</v>
      </c>
      <c r="C37" s="2873"/>
      <c r="D37" s="83"/>
      <c r="F37" t="s">
        <v>4235</v>
      </c>
      <c r="K37" s="2362"/>
      <c r="L37" s="214"/>
    </row>
    <row r="38" spans="1:12">
      <c r="A38" s="83"/>
      <c r="B38" s="2869" t="s">
        <v>1539</v>
      </c>
      <c r="C38" s="2873"/>
      <c r="D38" s="83"/>
      <c r="F38" t="s">
        <v>1541</v>
      </c>
      <c r="K38" s="2362"/>
      <c r="L38" s="214"/>
    </row>
    <row r="39" spans="1:12">
      <c r="A39" s="83"/>
      <c r="B39" s="2869" t="s">
        <v>1542</v>
      </c>
      <c r="C39" s="2873"/>
      <c r="D39" s="83"/>
      <c r="F39" t="s">
        <v>1543</v>
      </c>
      <c r="K39" s="2362"/>
      <c r="L39" s="214"/>
    </row>
    <row r="40" spans="1:12">
      <c r="A40" s="83"/>
      <c r="B40" s="4"/>
      <c r="C40" s="214"/>
      <c r="D40" s="83"/>
      <c r="L40" s="214"/>
    </row>
    <row r="41" spans="1:12">
      <c r="A41" s="595" t="s">
        <v>886</v>
      </c>
      <c r="B41" s="2869" t="s">
        <v>4351</v>
      </c>
      <c r="C41" s="2873"/>
      <c r="D41" s="83"/>
      <c r="E41" s="977" t="s">
        <v>4352</v>
      </c>
      <c r="F41" s="4"/>
      <c r="G41" s="4"/>
      <c r="H41" s="4"/>
      <c r="I41" s="4"/>
      <c r="J41" s="4"/>
      <c r="K41" s="4"/>
      <c r="L41" s="214"/>
    </row>
    <row r="42" spans="1:12">
      <c r="A42" s="83"/>
      <c r="B42" s="977" t="s">
        <v>4353</v>
      </c>
      <c r="C42" s="214"/>
      <c r="D42" s="83"/>
      <c r="E42" t="s">
        <v>4354</v>
      </c>
      <c r="L42" s="214"/>
    </row>
    <row r="43" spans="1:12">
      <c r="A43" s="83"/>
      <c r="C43" s="214"/>
      <c r="D43" s="83"/>
      <c r="E43" s="2363"/>
      <c r="F43" s="2363"/>
      <c r="G43" s="2363"/>
      <c r="H43" s="2363"/>
      <c r="I43" s="2363"/>
      <c r="J43" s="2363"/>
      <c r="K43" s="2363"/>
      <c r="L43" s="214"/>
    </row>
    <row r="44" spans="1:12">
      <c r="A44" s="595" t="s">
        <v>3622</v>
      </c>
      <c r="B44" s="2869" t="s">
        <v>1064</v>
      </c>
      <c r="C44" s="2873"/>
      <c r="D44" s="83"/>
      <c r="E44" s="2363"/>
      <c r="F44" s="2363"/>
      <c r="G44" s="2363"/>
      <c r="H44" s="2363"/>
      <c r="I44" s="2363"/>
      <c r="J44" s="2363"/>
      <c r="K44" s="2363"/>
      <c r="L44" s="214"/>
    </row>
    <row r="45" spans="1:12">
      <c r="A45" s="83"/>
      <c r="B45" s="2869" t="s">
        <v>724</v>
      </c>
      <c r="C45" s="2873"/>
      <c r="D45" s="83"/>
      <c r="E45" s="2363"/>
      <c r="F45" s="2364"/>
      <c r="G45" s="2364"/>
      <c r="H45" s="2364"/>
      <c r="I45" s="2364"/>
      <c r="J45" s="2364"/>
      <c r="K45" s="2364"/>
      <c r="L45" s="214"/>
    </row>
    <row r="46" spans="1:12">
      <c r="A46" s="83"/>
      <c r="B46" s="121"/>
      <c r="C46" s="214"/>
      <c r="D46" s="83"/>
      <c r="E46" s="2869" t="s">
        <v>1874</v>
      </c>
      <c r="F46" s="2869"/>
      <c r="G46" s="2869"/>
      <c r="H46" s="2869"/>
      <c r="I46" s="2869"/>
      <c r="J46" s="2869"/>
      <c r="K46" s="2869"/>
      <c r="L46" s="214"/>
    </row>
    <row r="47" spans="1:12">
      <c r="A47" s="456"/>
      <c r="B47" s="2876" t="s">
        <v>1875</v>
      </c>
      <c r="C47" s="2877"/>
      <c r="D47" s="83"/>
      <c r="E47" s="2869" t="s">
        <v>1405</v>
      </c>
      <c r="F47" s="2869"/>
      <c r="G47" s="2869"/>
      <c r="H47" s="2869"/>
      <c r="I47" s="2869"/>
      <c r="J47" s="2869"/>
      <c r="K47" s="2869"/>
      <c r="L47" s="214"/>
    </row>
    <row r="48" spans="1:12">
      <c r="A48" s="83"/>
      <c r="B48" s="2869" t="s">
        <v>2563</v>
      </c>
      <c r="C48" s="2873"/>
      <c r="D48" s="83"/>
      <c r="E48" s="2869" t="s">
        <v>2564</v>
      </c>
      <c r="F48" s="2869"/>
      <c r="G48" s="2869"/>
      <c r="H48" s="2869"/>
      <c r="I48" s="2869"/>
      <c r="J48" s="2869"/>
      <c r="K48" s="2869"/>
      <c r="L48" s="214"/>
    </row>
    <row r="49" spans="1:12">
      <c r="A49" s="83"/>
      <c r="B49" s="2869" t="s">
        <v>2565</v>
      </c>
      <c r="C49" s="2873"/>
      <c r="D49" s="83"/>
      <c r="E49" s="2363"/>
      <c r="F49" s="2363"/>
      <c r="G49" s="2363"/>
      <c r="H49" s="2363"/>
      <c r="I49" s="2363"/>
      <c r="J49" s="2363"/>
      <c r="K49" s="2363"/>
      <c r="L49" s="214"/>
    </row>
    <row r="50" spans="1:12">
      <c r="A50" s="83"/>
      <c r="B50" s="2869" t="s">
        <v>3735</v>
      </c>
      <c r="C50" s="2873"/>
      <c r="D50" s="83"/>
      <c r="E50" s="2363"/>
      <c r="F50" s="2363"/>
      <c r="G50" s="2363"/>
      <c r="H50" s="2363"/>
      <c r="I50" s="2363"/>
      <c r="J50" s="2363"/>
      <c r="K50" s="2363"/>
      <c r="L50" s="214"/>
    </row>
    <row r="51" spans="1:12">
      <c r="A51" s="83"/>
      <c r="C51" s="214"/>
      <c r="D51" s="83"/>
      <c r="E51" s="2363"/>
      <c r="F51" s="2363"/>
      <c r="G51" s="2363"/>
      <c r="H51" s="2363"/>
      <c r="I51" s="2363"/>
      <c r="J51" s="2363"/>
      <c r="K51" s="2363"/>
      <c r="L51" s="214"/>
    </row>
    <row r="52" spans="1:12">
      <c r="A52" s="83"/>
      <c r="B52" s="600"/>
      <c r="C52" s="214"/>
      <c r="D52" s="83"/>
      <c r="E52" s="977" t="s">
        <v>670</v>
      </c>
      <c r="F52" s="4"/>
      <c r="G52" s="4"/>
      <c r="H52" s="4"/>
      <c r="I52" s="4"/>
      <c r="J52" s="4"/>
      <c r="K52" s="4"/>
      <c r="L52" s="214"/>
    </row>
    <row r="53" spans="1:12">
      <c r="A53" s="83"/>
      <c r="B53" s="600"/>
      <c r="C53" s="214"/>
      <c r="D53" s="83"/>
      <c r="F53" t="s">
        <v>671</v>
      </c>
      <c r="K53" s="2365"/>
      <c r="L53" s="214"/>
    </row>
    <row r="54" spans="1:12">
      <c r="A54" s="83"/>
      <c r="C54" s="214"/>
      <c r="D54" s="83"/>
      <c r="F54" t="s">
        <v>672</v>
      </c>
      <c r="K54" s="2362"/>
      <c r="L54" s="214"/>
    </row>
    <row r="55" spans="1:12">
      <c r="A55" s="83"/>
      <c r="C55" s="214"/>
      <c r="D55" s="83"/>
      <c r="F55" t="s">
        <v>673</v>
      </c>
      <c r="K55" s="2362"/>
      <c r="L55" s="214"/>
    </row>
    <row r="56" spans="1:12">
      <c r="A56" s="83"/>
      <c r="C56" s="214"/>
      <c r="D56" s="83"/>
      <c r="K56" s="2363"/>
      <c r="L56" s="214"/>
    </row>
    <row r="57" spans="1:12">
      <c r="A57" s="83"/>
      <c r="C57" s="214"/>
      <c r="D57" s="83"/>
      <c r="K57" s="22"/>
      <c r="L57" s="214"/>
    </row>
    <row r="58" spans="1:12">
      <c r="A58" s="83"/>
      <c r="C58" s="214"/>
      <c r="D58" s="83"/>
      <c r="F58" s="22"/>
      <c r="G58" s="22"/>
      <c r="H58" s="22"/>
      <c r="I58" s="22"/>
      <c r="J58" s="22"/>
      <c r="K58" s="22"/>
      <c r="L58" s="214"/>
    </row>
    <row r="59" spans="1:12" ht="15.75" thickBot="1">
      <c r="A59" s="124"/>
      <c r="B59" s="125"/>
      <c r="C59" s="217"/>
      <c r="D59" s="124"/>
      <c r="E59" s="125"/>
      <c r="F59" s="874"/>
      <c r="G59" s="874"/>
      <c r="H59" s="874"/>
      <c r="I59" s="874"/>
      <c r="J59" s="874"/>
      <c r="K59" s="874"/>
      <c r="L59" s="217"/>
    </row>
    <row r="60" spans="1:12">
      <c r="A60" t="s">
        <v>1385</v>
      </c>
      <c r="C60" s="213"/>
      <c r="D60" t="s">
        <v>1385</v>
      </c>
      <c r="K60" t="s">
        <v>218</v>
      </c>
    </row>
    <row r="61" spans="1:12">
      <c r="A61" s="4" t="s">
        <v>674</v>
      </c>
      <c r="B61" s="4"/>
      <c r="C61" s="4"/>
      <c r="D61" s="4" t="s">
        <v>675</v>
      </c>
      <c r="E61" s="4"/>
      <c r="F61" s="4"/>
      <c r="G61" s="4"/>
      <c r="H61" s="4"/>
      <c r="I61" s="4"/>
      <c r="J61" s="4"/>
      <c r="K61" s="4"/>
      <c r="L61" s="4"/>
    </row>
    <row r="62" spans="1:12">
      <c r="D62" s="600"/>
    </row>
    <row r="63" spans="1:12">
      <c r="B63" s="4"/>
      <c r="C63" s="4"/>
      <c r="D63" s="4"/>
    </row>
    <row r="65" spans="1:6">
      <c r="B65" s="108"/>
    </row>
    <row r="66" spans="1:6">
      <c r="F66" s="108"/>
    </row>
    <row r="68" spans="1:6">
      <c r="B68" s="108"/>
    </row>
    <row r="69" spans="1:6">
      <c r="B69" s="108"/>
      <c r="F69" s="108"/>
    </row>
    <row r="70" spans="1:6" ht="15.75">
      <c r="A70" s="3" t="s">
        <v>3741</v>
      </c>
      <c r="B70" s="5"/>
      <c r="C70" s="4"/>
      <c r="E70" s="600"/>
      <c r="F70" s="108"/>
    </row>
    <row r="71" spans="1:6">
      <c r="B71" s="108"/>
      <c r="F71" s="108"/>
    </row>
    <row r="72" spans="1:6">
      <c r="B72" s="108"/>
      <c r="F72" s="108"/>
    </row>
    <row r="73" spans="1:6">
      <c r="B73" s="108"/>
    </row>
    <row r="76" spans="1:6" ht="18.75" thickBot="1">
      <c r="A76" s="14" t="s">
        <v>218</v>
      </c>
      <c r="B76" s="882"/>
    </row>
    <row r="77" spans="1:6" ht="18">
      <c r="A77" s="883"/>
      <c r="B77" s="884"/>
      <c r="C77" s="82"/>
    </row>
    <row r="78" spans="1:6" ht="15.75">
      <c r="A78" s="118" t="s">
        <v>1021</v>
      </c>
      <c r="B78" s="4"/>
      <c r="C78" s="119"/>
    </row>
    <row r="79" spans="1:6">
      <c r="A79" s="83"/>
      <c r="C79" s="214"/>
    </row>
    <row r="80" spans="1:6">
      <c r="A80" s="83"/>
      <c r="B80" s="4"/>
      <c r="C80" s="214"/>
    </row>
    <row r="81" spans="1:3">
      <c r="A81" s="83"/>
      <c r="B81" s="4"/>
      <c r="C81" s="214"/>
    </row>
    <row r="82" spans="1:3">
      <c r="A82" s="83"/>
      <c r="B82" s="4"/>
      <c r="C82" s="214"/>
    </row>
    <row r="83" spans="1:3">
      <c r="A83" s="456"/>
      <c r="B83" s="322"/>
      <c r="C83" s="243"/>
    </row>
    <row r="84" spans="1:3">
      <c r="A84" s="83"/>
      <c r="B84" s="4"/>
      <c r="C84" s="214"/>
    </row>
    <row r="85" spans="1:3">
      <c r="A85" s="83"/>
      <c r="C85" s="214"/>
    </row>
    <row r="86" spans="1:3">
      <c r="A86" s="83"/>
      <c r="C86" s="214"/>
    </row>
    <row r="87" spans="1:3">
      <c r="A87" s="83"/>
      <c r="B87" s="4"/>
      <c r="C87" s="214"/>
    </row>
    <row r="88" spans="1:3">
      <c r="A88" s="83"/>
      <c r="B88" s="4"/>
      <c r="C88" s="214"/>
    </row>
    <row r="89" spans="1:3">
      <c r="A89" s="83"/>
      <c r="B89" s="4"/>
      <c r="C89" s="214"/>
    </row>
    <row r="90" spans="1:3">
      <c r="A90" s="83"/>
      <c r="B90" s="4"/>
      <c r="C90" s="214"/>
    </row>
    <row r="91" spans="1:3">
      <c r="A91" s="83"/>
      <c r="B91" s="4"/>
      <c r="C91" s="214"/>
    </row>
    <row r="92" spans="1:3">
      <c r="A92" s="83"/>
      <c r="B92" s="4"/>
      <c r="C92" s="214"/>
    </row>
    <row r="93" spans="1:3">
      <c r="A93" s="83"/>
      <c r="B93" s="4"/>
      <c r="C93" s="214"/>
    </row>
    <row r="94" spans="1:3">
      <c r="A94" s="83"/>
      <c r="B94" s="4"/>
      <c r="C94" s="214"/>
    </row>
    <row r="95" spans="1:3">
      <c r="A95" s="83"/>
      <c r="C95" s="214"/>
    </row>
    <row r="96" spans="1:3">
      <c r="A96" s="83"/>
      <c r="B96" s="4"/>
      <c r="C96" s="214"/>
    </row>
    <row r="97" spans="1:3">
      <c r="A97" s="83"/>
      <c r="B97" s="4"/>
      <c r="C97" s="214"/>
    </row>
    <row r="98" spans="1:3">
      <c r="A98" s="83"/>
      <c r="C98" s="214"/>
    </row>
    <row r="99" spans="1:3">
      <c r="A99" s="83"/>
      <c r="B99" s="4"/>
      <c r="C99" s="214"/>
    </row>
    <row r="100" spans="1:3">
      <c r="A100" s="83"/>
      <c r="B100" s="4"/>
      <c r="C100" s="214"/>
    </row>
    <row r="101" spans="1:3">
      <c r="A101" s="83"/>
      <c r="B101" s="4"/>
      <c r="C101" s="214"/>
    </row>
    <row r="102" spans="1:3">
      <c r="A102" s="83"/>
      <c r="B102" s="4"/>
      <c r="C102" s="214"/>
    </row>
    <row r="103" spans="1:3">
      <c r="A103" s="83"/>
      <c r="C103" s="214"/>
    </row>
    <row r="104" spans="1:3">
      <c r="A104" s="83"/>
      <c r="C104" s="214"/>
    </row>
    <row r="105" spans="1:3">
      <c r="A105" s="83"/>
      <c r="C105" s="214"/>
    </row>
    <row r="106" spans="1:3">
      <c r="A106" s="83"/>
      <c r="C106" s="214"/>
    </row>
    <row r="107" spans="1:3">
      <c r="A107" s="83"/>
      <c r="B107" s="4"/>
      <c r="C107" s="214"/>
    </row>
    <row r="108" spans="1:3">
      <c r="A108" s="83"/>
      <c r="C108" s="214"/>
    </row>
    <row r="109" spans="1:3">
      <c r="A109" s="83"/>
      <c r="B109" s="4"/>
      <c r="C109" s="214"/>
    </row>
    <row r="110" spans="1:3">
      <c r="A110" s="83"/>
      <c r="B110" s="4"/>
      <c r="C110" s="214"/>
    </row>
    <row r="111" spans="1:3">
      <c r="A111" s="83"/>
      <c r="C111" s="214"/>
    </row>
    <row r="112" spans="1:3">
      <c r="A112" s="83"/>
      <c r="B112" s="4"/>
      <c r="C112" s="214"/>
    </row>
    <row r="113" spans="1:3">
      <c r="A113" s="83"/>
      <c r="B113" s="4"/>
      <c r="C113" s="214"/>
    </row>
    <row r="114" spans="1:3">
      <c r="A114" s="83"/>
      <c r="B114" s="4"/>
      <c r="C114" s="214"/>
    </row>
    <row r="115" spans="1:3">
      <c r="A115" s="83"/>
      <c r="B115" s="4"/>
      <c r="C115" s="214"/>
    </row>
    <row r="116" spans="1:3">
      <c r="A116" s="83"/>
      <c r="B116" s="4"/>
      <c r="C116" s="214"/>
    </row>
    <row r="117" spans="1:3">
      <c r="A117" s="83"/>
      <c r="B117" s="4"/>
      <c r="C117" s="214"/>
    </row>
    <row r="118" spans="1:3">
      <c r="A118" s="83"/>
      <c r="C118" s="214"/>
    </row>
    <row r="119" spans="1:3">
      <c r="A119" s="83"/>
      <c r="B119" s="4"/>
      <c r="C119" s="214"/>
    </row>
    <row r="120" spans="1:3">
      <c r="A120" s="83"/>
      <c r="B120" s="4"/>
      <c r="C120" s="214"/>
    </row>
    <row r="121" spans="1:3">
      <c r="A121" s="83"/>
      <c r="B121" s="4"/>
      <c r="C121" s="214"/>
    </row>
    <row r="122" spans="1:3">
      <c r="A122" s="83"/>
      <c r="C122" s="214"/>
    </row>
    <row r="123" spans="1:3">
      <c r="A123" s="83"/>
      <c r="B123" s="4"/>
      <c r="C123" s="214"/>
    </row>
    <row r="124" spans="1:3">
      <c r="A124" s="83"/>
      <c r="B124" s="4"/>
      <c r="C124" s="214"/>
    </row>
    <row r="125" spans="1:3">
      <c r="A125" s="83"/>
      <c r="B125" s="4"/>
      <c r="C125" s="214"/>
    </row>
    <row r="126" spans="1:3">
      <c r="A126" s="83"/>
      <c r="B126" s="4"/>
      <c r="C126" s="214"/>
    </row>
    <row r="127" spans="1:3">
      <c r="A127" s="83"/>
      <c r="B127" s="4"/>
      <c r="C127" s="214"/>
    </row>
    <row r="128" spans="1:3">
      <c r="A128" s="83"/>
      <c r="B128" s="4"/>
      <c r="C128" s="214"/>
    </row>
    <row r="129" spans="1:3">
      <c r="A129" s="83"/>
      <c r="C129" s="214"/>
    </row>
    <row r="130" spans="1:3">
      <c r="A130" s="83"/>
      <c r="C130" s="214"/>
    </row>
    <row r="131" spans="1:3">
      <c r="A131" s="83"/>
      <c r="C131" s="214"/>
    </row>
    <row r="132" spans="1:3">
      <c r="A132" s="83"/>
      <c r="C132" s="214"/>
    </row>
    <row r="133" spans="1:3">
      <c r="A133" s="83"/>
      <c r="C133" s="214"/>
    </row>
    <row r="134" spans="1:3">
      <c r="A134" s="83"/>
      <c r="C134" s="214"/>
    </row>
    <row r="135" spans="1:3">
      <c r="A135" s="83"/>
      <c r="C135" s="214"/>
    </row>
    <row r="136" spans="1:3">
      <c r="A136" s="83"/>
      <c r="C136" s="214"/>
    </row>
    <row r="137" spans="1:3">
      <c r="A137" s="83"/>
      <c r="C137" s="214"/>
    </row>
    <row r="138" spans="1:3">
      <c r="A138" s="83"/>
      <c r="C138" s="214"/>
    </row>
    <row r="139" spans="1:3">
      <c r="A139" s="83"/>
      <c r="C139" s="214"/>
    </row>
    <row r="140" spans="1:3" ht="15.75" thickBot="1">
      <c r="A140" s="124"/>
      <c r="B140" s="125"/>
      <c r="C140" s="217"/>
    </row>
    <row r="141" spans="1:3">
      <c r="A141" t="s">
        <v>2024</v>
      </c>
      <c r="C141" s="4"/>
    </row>
    <row r="142" spans="1:3">
      <c r="A142" s="4" t="s">
        <v>676</v>
      </c>
      <c r="B142" s="4"/>
      <c r="C142" s="4"/>
    </row>
    <row r="146" spans="2:2">
      <c r="B146" s="108"/>
    </row>
    <row r="149" spans="2:2">
      <c r="B149" s="108"/>
    </row>
    <row r="150" spans="2:2">
      <c r="B150" s="108"/>
    </row>
    <row r="151" spans="2:2">
      <c r="B151" s="108"/>
    </row>
    <row r="152" spans="2:2">
      <c r="B152" s="108"/>
    </row>
    <row r="153" spans="2:2">
      <c r="B153" s="108"/>
    </row>
    <row r="154" spans="2:2">
      <c r="B154" s="108"/>
    </row>
  </sheetData>
  <mergeCells count="34">
    <mergeCell ref="E33:K33"/>
    <mergeCell ref="E46:K46"/>
    <mergeCell ref="E47:K47"/>
    <mergeCell ref="E48:K48"/>
    <mergeCell ref="B44:C44"/>
    <mergeCell ref="B45:C45"/>
    <mergeCell ref="B47:C47"/>
    <mergeCell ref="B48:C48"/>
    <mergeCell ref="B33:C33"/>
    <mergeCell ref="B49:C49"/>
    <mergeCell ref="B50:C50"/>
    <mergeCell ref="B34:C34"/>
    <mergeCell ref="B35:C35"/>
    <mergeCell ref="B37:C37"/>
    <mergeCell ref="B38:C38"/>
    <mergeCell ref="B39:C39"/>
    <mergeCell ref="B41:C41"/>
    <mergeCell ref="B25:C25"/>
    <mergeCell ref="B28:C28"/>
    <mergeCell ref="B29:C29"/>
    <mergeCell ref="B30:C30"/>
    <mergeCell ref="B32:C32"/>
    <mergeCell ref="B24:C24"/>
    <mergeCell ref="B5:C5"/>
    <mergeCell ref="B6:C6"/>
    <mergeCell ref="B7:C7"/>
    <mergeCell ref="B8:C8"/>
    <mergeCell ref="B9:C9"/>
    <mergeCell ref="B12:C12"/>
    <mergeCell ref="B14:C14"/>
    <mergeCell ref="B15:C15"/>
    <mergeCell ref="B17:C17"/>
    <mergeCell ref="B18:C18"/>
    <mergeCell ref="B21:C21"/>
  </mergeCells>
  <phoneticPr fontId="0" type="noConversion"/>
  <printOptions horizontalCentered="1" verticalCentered="1"/>
  <pageMargins left="0.4" right="0.4" top="0.3" bottom="0.3" header="0" footer="0"/>
  <pageSetup scale="70" fitToWidth="2" orientation="portrait" r:id="rId1"/>
  <headerFooter alignWithMargins="0"/>
  <colBreaks count="1" manualBreakCount="1">
    <brk id="3" max="60"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ransitionEvaluation="1" codeName="Sheet24"/>
  <dimension ref="A1:L154"/>
  <sheetViews>
    <sheetView defaultGridColor="0" colorId="22" zoomScale="87" zoomScaleNormal="87" workbookViewId="0">
      <selection activeCell="C62" sqref="C62"/>
    </sheetView>
  </sheetViews>
  <sheetFormatPr defaultColWidth="9.77734375" defaultRowHeight="15"/>
  <cols>
    <col min="1" max="1" width="4.77734375" customWidth="1"/>
    <col min="2" max="2" width="50.77734375" customWidth="1"/>
    <col min="3" max="3" width="55.33203125" customWidth="1"/>
    <col min="4" max="4" width="4.77734375" customWidth="1"/>
    <col min="5" max="5" width="1.77734375" customWidth="1"/>
    <col min="6" max="6" width="70.21875" customWidth="1"/>
    <col min="7" max="7" width="3.77734375" customWidth="1"/>
    <col min="8" max="8" width="13.77734375" customWidth="1"/>
    <col min="9" max="9" width="1.77734375" customWidth="1"/>
    <col min="10" max="10" width="3.77734375" customWidth="1"/>
    <col min="11" max="11" width="13.77734375" customWidth="1"/>
    <col min="12" max="12" width="1.77734375" customWidth="1"/>
  </cols>
  <sheetData>
    <row r="1" spans="1:12" ht="18.75" thickBot="1">
      <c r="A1" t="str">
        <f>'Data sheet'!A59</f>
        <v>Annual Report of Veolia Water New York, Inc.                                                             Year Ended  December 31, 2023</v>
      </c>
      <c r="B1" s="882"/>
      <c r="D1" t="str">
        <f>'Data sheet'!A59</f>
        <v>Annual Report of Veolia Water New York, Inc.                                                             Year Ended  December 31, 2023</v>
      </c>
      <c r="E1" s="876"/>
      <c r="F1" s="876"/>
      <c r="G1" s="876"/>
      <c r="I1" s="876"/>
      <c r="J1" s="876"/>
      <c r="K1" s="876"/>
      <c r="L1" s="876"/>
    </row>
    <row r="2" spans="1:12" ht="15.75">
      <c r="A2" s="2270" t="s">
        <v>4993</v>
      </c>
      <c r="B2" s="2271"/>
      <c r="C2" s="2272"/>
      <c r="D2" s="2270" t="s">
        <v>4993</v>
      </c>
      <c r="E2" s="2271"/>
      <c r="F2" s="2271"/>
      <c r="G2" s="2271"/>
      <c r="H2" s="2271"/>
      <c r="I2" s="2271"/>
      <c r="J2" s="2271"/>
      <c r="K2" s="2271"/>
      <c r="L2" s="879"/>
    </row>
    <row r="3" spans="1:12" ht="15.75">
      <c r="A3" s="2273" t="s">
        <v>4710</v>
      </c>
      <c r="B3" s="2274"/>
      <c r="C3" s="2275"/>
      <c r="D3" s="2273" t="s">
        <v>1021</v>
      </c>
      <c r="E3" s="2321"/>
      <c r="F3" s="2321"/>
      <c r="G3" s="2321"/>
      <c r="H3" s="2321"/>
      <c r="I3" s="2321"/>
      <c r="J3" s="2321"/>
      <c r="K3" s="2321"/>
      <c r="L3" s="725"/>
    </row>
    <row r="4" spans="1:12">
      <c r="A4" s="2337"/>
      <c r="B4" s="2323"/>
      <c r="C4" s="2338"/>
      <c r="D4" s="2337"/>
      <c r="E4" s="2323"/>
      <c r="F4" s="2323"/>
      <c r="G4" s="2323"/>
      <c r="H4" s="2323"/>
      <c r="I4" s="2323"/>
      <c r="J4" s="2323"/>
      <c r="K4" s="2323"/>
      <c r="L4" s="214"/>
    </row>
    <row r="5" spans="1:12">
      <c r="A5" s="2339" t="s">
        <v>284</v>
      </c>
      <c r="B5" s="2869" t="s">
        <v>2244</v>
      </c>
      <c r="C5" s="2873"/>
      <c r="D5" s="2340"/>
      <c r="E5" s="2341"/>
      <c r="F5" s="2342"/>
      <c r="G5" s="2341"/>
      <c r="H5" s="2342"/>
      <c r="I5" s="2342"/>
      <c r="J5" s="2341"/>
      <c r="K5" s="2342"/>
      <c r="L5" s="243"/>
    </row>
    <row r="6" spans="1:12">
      <c r="A6" s="2337"/>
      <c r="B6" s="2869" t="s">
        <v>3748</v>
      </c>
      <c r="C6" s="2873"/>
      <c r="D6" s="2339" t="s">
        <v>1727</v>
      </c>
      <c r="E6" s="2322"/>
      <c r="F6" s="2335" t="s">
        <v>3749</v>
      </c>
      <c r="G6" s="2322"/>
      <c r="H6" s="2323" t="s">
        <v>218</v>
      </c>
      <c r="I6" s="2323"/>
      <c r="J6" s="2322"/>
      <c r="K6" s="2323" t="s">
        <v>218</v>
      </c>
      <c r="L6" s="214"/>
    </row>
    <row r="7" spans="1:12">
      <c r="A7" s="2337"/>
      <c r="B7" s="2869" t="s">
        <v>3750</v>
      </c>
      <c r="C7" s="2873"/>
      <c r="D7" s="2339" t="s">
        <v>1739</v>
      </c>
      <c r="E7" s="2322"/>
      <c r="F7" s="2335" t="s">
        <v>3279</v>
      </c>
      <c r="G7" s="2322"/>
      <c r="H7" s="2335" t="s">
        <v>3280</v>
      </c>
      <c r="I7" s="2323"/>
      <c r="J7" s="2322"/>
      <c r="K7" s="2335" t="s">
        <v>3281</v>
      </c>
      <c r="L7" s="214"/>
    </row>
    <row r="8" spans="1:12">
      <c r="A8" s="2337"/>
      <c r="B8" s="2869" t="s">
        <v>519</v>
      </c>
      <c r="C8" s="2873"/>
      <c r="D8" s="2343"/>
      <c r="E8" s="2331"/>
      <c r="F8" s="2332"/>
      <c r="G8" s="2331"/>
      <c r="H8" s="2332"/>
      <c r="I8" s="2332"/>
      <c r="J8" s="2331"/>
      <c r="K8" s="2332"/>
      <c r="L8" s="225"/>
    </row>
    <row r="9" spans="1:12">
      <c r="A9" s="2337"/>
      <c r="B9" s="2869" t="s">
        <v>658</v>
      </c>
      <c r="C9" s="2873"/>
      <c r="D9" s="2337"/>
      <c r="E9" s="2322"/>
      <c r="F9" s="2335" t="s">
        <v>3453</v>
      </c>
      <c r="G9" s="2322"/>
      <c r="H9" s="2323"/>
      <c r="I9" s="2323"/>
      <c r="J9" s="2322"/>
      <c r="K9" s="2344"/>
      <c r="L9" s="214"/>
    </row>
    <row r="10" spans="1:12">
      <c r="A10" s="2337"/>
      <c r="B10" t="s">
        <v>659</v>
      </c>
      <c r="C10" s="214"/>
      <c r="D10" s="2339" t="s">
        <v>340</v>
      </c>
      <c r="E10" s="2322"/>
      <c r="F10" s="2323" t="s">
        <v>660</v>
      </c>
      <c r="G10" s="2322"/>
      <c r="H10" s="2324"/>
      <c r="I10" s="2323"/>
      <c r="J10" s="2325" t="s">
        <v>284</v>
      </c>
      <c r="K10" s="2326"/>
      <c r="L10" s="214"/>
    </row>
    <row r="11" spans="1:12">
      <c r="A11" s="2337"/>
      <c r="B11" t="s">
        <v>661</v>
      </c>
      <c r="C11" s="214"/>
      <c r="D11" s="2339" t="s">
        <v>341</v>
      </c>
      <c r="E11" s="2322"/>
      <c r="F11" s="2323" t="s">
        <v>662</v>
      </c>
      <c r="G11" s="2322"/>
      <c r="H11" s="2324"/>
      <c r="I11" s="2323"/>
      <c r="J11" s="2325" t="s">
        <v>1687</v>
      </c>
      <c r="K11" s="2326"/>
      <c r="L11" s="214"/>
    </row>
    <row r="12" spans="1:12">
      <c r="A12" s="2337"/>
      <c r="B12" s="2869" t="s">
        <v>3369</v>
      </c>
      <c r="C12" s="2873"/>
      <c r="D12" s="2337"/>
      <c r="E12" s="2322"/>
      <c r="F12" s="2323" t="s">
        <v>3370</v>
      </c>
      <c r="G12" s="2322"/>
      <c r="H12" s="2327"/>
      <c r="I12" s="2323"/>
      <c r="J12" s="2322"/>
      <c r="K12" s="2327"/>
      <c r="L12" s="214"/>
    </row>
    <row r="13" spans="1:12">
      <c r="A13" s="2337"/>
      <c r="B13" s="977" t="s">
        <v>2405</v>
      </c>
      <c r="C13" s="214"/>
      <c r="D13" s="2339" t="s">
        <v>342</v>
      </c>
      <c r="E13" s="2322"/>
      <c r="F13" s="2323" t="s">
        <v>2406</v>
      </c>
      <c r="G13" s="2325" t="s">
        <v>3053</v>
      </c>
      <c r="H13" s="2326"/>
      <c r="I13" s="2323"/>
      <c r="J13" s="2322"/>
      <c r="K13" s="2327"/>
      <c r="L13" s="214"/>
    </row>
    <row r="14" spans="1:12">
      <c r="A14" s="2337"/>
      <c r="B14" s="2869" t="s">
        <v>1157</v>
      </c>
      <c r="C14" s="2873"/>
      <c r="D14" s="2339" t="s">
        <v>343</v>
      </c>
      <c r="E14" s="2322"/>
      <c r="F14" s="2323" t="s">
        <v>1158</v>
      </c>
      <c r="G14" s="2325" t="s">
        <v>2364</v>
      </c>
      <c r="H14" s="2326"/>
      <c r="I14" s="2323"/>
      <c r="J14" s="2322"/>
      <c r="K14" s="2327"/>
      <c r="L14" s="214"/>
    </row>
    <row r="15" spans="1:12">
      <c r="A15" s="2337"/>
      <c r="B15" s="2869" t="s">
        <v>1159</v>
      </c>
      <c r="C15" s="2873"/>
      <c r="D15" s="2339" t="s">
        <v>344</v>
      </c>
      <c r="E15" s="2322"/>
      <c r="F15" s="2323" t="s">
        <v>2640</v>
      </c>
      <c r="G15" s="2322"/>
      <c r="H15" s="2324"/>
      <c r="I15" s="2323"/>
      <c r="J15" s="2325" t="s">
        <v>2366</v>
      </c>
      <c r="K15" s="2328">
        <v>0</v>
      </c>
      <c r="L15" s="214"/>
    </row>
    <row r="16" spans="1:12">
      <c r="A16" s="2345"/>
      <c r="B16" s="977" t="s">
        <v>2641</v>
      </c>
      <c r="C16" s="214"/>
      <c r="D16" s="2337"/>
      <c r="E16" s="2322"/>
      <c r="F16" s="2323" t="s">
        <v>2642</v>
      </c>
      <c r="G16" s="2322"/>
      <c r="H16" s="2327"/>
      <c r="I16" s="2323"/>
      <c r="J16" s="2322"/>
      <c r="K16" s="2323"/>
      <c r="L16" s="214"/>
    </row>
    <row r="17" spans="1:12">
      <c r="A17" s="2337"/>
      <c r="B17" s="2874" t="s">
        <v>2358</v>
      </c>
      <c r="C17" s="2870"/>
      <c r="D17" s="2339" t="s">
        <v>345</v>
      </c>
      <c r="E17" s="2322"/>
      <c r="F17" s="2323" t="s">
        <v>4101</v>
      </c>
      <c r="G17" s="2325" t="s">
        <v>198</v>
      </c>
      <c r="H17" s="2326"/>
      <c r="I17" s="2323"/>
      <c r="J17" s="2322"/>
      <c r="K17" s="2327"/>
      <c r="L17" s="214"/>
    </row>
    <row r="18" spans="1:12">
      <c r="A18" s="2337"/>
      <c r="B18" s="2874" t="s">
        <v>4102</v>
      </c>
      <c r="C18" s="2870"/>
      <c r="D18" s="2339" t="s">
        <v>346</v>
      </c>
      <c r="E18" s="2322"/>
      <c r="F18" s="2323" t="s">
        <v>2552</v>
      </c>
      <c r="G18" s="2325" t="s">
        <v>3665</v>
      </c>
      <c r="H18" s="2326"/>
      <c r="I18" s="2323"/>
      <c r="J18" s="2322" t="s">
        <v>2553</v>
      </c>
      <c r="K18" s="2327"/>
      <c r="L18" s="214"/>
    </row>
    <row r="19" spans="1:12">
      <c r="A19" s="2337"/>
      <c r="B19" s="977" t="s">
        <v>1384</v>
      </c>
      <c r="C19" s="214"/>
      <c r="D19" s="2339" t="s">
        <v>347</v>
      </c>
      <c r="E19" s="2322"/>
      <c r="F19" s="2323" t="s">
        <v>470</v>
      </c>
      <c r="G19" s="2325" t="s">
        <v>886</v>
      </c>
      <c r="H19" s="2329"/>
      <c r="I19" s="2323"/>
      <c r="J19" s="2322"/>
      <c r="K19" s="2327"/>
      <c r="L19" s="214"/>
    </row>
    <row r="20" spans="1:12">
      <c r="A20" s="2337"/>
      <c r="C20" s="214"/>
      <c r="D20" s="2339" t="s">
        <v>348</v>
      </c>
      <c r="E20" s="2322"/>
      <c r="F20" s="2323" t="s">
        <v>471</v>
      </c>
      <c r="G20" s="2322"/>
      <c r="H20" s="2327"/>
      <c r="I20" s="2323"/>
      <c r="J20" s="2325" t="s">
        <v>3622</v>
      </c>
      <c r="K20" s="2328">
        <v>0</v>
      </c>
      <c r="L20" s="214"/>
    </row>
    <row r="21" spans="1:12">
      <c r="A21" s="2339" t="s">
        <v>1687</v>
      </c>
      <c r="B21" s="2869" t="s">
        <v>472</v>
      </c>
      <c r="C21" s="2873"/>
      <c r="D21" s="2337"/>
      <c r="E21" s="2322"/>
      <c r="F21" s="2323" t="s">
        <v>473</v>
      </c>
      <c r="G21" s="2322"/>
      <c r="H21" s="2327"/>
      <c r="I21" s="2323"/>
      <c r="J21" s="2322"/>
      <c r="K21" s="2323"/>
      <c r="L21" s="214"/>
    </row>
    <row r="22" spans="1:12">
      <c r="A22" s="2337"/>
      <c r="B22" s="977" t="s">
        <v>474</v>
      </c>
      <c r="C22" s="214"/>
      <c r="D22" s="2339" t="s">
        <v>349</v>
      </c>
      <c r="E22" s="2322"/>
      <c r="F22" s="2323" t="s">
        <v>475</v>
      </c>
      <c r="G22" s="2325" t="s">
        <v>3541</v>
      </c>
      <c r="H22" s="2326"/>
      <c r="I22" s="2323"/>
      <c r="J22" s="2322"/>
      <c r="K22" s="2327"/>
      <c r="L22" s="214"/>
    </row>
    <row r="23" spans="1:12">
      <c r="A23" s="2337"/>
      <c r="C23" s="214"/>
      <c r="D23" s="2339" t="s">
        <v>350</v>
      </c>
      <c r="E23" s="2322"/>
      <c r="F23" s="2323" t="s">
        <v>2438</v>
      </c>
      <c r="G23" s="2325" t="s">
        <v>3546</v>
      </c>
      <c r="H23" s="2326"/>
      <c r="I23" s="2323"/>
      <c r="J23" s="2322"/>
      <c r="K23" s="2327"/>
      <c r="L23" s="214"/>
    </row>
    <row r="24" spans="1:12">
      <c r="A24" s="2339" t="s">
        <v>3053</v>
      </c>
      <c r="B24" s="2869" t="s">
        <v>2439</v>
      </c>
      <c r="C24" s="2873"/>
      <c r="D24" s="2339" t="s">
        <v>351</v>
      </c>
      <c r="E24" s="2322"/>
      <c r="F24" s="2323" t="s">
        <v>2440</v>
      </c>
      <c r="G24" s="2322"/>
      <c r="H24" s="2327"/>
      <c r="I24" s="2323"/>
      <c r="J24" s="2325" t="s">
        <v>1503</v>
      </c>
      <c r="K24" s="2328">
        <v>0</v>
      </c>
      <c r="L24" s="214"/>
    </row>
    <row r="25" spans="1:12">
      <c r="A25" s="2337"/>
      <c r="B25" s="2869" t="s">
        <v>1272</v>
      </c>
      <c r="C25" s="2873"/>
      <c r="D25" s="2339" t="s">
        <v>352</v>
      </c>
      <c r="E25" s="2322"/>
      <c r="F25" s="2323" t="s">
        <v>1273</v>
      </c>
      <c r="G25" s="2322"/>
      <c r="H25" s="2327"/>
      <c r="I25" s="2323"/>
      <c r="J25" s="2325" t="s">
        <v>55</v>
      </c>
      <c r="K25" s="2328">
        <v>0</v>
      </c>
      <c r="L25" s="214"/>
    </row>
    <row r="26" spans="1:12">
      <c r="A26" s="2337"/>
      <c r="B26" s="977" t="s">
        <v>2458</v>
      </c>
      <c r="C26" s="214"/>
      <c r="D26" s="2339" t="s">
        <v>353</v>
      </c>
      <c r="E26" s="2322"/>
      <c r="F26" s="2323" t="s">
        <v>2459</v>
      </c>
      <c r="G26" s="2322"/>
      <c r="H26" s="2327"/>
      <c r="I26" s="2323"/>
      <c r="J26" s="2325" t="s">
        <v>3799</v>
      </c>
      <c r="K26" s="2330">
        <v>0</v>
      </c>
      <c r="L26" s="214"/>
    </row>
    <row r="27" spans="1:12">
      <c r="A27" s="2337"/>
      <c r="B27" s="4"/>
      <c r="C27" s="214"/>
      <c r="D27" s="2347" t="s">
        <v>354</v>
      </c>
      <c r="E27" s="2331"/>
      <c r="F27" s="2332" t="s">
        <v>3800</v>
      </c>
      <c r="G27" s="2331"/>
      <c r="H27" s="2333"/>
      <c r="I27" s="2332"/>
      <c r="J27" s="2334" t="s">
        <v>3801</v>
      </c>
      <c r="K27" s="2328">
        <v>0</v>
      </c>
      <c r="L27" s="225"/>
    </row>
    <row r="28" spans="1:12">
      <c r="A28" s="2339" t="s">
        <v>2364</v>
      </c>
      <c r="B28" s="2875" t="s">
        <v>4321</v>
      </c>
      <c r="C28" s="2870"/>
      <c r="D28" s="2348"/>
      <c r="E28" s="2322"/>
      <c r="F28" s="2335" t="s">
        <v>2426</v>
      </c>
      <c r="G28" s="2322"/>
      <c r="H28" s="2327"/>
      <c r="I28" s="2323"/>
      <c r="J28" s="2322"/>
      <c r="K28" s="2323"/>
      <c r="L28" s="214"/>
    </row>
    <row r="29" spans="1:12">
      <c r="A29" s="2337"/>
      <c r="B29" s="2875" t="s">
        <v>4322</v>
      </c>
      <c r="C29" s="2870"/>
      <c r="D29" s="2339" t="s">
        <v>355</v>
      </c>
      <c r="E29" s="2322"/>
      <c r="F29" s="2323" t="s">
        <v>4068</v>
      </c>
      <c r="G29" s="2322"/>
      <c r="H29" s="2327"/>
      <c r="I29" s="2323"/>
      <c r="J29" s="2325" t="s">
        <v>4069</v>
      </c>
      <c r="K29" s="2326"/>
      <c r="L29" s="214"/>
    </row>
    <row r="30" spans="1:12">
      <c r="A30" s="2337"/>
      <c r="B30" s="2875" t="s">
        <v>4070</v>
      </c>
      <c r="C30" s="2870"/>
      <c r="D30" s="2337"/>
      <c r="E30" s="2322"/>
      <c r="F30" s="2323" t="s">
        <v>4071</v>
      </c>
      <c r="G30" s="2322"/>
      <c r="H30" s="2327"/>
      <c r="I30" s="2323"/>
      <c r="J30" s="2322"/>
      <c r="K30" s="2327"/>
      <c r="L30" s="214"/>
    </row>
    <row r="31" spans="1:12">
      <c r="A31" s="2337"/>
      <c r="C31" s="214"/>
      <c r="D31" s="2339" t="s">
        <v>356</v>
      </c>
      <c r="E31" s="2322"/>
      <c r="F31" s="2323" t="s">
        <v>4072</v>
      </c>
      <c r="G31" s="2325" t="s">
        <v>4073</v>
      </c>
      <c r="H31" s="2336"/>
      <c r="I31" s="2323"/>
      <c r="J31" s="2322"/>
      <c r="K31" s="2327"/>
      <c r="L31" s="214"/>
    </row>
    <row r="32" spans="1:12">
      <c r="A32" s="2339" t="s">
        <v>2366</v>
      </c>
      <c r="B32" s="2869" t="s">
        <v>4074</v>
      </c>
      <c r="C32" s="2873"/>
      <c r="D32" s="2347" t="s">
        <v>357</v>
      </c>
      <c r="E32" s="2331"/>
      <c r="F32" s="2332" t="s">
        <v>4075</v>
      </c>
      <c r="G32" s="2331"/>
      <c r="H32" s="2333"/>
      <c r="I32" s="2332"/>
      <c r="J32" s="2334" t="s">
        <v>4076</v>
      </c>
      <c r="K32" s="2328">
        <v>0</v>
      </c>
      <c r="L32" s="225"/>
    </row>
    <row r="33" spans="1:12">
      <c r="A33" s="2337"/>
      <c r="B33" s="2869"/>
      <c r="C33" s="2873"/>
      <c r="D33" s="2337"/>
      <c r="E33" s="2876" t="s">
        <v>4077</v>
      </c>
      <c r="F33" s="2876"/>
      <c r="G33" s="2876"/>
      <c r="H33" s="2876"/>
      <c r="I33" s="2876"/>
      <c r="J33" s="2876"/>
      <c r="K33" s="2876"/>
      <c r="L33" s="214"/>
    </row>
    <row r="34" spans="1:12">
      <c r="A34" s="2339" t="s">
        <v>198</v>
      </c>
      <c r="B34" s="2869" t="s">
        <v>3077</v>
      </c>
      <c r="C34" s="2873"/>
      <c r="D34" s="2337"/>
      <c r="L34" s="214"/>
    </row>
    <row r="35" spans="1:12">
      <c r="A35" s="2337"/>
      <c r="B35" s="2869" t="s">
        <v>1857</v>
      </c>
      <c r="C35" s="2873"/>
      <c r="D35" s="2337"/>
      <c r="G35" s="4"/>
      <c r="H35" s="4"/>
      <c r="I35" s="4"/>
      <c r="J35" s="4"/>
      <c r="K35" s="4"/>
      <c r="L35" s="214"/>
    </row>
    <row r="36" spans="1:12">
      <c r="A36" s="2337"/>
      <c r="C36" s="214"/>
      <c r="D36" s="2337"/>
      <c r="E36" t="s">
        <v>4188</v>
      </c>
      <c r="L36" s="214"/>
    </row>
    <row r="37" spans="1:12">
      <c r="A37" s="2339" t="s">
        <v>3665</v>
      </c>
      <c r="B37" s="2869" t="s">
        <v>4234</v>
      </c>
      <c r="C37" s="2873"/>
      <c r="D37" s="2337"/>
      <c r="F37" t="s">
        <v>4235</v>
      </c>
      <c r="K37" s="2362"/>
      <c r="L37" s="214"/>
    </row>
    <row r="38" spans="1:12">
      <c r="A38" s="2337"/>
      <c r="B38" s="2869" t="s">
        <v>1539</v>
      </c>
      <c r="C38" s="2873"/>
      <c r="D38" s="2337"/>
      <c r="F38" t="s">
        <v>1541</v>
      </c>
      <c r="K38" s="2362"/>
      <c r="L38" s="214"/>
    </row>
    <row r="39" spans="1:12">
      <c r="A39" s="2337"/>
      <c r="B39" s="2869" t="s">
        <v>1542</v>
      </c>
      <c r="C39" s="2873"/>
      <c r="D39" s="2337"/>
      <c r="F39" t="s">
        <v>1543</v>
      </c>
      <c r="K39" s="2362"/>
      <c r="L39" s="214"/>
    </row>
    <row r="40" spans="1:12">
      <c r="A40" s="2337"/>
      <c r="B40" s="4"/>
      <c r="C40" s="214"/>
      <c r="D40" s="2337"/>
      <c r="L40" s="214"/>
    </row>
    <row r="41" spans="1:12">
      <c r="A41" s="2339" t="s">
        <v>886</v>
      </c>
      <c r="B41" s="2869" t="s">
        <v>4351</v>
      </c>
      <c r="C41" s="2873"/>
      <c r="D41" s="2337"/>
      <c r="E41" s="977" t="s">
        <v>4352</v>
      </c>
      <c r="F41" s="4"/>
      <c r="G41" s="4"/>
      <c r="H41" s="4"/>
      <c r="I41" s="4"/>
      <c r="J41" s="4"/>
      <c r="K41" s="4"/>
      <c r="L41" s="214"/>
    </row>
    <row r="42" spans="1:12">
      <c r="A42" s="2337"/>
      <c r="B42" s="977" t="s">
        <v>4353</v>
      </c>
      <c r="C42" s="214"/>
      <c r="D42" s="2337"/>
      <c r="E42" t="s">
        <v>4354</v>
      </c>
      <c r="L42" s="214"/>
    </row>
    <row r="43" spans="1:12">
      <c r="A43" s="2337"/>
      <c r="C43" s="214"/>
      <c r="D43" s="2337"/>
      <c r="E43" s="2363"/>
      <c r="F43" s="2363"/>
      <c r="G43" s="2363"/>
      <c r="H43" s="2363"/>
      <c r="I43" s="2363"/>
      <c r="J43" s="2363"/>
      <c r="K43" s="2363"/>
      <c r="L43" s="214"/>
    </row>
    <row r="44" spans="1:12">
      <c r="A44" s="2339" t="s">
        <v>3622</v>
      </c>
      <c r="B44" s="2869" t="s">
        <v>1064</v>
      </c>
      <c r="C44" s="2873"/>
      <c r="D44" s="2337"/>
      <c r="E44" s="2363"/>
      <c r="F44" s="2363"/>
      <c r="G44" s="2363"/>
      <c r="H44" s="2363"/>
      <c r="I44" s="2363"/>
      <c r="J44" s="2363"/>
      <c r="K44" s="2363"/>
      <c r="L44" s="214"/>
    </row>
    <row r="45" spans="1:12">
      <c r="A45" s="2337"/>
      <c r="B45" s="2869" t="s">
        <v>724</v>
      </c>
      <c r="C45" s="2873"/>
      <c r="D45" s="2337"/>
      <c r="E45" s="2363"/>
      <c r="F45" s="2364"/>
      <c r="G45" s="2364"/>
      <c r="H45" s="2364"/>
      <c r="I45" s="2364"/>
      <c r="J45" s="2364"/>
      <c r="K45" s="2364"/>
      <c r="L45" s="214"/>
    </row>
    <row r="46" spans="1:12">
      <c r="A46" s="2337"/>
      <c r="B46" s="121"/>
      <c r="C46" s="214"/>
      <c r="D46" s="2337"/>
      <c r="E46" s="2869" t="s">
        <v>1874</v>
      </c>
      <c r="F46" s="2869"/>
      <c r="G46" s="2869"/>
      <c r="H46" s="2869"/>
      <c r="I46" s="2869"/>
      <c r="J46" s="2869"/>
      <c r="K46" s="2869"/>
      <c r="L46" s="214"/>
    </row>
    <row r="47" spans="1:12">
      <c r="A47" s="2340"/>
      <c r="B47" s="2876" t="s">
        <v>1875</v>
      </c>
      <c r="C47" s="2877"/>
      <c r="D47" s="2337"/>
      <c r="E47" s="2869" t="s">
        <v>1405</v>
      </c>
      <c r="F47" s="2869"/>
      <c r="G47" s="2869"/>
      <c r="H47" s="2869"/>
      <c r="I47" s="2869"/>
      <c r="J47" s="2869"/>
      <c r="K47" s="2869"/>
      <c r="L47" s="214"/>
    </row>
    <row r="48" spans="1:12">
      <c r="A48" s="2337"/>
      <c r="B48" s="2869" t="s">
        <v>2563</v>
      </c>
      <c r="C48" s="2873"/>
      <c r="D48" s="2337"/>
      <c r="E48" s="2869" t="s">
        <v>2564</v>
      </c>
      <c r="F48" s="2869"/>
      <c r="G48" s="2869"/>
      <c r="H48" s="2869"/>
      <c r="I48" s="2869"/>
      <c r="J48" s="2869"/>
      <c r="K48" s="2869"/>
      <c r="L48" s="214"/>
    </row>
    <row r="49" spans="1:12">
      <c r="A49" s="2337"/>
      <c r="B49" s="2869" t="s">
        <v>2565</v>
      </c>
      <c r="C49" s="2873"/>
      <c r="D49" s="2337"/>
      <c r="E49" s="2363"/>
      <c r="F49" s="2363"/>
      <c r="G49" s="2363"/>
      <c r="H49" s="2363"/>
      <c r="I49" s="2363"/>
      <c r="J49" s="2363"/>
      <c r="K49" s="2363"/>
      <c r="L49" s="214"/>
    </row>
    <row r="50" spans="1:12">
      <c r="A50" s="2337"/>
      <c r="B50" s="2869" t="s">
        <v>3735</v>
      </c>
      <c r="C50" s="2873"/>
      <c r="D50" s="2337"/>
      <c r="E50" s="2363"/>
      <c r="F50" s="2363"/>
      <c r="G50" s="2363"/>
      <c r="H50" s="2363"/>
      <c r="I50" s="2363"/>
      <c r="J50" s="2363"/>
      <c r="K50" s="2363"/>
      <c r="L50" s="214"/>
    </row>
    <row r="51" spans="1:12">
      <c r="A51" s="2337"/>
      <c r="B51" s="2323"/>
      <c r="C51" s="2338"/>
      <c r="D51" s="2337"/>
      <c r="E51" s="2363"/>
      <c r="F51" s="2363"/>
      <c r="G51" s="2363"/>
      <c r="H51" s="2363"/>
      <c r="I51" s="2363"/>
      <c r="J51" s="2363"/>
      <c r="K51" s="2363"/>
      <c r="L51" s="214"/>
    </row>
    <row r="52" spans="1:12">
      <c r="A52" s="2337"/>
      <c r="B52" s="2346"/>
      <c r="C52" s="2338"/>
      <c r="D52" s="2337"/>
      <c r="E52" s="977" t="s">
        <v>670</v>
      </c>
      <c r="F52" s="4"/>
      <c r="G52" s="4"/>
      <c r="H52" s="4"/>
      <c r="I52" s="4"/>
      <c r="J52" s="4"/>
      <c r="K52" s="4"/>
      <c r="L52" s="214"/>
    </row>
    <row r="53" spans="1:12">
      <c r="A53" s="2337"/>
      <c r="B53" s="2346"/>
      <c r="C53" s="2338"/>
      <c r="D53" s="2337"/>
      <c r="F53" t="s">
        <v>671</v>
      </c>
      <c r="K53" s="2365"/>
      <c r="L53" s="214"/>
    </row>
    <row r="54" spans="1:12">
      <c r="A54" s="2337"/>
      <c r="B54" s="2323"/>
      <c r="C54" s="2338"/>
      <c r="D54" s="2337"/>
      <c r="F54" t="s">
        <v>672</v>
      </c>
      <c r="K54" s="2362"/>
      <c r="L54" s="214"/>
    </row>
    <row r="55" spans="1:12">
      <c r="A55" s="2337"/>
      <c r="B55" s="2323"/>
      <c r="C55" s="2338"/>
      <c r="D55" s="2337"/>
      <c r="F55" t="s">
        <v>673</v>
      </c>
      <c r="K55" s="2362"/>
      <c r="L55" s="214"/>
    </row>
    <row r="56" spans="1:12">
      <c r="A56" s="2337"/>
      <c r="B56" s="2323"/>
      <c r="C56" s="2338"/>
      <c r="D56" s="2337"/>
      <c r="K56" s="2363"/>
      <c r="L56" s="214"/>
    </row>
    <row r="57" spans="1:12">
      <c r="A57" s="2337"/>
      <c r="B57" s="2323"/>
      <c r="C57" s="2338"/>
      <c r="D57" s="2337"/>
      <c r="E57" s="2323"/>
      <c r="F57" s="2323"/>
      <c r="G57" s="2323"/>
      <c r="H57" s="2323"/>
      <c r="I57" s="2323"/>
      <c r="J57" s="2323"/>
      <c r="K57" s="2323"/>
      <c r="L57" s="214"/>
    </row>
    <row r="58" spans="1:12">
      <c r="A58" s="2337"/>
      <c r="B58" s="2323"/>
      <c r="C58" s="2338"/>
      <c r="D58" s="2337"/>
      <c r="E58" s="2323"/>
      <c r="F58" s="2327"/>
      <c r="G58" s="2327"/>
      <c r="H58" s="2327"/>
      <c r="I58" s="2327"/>
      <c r="J58" s="2327"/>
      <c r="K58" s="2327"/>
      <c r="L58" s="214"/>
    </row>
    <row r="59" spans="1:12" ht="15.75" thickBot="1">
      <c r="A59" s="2349"/>
      <c r="B59" s="2350"/>
      <c r="C59" s="2351"/>
      <c r="D59" s="2349"/>
      <c r="E59" s="2350"/>
      <c r="F59" s="2352"/>
      <c r="G59" s="2352"/>
      <c r="H59" s="2352"/>
      <c r="I59" s="2352"/>
      <c r="J59" s="2352"/>
      <c r="K59" s="2352"/>
      <c r="L59" s="217"/>
    </row>
    <row r="60" spans="1:12">
      <c r="A60" t="s">
        <v>1385</v>
      </c>
      <c r="C60" s="213"/>
      <c r="D60" t="s">
        <v>1385</v>
      </c>
      <c r="K60" t="s">
        <v>218</v>
      </c>
    </row>
    <row r="61" spans="1:12">
      <c r="A61" s="4" t="s">
        <v>3894</v>
      </c>
      <c r="B61" s="4"/>
      <c r="C61" s="4"/>
      <c r="D61" s="4" t="s">
        <v>1702</v>
      </c>
      <c r="E61" s="4"/>
      <c r="F61" s="4"/>
      <c r="G61" s="4"/>
      <c r="H61" s="4"/>
      <c r="I61" s="4"/>
      <c r="J61" s="4"/>
      <c r="K61" s="4"/>
      <c r="L61" s="4"/>
    </row>
    <row r="62" spans="1:12">
      <c r="D62" s="600"/>
    </row>
    <row r="63" spans="1:12">
      <c r="B63" s="4"/>
      <c r="C63" s="4"/>
      <c r="D63" s="4"/>
    </row>
    <row r="65" spans="1:6">
      <c r="B65" s="108"/>
    </row>
    <row r="66" spans="1:6">
      <c r="F66" s="108"/>
    </row>
    <row r="68" spans="1:6">
      <c r="B68" s="108"/>
    </row>
    <row r="69" spans="1:6">
      <c r="B69" s="108"/>
      <c r="F69" s="108"/>
    </row>
    <row r="70" spans="1:6" ht="15.75">
      <c r="A70" s="3" t="s">
        <v>3741</v>
      </c>
      <c r="B70" s="5"/>
      <c r="C70" s="4"/>
      <c r="E70" s="600"/>
      <c r="F70" s="108"/>
    </row>
    <row r="71" spans="1:6">
      <c r="B71" s="108"/>
      <c r="F71" s="108"/>
    </row>
    <row r="72" spans="1:6">
      <c r="B72" s="108"/>
      <c r="F72" s="108"/>
    </row>
    <row r="73" spans="1:6">
      <c r="B73" s="108"/>
    </row>
    <row r="76" spans="1:6" ht="18.75" thickBot="1">
      <c r="A76" s="14" t="s">
        <v>218</v>
      </c>
      <c r="B76" s="882"/>
    </row>
    <row r="77" spans="1:6" ht="18">
      <c r="A77" s="883"/>
      <c r="B77" s="884"/>
      <c r="C77" s="82"/>
    </row>
    <row r="78" spans="1:6" ht="15.75">
      <c r="A78" s="118" t="s">
        <v>1021</v>
      </c>
      <c r="B78" s="4"/>
      <c r="C78" s="119"/>
    </row>
    <row r="79" spans="1:6">
      <c r="A79" s="83"/>
      <c r="C79" s="214"/>
    </row>
    <row r="80" spans="1:6">
      <c r="A80" s="83"/>
      <c r="B80" s="4"/>
      <c r="C80" s="214"/>
    </row>
    <row r="81" spans="1:3">
      <c r="A81" s="83"/>
      <c r="B81" s="4"/>
      <c r="C81" s="214"/>
    </row>
    <row r="82" spans="1:3">
      <c r="A82" s="83"/>
      <c r="B82" s="4"/>
      <c r="C82" s="214"/>
    </row>
    <row r="83" spans="1:3">
      <c r="A83" s="456"/>
      <c r="B83" s="322"/>
      <c r="C83" s="243"/>
    </row>
    <row r="84" spans="1:3">
      <c r="A84" s="83"/>
      <c r="B84" s="4"/>
      <c r="C84" s="214"/>
    </row>
    <row r="85" spans="1:3">
      <c r="A85" s="83"/>
      <c r="C85" s="214"/>
    </row>
    <row r="86" spans="1:3">
      <c r="A86" s="83"/>
      <c r="C86" s="214"/>
    </row>
    <row r="87" spans="1:3">
      <c r="A87" s="83"/>
      <c r="B87" s="4"/>
      <c r="C87" s="214"/>
    </row>
    <row r="88" spans="1:3">
      <c r="A88" s="83"/>
      <c r="B88" s="4"/>
      <c r="C88" s="214"/>
    </row>
    <row r="89" spans="1:3">
      <c r="A89" s="83"/>
      <c r="B89" s="4"/>
      <c r="C89" s="214"/>
    </row>
    <row r="90" spans="1:3">
      <c r="A90" s="83"/>
      <c r="B90" s="4"/>
      <c r="C90" s="214"/>
    </row>
    <row r="91" spans="1:3">
      <c r="A91" s="83"/>
      <c r="B91" s="4"/>
      <c r="C91" s="214"/>
    </row>
    <row r="92" spans="1:3">
      <c r="A92" s="83"/>
      <c r="B92" s="4"/>
      <c r="C92" s="214"/>
    </row>
    <row r="93" spans="1:3">
      <c r="A93" s="83"/>
      <c r="B93" s="4"/>
      <c r="C93" s="214"/>
    </row>
    <row r="94" spans="1:3">
      <c r="A94" s="83"/>
      <c r="B94" s="4"/>
      <c r="C94" s="214"/>
    </row>
    <row r="95" spans="1:3">
      <c r="A95" s="83"/>
      <c r="C95" s="214"/>
    </row>
    <row r="96" spans="1:3">
      <c r="A96" s="83"/>
      <c r="B96" s="4"/>
      <c r="C96" s="214"/>
    </row>
    <row r="97" spans="1:3">
      <c r="A97" s="83"/>
      <c r="B97" s="4"/>
      <c r="C97" s="214"/>
    </row>
    <row r="98" spans="1:3">
      <c r="A98" s="83"/>
      <c r="C98" s="214"/>
    </row>
    <row r="99" spans="1:3">
      <c r="A99" s="83"/>
      <c r="B99" s="4"/>
      <c r="C99" s="214"/>
    </row>
    <row r="100" spans="1:3">
      <c r="A100" s="83"/>
      <c r="B100" s="4"/>
      <c r="C100" s="214"/>
    </row>
    <row r="101" spans="1:3">
      <c r="A101" s="83"/>
      <c r="B101" s="4"/>
      <c r="C101" s="214"/>
    </row>
    <row r="102" spans="1:3">
      <c r="A102" s="83"/>
      <c r="B102" s="4"/>
      <c r="C102" s="214"/>
    </row>
    <row r="103" spans="1:3">
      <c r="A103" s="83"/>
      <c r="C103" s="214"/>
    </row>
    <row r="104" spans="1:3">
      <c r="A104" s="83"/>
      <c r="C104" s="214"/>
    </row>
    <row r="105" spans="1:3">
      <c r="A105" s="83"/>
      <c r="C105" s="214"/>
    </row>
    <row r="106" spans="1:3">
      <c r="A106" s="83"/>
      <c r="C106" s="214"/>
    </row>
    <row r="107" spans="1:3">
      <c r="A107" s="83"/>
      <c r="B107" s="4"/>
      <c r="C107" s="214"/>
    </row>
    <row r="108" spans="1:3">
      <c r="A108" s="83"/>
      <c r="C108" s="214"/>
    </row>
    <row r="109" spans="1:3">
      <c r="A109" s="83"/>
      <c r="B109" s="4"/>
      <c r="C109" s="214"/>
    </row>
    <row r="110" spans="1:3">
      <c r="A110" s="83"/>
      <c r="B110" s="4"/>
      <c r="C110" s="214"/>
    </row>
    <row r="111" spans="1:3">
      <c r="A111" s="83"/>
      <c r="C111" s="214"/>
    </row>
    <row r="112" spans="1:3">
      <c r="A112" s="83"/>
      <c r="B112" s="4"/>
      <c r="C112" s="214"/>
    </row>
    <row r="113" spans="1:3">
      <c r="A113" s="83"/>
      <c r="B113" s="4"/>
      <c r="C113" s="214"/>
    </row>
    <row r="114" spans="1:3">
      <c r="A114" s="83"/>
      <c r="B114" s="4"/>
      <c r="C114" s="214"/>
    </row>
    <row r="115" spans="1:3">
      <c r="A115" s="83"/>
      <c r="B115" s="4"/>
      <c r="C115" s="214"/>
    </row>
    <row r="116" spans="1:3">
      <c r="A116" s="83"/>
      <c r="B116" s="4"/>
      <c r="C116" s="214"/>
    </row>
    <row r="117" spans="1:3">
      <c r="A117" s="83"/>
      <c r="B117" s="4"/>
      <c r="C117" s="214"/>
    </row>
    <row r="118" spans="1:3">
      <c r="A118" s="83"/>
      <c r="C118" s="214"/>
    </row>
    <row r="119" spans="1:3">
      <c r="A119" s="83"/>
      <c r="B119" s="4"/>
      <c r="C119" s="214"/>
    </row>
    <row r="120" spans="1:3">
      <c r="A120" s="83"/>
      <c r="B120" s="4"/>
      <c r="C120" s="214"/>
    </row>
    <row r="121" spans="1:3">
      <c r="A121" s="83"/>
      <c r="B121" s="4"/>
      <c r="C121" s="214"/>
    </row>
    <row r="122" spans="1:3">
      <c r="A122" s="83"/>
      <c r="C122" s="214"/>
    </row>
    <row r="123" spans="1:3">
      <c r="A123" s="83"/>
      <c r="B123" s="4"/>
      <c r="C123" s="214"/>
    </row>
    <row r="124" spans="1:3">
      <c r="A124" s="83"/>
      <c r="B124" s="4"/>
      <c r="C124" s="214"/>
    </row>
    <row r="125" spans="1:3">
      <c r="A125" s="83"/>
      <c r="B125" s="4"/>
      <c r="C125" s="214"/>
    </row>
    <row r="126" spans="1:3">
      <c r="A126" s="83"/>
      <c r="B126" s="4"/>
      <c r="C126" s="214"/>
    </row>
    <row r="127" spans="1:3">
      <c r="A127" s="83"/>
      <c r="B127" s="4"/>
      <c r="C127" s="214"/>
    </row>
    <row r="128" spans="1:3">
      <c r="A128" s="83"/>
      <c r="B128" s="4"/>
      <c r="C128" s="214"/>
    </row>
    <row r="129" spans="1:3">
      <c r="A129" s="83"/>
      <c r="C129" s="214"/>
    </row>
    <row r="130" spans="1:3">
      <c r="A130" s="83"/>
      <c r="C130" s="214"/>
    </row>
    <row r="131" spans="1:3">
      <c r="A131" s="83"/>
      <c r="C131" s="214"/>
    </row>
    <row r="132" spans="1:3">
      <c r="A132" s="83"/>
      <c r="C132" s="214"/>
    </row>
    <row r="133" spans="1:3">
      <c r="A133" s="83"/>
      <c r="C133" s="214"/>
    </row>
    <row r="134" spans="1:3">
      <c r="A134" s="83"/>
      <c r="C134" s="214"/>
    </row>
    <row r="135" spans="1:3">
      <c r="A135" s="83"/>
      <c r="C135" s="214"/>
    </row>
    <row r="136" spans="1:3">
      <c r="A136" s="83"/>
      <c r="C136" s="214"/>
    </row>
    <row r="137" spans="1:3">
      <c r="A137" s="83"/>
      <c r="C137" s="214"/>
    </row>
    <row r="138" spans="1:3">
      <c r="A138" s="83"/>
      <c r="C138" s="214"/>
    </row>
    <row r="139" spans="1:3">
      <c r="A139" s="83"/>
      <c r="C139" s="214"/>
    </row>
    <row r="140" spans="1:3" ht="15.75" thickBot="1">
      <c r="A140" s="124"/>
      <c r="B140" s="125"/>
      <c r="C140" s="217"/>
    </row>
    <row r="141" spans="1:3">
      <c r="A141" t="s">
        <v>2024</v>
      </c>
      <c r="C141" s="4"/>
    </row>
    <row r="142" spans="1:3">
      <c r="A142" s="4" t="s">
        <v>676</v>
      </c>
      <c r="B142" s="4"/>
      <c r="C142" s="4"/>
    </row>
    <row r="146" spans="2:2">
      <c r="B146" s="108"/>
    </row>
    <row r="149" spans="2:2">
      <c r="B149" s="108"/>
    </row>
    <row r="150" spans="2:2">
      <c r="B150" s="108"/>
    </row>
    <row r="151" spans="2:2">
      <c r="B151" s="108"/>
    </row>
    <row r="152" spans="2:2">
      <c r="B152" s="108"/>
    </row>
    <row r="153" spans="2:2">
      <c r="B153" s="108"/>
    </row>
    <row r="154" spans="2:2">
      <c r="B154" s="108"/>
    </row>
  </sheetData>
  <mergeCells count="34">
    <mergeCell ref="E46:K46"/>
    <mergeCell ref="E47:K47"/>
    <mergeCell ref="E48:K48"/>
    <mergeCell ref="B5:C5"/>
    <mergeCell ref="B6:C6"/>
    <mergeCell ref="B7:C7"/>
    <mergeCell ref="B15:C15"/>
    <mergeCell ref="B9:C9"/>
    <mergeCell ref="B14:C14"/>
    <mergeCell ref="B12:C12"/>
    <mergeCell ref="B8:C8"/>
    <mergeCell ref="B29:C29"/>
    <mergeCell ref="B30:C30"/>
    <mergeCell ref="B17:C17"/>
    <mergeCell ref="B24:C24"/>
    <mergeCell ref="B18:C18"/>
    <mergeCell ref="B50:C50"/>
    <mergeCell ref="B49:C49"/>
    <mergeCell ref="B41:C41"/>
    <mergeCell ref="B37:C37"/>
    <mergeCell ref="B34:C34"/>
    <mergeCell ref="B47:C47"/>
    <mergeCell ref="B48:C48"/>
    <mergeCell ref="B44:C44"/>
    <mergeCell ref="B39:C39"/>
    <mergeCell ref="B45:C45"/>
    <mergeCell ref="B38:C38"/>
    <mergeCell ref="B35:C35"/>
    <mergeCell ref="B25:C25"/>
    <mergeCell ref="E33:K33"/>
    <mergeCell ref="B33:C33"/>
    <mergeCell ref="B21:C21"/>
    <mergeCell ref="B28:C28"/>
    <mergeCell ref="B32:C32"/>
  </mergeCells>
  <phoneticPr fontId="0" type="noConversion"/>
  <printOptions horizontalCentered="1" verticalCentered="1"/>
  <pageMargins left="0.4" right="0.4" top="0.3" bottom="0.3" header="0" footer="0"/>
  <pageSetup scale="70" fitToWidth="2" orientation="portrait" r:id="rId1"/>
  <headerFooter alignWithMargins="0"/>
  <colBreaks count="1" manualBreakCount="1">
    <brk id="3" max="60"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ransitionEvaluation="1"/>
  <dimension ref="A1:L154"/>
  <sheetViews>
    <sheetView defaultGridColor="0" colorId="22" zoomScale="90" zoomScaleNormal="90" workbookViewId="0">
      <selection activeCell="B24" sqref="B24:C24"/>
    </sheetView>
  </sheetViews>
  <sheetFormatPr defaultColWidth="9.77734375" defaultRowHeight="15"/>
  <cols>
    <col min="1" max="1" width="4.77734375" customWidth="1"/>
    <col min="2" max="2" width="50.77734375" customWidth="1"/>
    <col min="3" max="3" width="55.33203125" customWidth="1"/>
    <col min="4" max="4" width="4.77734375" customWidth="1"/>
    <col min="5" max="5" width="1.77734375" customWidth="1"/>
    <col min="6" max="6" width="70.21875" customWidth="1"/>
    <col min="7" max="7" width="3.77734375" customWidth="1"/>
    <col min="8" max="8" width="13.77734375" customWidth="1"/>
    <col min="9" max="9" width="1.77734375" customWidth="1"/>
    <col min="10" max="10" width="3.77734375" customWidth="1"/>
    <col min="11" max="11" width="13.77734375" customWidth="1"/>
    <col min="12" max="12" width="1.77734375" customWidth="1"/>
  </cols>
  <sheetData>
    <row r="1" spans="1:12" ht="18.75" thickBot="1">
      <c r="A1" s="86" t="s">
        <v>5234</v>
      </c>
      <c r="B1" s="882"/>
      <c r="C1" s="86" t="str">
        <f>+'359b360b'!C1</f>
        <v xml:space="preserve">                                                        Year Ended  December 31, 2023</v>
      </c>
      <c r="D1" t="s">
        <v>5234</v>
      </c>
      <c r="E1" s="876"/>
      <c r="F1" s="876"/>
      <c r="G1" s="876"/>
      <c r="I1" s="876"/>
      <c r="J1" s="876"/>
      <c r="K1" s="2589" t="str">
        <f>+C1</f>
        <v xml:space="preserve">                                                        Year Ended  December 31, 2023</v>
      </c>
      <c r="L1" s="2589"/>
    </row>
    <row r="2" spans="1:12" ht="15.75">
      <c r="A2" s="2270" t="s">
        <v>4978</v>
      </c>
      <c r="B2" s="2271"/>
      <c r="C2" s="2272"/>
      <c r="D2" s="2270" t="s">
        <v>4978</v>
      </c>
      <c r="E2" s="2271"/>
      <c r="F2" s="2271"/>
      <c r="G2" s="2271"/>
      <c r="H2" s="2271"/>
      <c r="I2" s="2271"/>
      <c r="J2" s="2271"/>
      <c r="K2" s="2271"/>
      <c r="L2" s="879"/>
    </row>
    <row r="3" spans="1:12" ht="15.75">
      <c r="A3" s="2273" t="s">
        <v>4710</v>
      </c>
      <c r="B3" s="2274"/>
      <c r="C3" s="2275"/>
      <c r="D3" s="2273" t="s">
        <v>1021</v>
      </c>
      <c r="E3" s="2321"/>
      <c r="F3" s="2321"/>
      <c r="G3" s="2321"/>
      <c r="H3" s="2321"/>
      <c r="I3" s="2321"/>
      <c r="J3" s="2321"/>
      <c r="K3" s="2321"/>
      <c r="L3" s="725"/>
    </row>
    <row r="4" spans="1:12">
      <c r="A4" s="2337"/>
      <c r="B4" s="2581"/>
      <c r="C4" s="2582"/>
      <c r="D4" s="2337"/>
      <c r="E4" s="2323"/>
      <c r="F4" s="2323"/>
      <c r="G4" s="2323"/>
      <c r="H4" s="2323"/>
      <c r="I4" s="2323"/>
      <c r="J4" s="2323"/>
      <c r="K4" s="2323"/>
      <c r="L4" s="214"/>
    </row>
    <row r="5" spans="1:12">
      <c r="A5" s="2339" t="s">
        <v>284</v>
      </c>
      <c r="B5" s="2878" t="s">
        <v>2244</v>
      </c>
      <c r="C5" s="2879"/>
      <c r="D5" s="2340"/>
      <c r="E5" s="2341"/>
      <c r="F5" s="2342"/>
      <c r="G5" s="2341"/>
      <c r="H5" s="2342"/>
      <c r="I5" s="2342"/>
      <c r="J5" s="2341"/>
      <c r="K5" s="2342"/>
      <c r="L5" s="243"/>
    </row>
    <row r="6" spans="1:12">
      <c r="A6" s="2337"/>
      <c r="B6" s="2878" t="s">
        <v>3748</v>
      </c>
      <c r="C6" s="2879"/>
      <c r="D6" s="2339" t="s">
        <v>1727</v>
      </c>
      <c r="E6" s="2322"/>
      <c r="F6" s="2335" t="s">
        <v>3749</v>
      </c>
      <c r="G6" s="2322"/>
      <c r="H6" s="2323" t="s">
        <v>218</v>
      </c>
      <c r="I6" s="2323"/>
      <c r="J6" s="2322"/>
      <c r="K6" s="2323" t="s">
        <v>218</v>
      </c>
      <c r="L6" s="214"/>
    </row>
    <row r="7" spans="1:12">
      <c r="A7" s="2337"/>
      <c r="B7" s="2878" t="s">
        <v>3750</v>
      </c>
      <c r="C7" s="2879"/>
      <c r="D7" s="2339" t="s">
        <v>1739</v>
      </c>
      <c r="E7" s="2322"/>
      <c r="F7" s="2335" t="s">
        <v>3279</v>
      </c>
      <c r="G7" s="2322"/>
      <c r="H7" s="2335" t="s">
        <v>3280</v>
      </c>
      <c r="I7" s="2323"/>
      <c r="J7" s="2322"/>
      <c r="K7" s="2335" t="s">
        <v>3281</v>
      </c>
      <c r="L7" s="214"/>
    </row>
    <row r="8" spans="1:12">
      <c r="A8" s="2337"/>
      <c r="B8" s="2878" t="s">
        <v>519</v>
      </c>
      <c r="C8" s="2879"/>
      <c r="D8" s="2343"/>
      <c r="E8" s="2331"/>
      <c r="F8" s="2332"/>
      <c r="G8" s="2331"/>
      <c r="H8" s="2332"/>
      <c r="I8" s="2332"/>
      <c r="J8" s="2331"/>
      <c r="K8" s="2332"/>
      <c r="L8" s="225"/>
    </row>
    <row r="9" spans="1:12">
      <c r="A9" s="2337"/>
      <c r="B9" s="2878" t="s">
        <v>658</v>
      </c>
      <c r="C9" s="2879"/>
      <c r="D9" s="2337"/>
      <c r="E9" s="2322"/>
      <c r="F9" s="2335" t="s">
        <v>3453</v>
      </c>
      <c r="G9" s="2322"/>
      <c r="H9" s="2323"/>
      <c r="I9" s="2323"/>
      <c r="J9" s="2322"/>
      <c r="K9" s="2344"/>
      <c r="L9" s="214"/>
    </row>
    <row r="10" spans="1:12">
      <c r="A10" s="2337"/>
      <c r="B10" s="2581" t="s">
        <v>659</v>
      </c>
      <c r="C10" s="2582"/>
      <c r="D10" s="2339" t="s">
        <v>340</v>
      </c>
      <c r="E10" s="2322"/>
      <c r="F10" s="2323" t="s">
        <v>660</v>
      </c>
      <c r="G10" s="2322"/>
      <c r="H10" s="2324"/>
      <c r="I10" s="2323"/>
      <c r="J10" s="2325" t="s">
        <v>284</v>
      </c>
      <c r="K10" s="2326"/>
      <c r="L10" s="214"/>
    </row>
    <row r="11" spans="1:12">
      <c r="A11" s="2337"/>
      <c r="B11" s="2581" t="s">
        <v>661</v>
      </c>
      <c r="C11" s="2582"/>
      <c r="D11" s="2339" t="s">
        <v>341</v>
      </c>
      <c r="E11" s="2322"/>
      <c r="F11" s="2323" t="s">
        <v>662</v>
      </c>
      <c r="G11" s="2322"/>
      <c r="H11" s="2324"/>
      <c r="I11" s="2323"/>
      <c r="J11" s="2325" t="s">
        <v>1687</v>
      </c>
      <c r="K11" s="2326"/>
      <c r="L11" s="214"/>
    </row>
    <row r="12" spans="1:12">
      <c r="A12" s="2337"/>
      <c r="B12" s="2878" t="s">
        <v>3369</v>
      </c>
      <c r="C12" s="2879"/>
      <c r="D12" s="2337"/>
      <c r="E12" s="2322"/>
      <c r="F12" s="2323" t="s">
        <v>3370</v>
      </c>
      <c r="G12" s="2322"/>
      <c r="H12" s="2327"/>
      <c r="I12" s="2323"/>
      <c r="J12" s="2322"/>
      <c r="K12" s="2327"/>
      <c r="L12" s="214"/>
    </row>
    <row r="13" spans="1:12">
      <c r="A13" s="2337"/>
      <c r="B13" s="2583" t="s">
        <v>2405</v>
      </c>
      <c r="C13" s="2582"/>
      <c r="D13" s="2339" t="s">
        <v>342</v>
      </c>
      <c r="E13" s="2322"/>
      <c r="F13" s="2323" t="s">
        <v>2406</v>
      </c>
      <c r="G13" s="2325" t="s">
        <v>3053</v>
      </c>
      <c r="H13" s="2326"/>
      <c r="I13" s="2323"/>
      <c r="J13" s="2322"/>
      <c r="K13" s="2327"/>
      <c r="L13" s="214"/>
    </row>
    <row r="14" spans="1:12">
      <c r="A14" s="2337"/>
      <c r="B14" s="2878" t="s">
        <v>1157</v>
      </c>
      <c r="C14" s="2879"/>
      <c r="D14" s="2339" t="s">
        <v>343</v>
      </c>
      <c r="E14" s="2322"/>
      <c r="F14" s="2323" t="s">
        <v>1158</v>
      </c>
      <c r="G14" s="2325" t="s">
        <v>2364</v>
      </c>
      <c r="H14" s="2326"/>
      <c r="I14" s="2323"/>
      <c r="J14" s="2322"/>
      <c r="K14" s="2327"/>
      <c r="L14" s="214"/>
    </row>
    <row r="15" spans="1:12">
      <c r="A15" s="2337"/>
      <c r="B15" s="2878" t="s">
        <v>1159</v>
      </c>
      <c r="C15" s="2879"/>
      <c r="D15" s="2339" t="s">
        <v>344</v>
      </c>
      <c r="E15" s="2322"/>
      <c r="F15" s="2323" t="s">
        <v>2640</v>
      </c>
      <c r="G15" s="2322"/>
      <c r="H15" s="2324"/>
      <c r="I15" s="2323"/>
      <c r="J15" s="2325" t="s">
        <v>2366</v>
      </c>
      <c r="K15" s="2328">
        <v>0</v>
      </c>
      <c r="L15" s="214"/>
    </row>
    <row r="16" spans="1:12">
      <c r="A16" s="2345"/>
      <c r="B16" s="2583" t="s">
        <v>2641</v>
      </c>
      <c r="C16" s="2582"/>
      <c r="D16" s="2337"/>
      <c r="E16" s="2322"/>
      <c r="F16" s="2323" t="s">
        <v>2642</v>
      </c>
      <c r="G16" s="2322"/>
      <c r="H16" s="2327"/>
      <c r="I16" s="2323"/>
      <c r="J16" s="2322"/>
      <c r="K16" s="2323"/>
      <c r="L16" s="214"/>
    </row>
    <row r="17" spans="1:12">
      <c r="A17" s="2337"/>
      <c r="B17" s="2880" t="s">
        <v>2358</v>
      </c>
      <c r="C17" s="2881"/>
      <c r="D17" s="2339" t="s">
        <v>345</v>
      </c>
      <c r="E17" s="2322"/>
      <c r="F17" s="2323" t="s">
        <v>4101</v>
      </c>
      <c r="G17" s="2325" t="s">
        <v>198</v>
      </c>
      <c r="H17" s="2326"/>
      <c r="I17" s="2323"/>
      <c r="J17" s="2322"/>
      <c r="K17" s="2327"/>
      <c r="L17" s="214"/>
    </row>
    <row r="18" spans="1:12">
      <c r="A18" s="2337"/>
      <c r="B18" s="2880" t="s">
        <v>4102</v>
      </c>
      <c r="C18" s="2881"/>
      <c r="D18" s="2339" t="s">
        <v>346</v>
      </c>
      <c r="E18" s="2322"/>
      <c r="F18" s="2323" t="s">
        <v>2552</v>
      </c>
      <c r="G18" s="2325" t="s">
        <v>3665</v>
      </c>
      <c r="H18" s="2326"/>
      <c r="I18" s="2323"/>
      <c r="J18" s="2322" t="s">
        <v>2553</v>
      </c>
      <c r="K18" s="2327"/>
      <c r="L18" s="214"/>
    </row>
    <row r="19" spans="1:12">
      <c r="A19" s="2337"/>
      <c r="B19" s="2583" t="s">
        <v>1384</v>
      </c>
      <c r="C19" s="2582"/>
      <c r="D19" s="2339" t="s">
        <v>347</v>
      </c>
      <c r="E19" s="2322"/>
      <c r="F19" s="2323" t="s">
        <v>470</v>
      </c>
      <c r="G19" s="2325" t="s">
        <v>886</v>
      </c>
      <c r="H19" s="2329"/>
      <c r="I19" s="2323"/>
      <c r="J19" s="2322"/>
      <c r="K19" s="2327"/>
      <c r="L19" s="214"/>
    </row>
    <row r="20" spans="1:12">
      <c r="A20" s="2337"/>
      <c r="B20" s="2581"/>
      <c r="C20" s="2582"/>
      <c r="D20" s="2339" t="s">
        <v>348</v>
      </c>
      <c r="E20" s="2322"/>
      <c r="F20" s="2323" t="s">
        <v>471</v>
      </c>
      <c r="G20" s="2322"/>
      <c r="H20" s="2327"/>
      <c r="I20" s="2323"/>
      <c r="J20" s="2325" t="s">
        <v>3622</v>
      </c>
      <c r="K20" s="2328">
        <v>0</v>
      </c>
      <c r="L20" s="214"/>
    </row>
    <row r="21" spans="1:12">
      <c r="A21" s="2339" t="s">
        <v>1687</v>
      </c>
      <c r="B21" s="2878" t="s">
        <v>472</v>
      </c>
      <c r="C21" s="2879"/>
      <c r="D21" s="2337"/>
      <c r="E21" s="2322"/>
      <c r="F21" s="2323" t="s">
        <v>473</v>
      </c>
      <c r="G21" s="2322"/>
      <c r="H21" s="2327"/>
      <c r="I21" s="2323"/>
      <c r="J21" s="2322"/>
      <c r="K21" s="2323"/>
      <c r="L21" s="214"/>
    </row>
    <row r="22" spans="1:12">
      <c r="A22" s="2337"/>
      <c r="B22" s="2583" t="s">
        <v>474</v>
      </c>
      <c r="C22" s="2582"/>
      <c r="D22" s="2339" t="s">
        <v>349</v>
      </c>
      <c r="E22" s="2322"/>
      <c r="F22" s="2323" t="s">
        <v>475</v>
      </c>
      <c r="G22" s="2325" t="s">
        <v>3541</v>
      </c>
      <c r="H22" s="2326"/>
      <c r="I22" s="2323"/>
      <c r="J22" s="2322"/>
      <c r="K22" s="2327"/>
      <c r="L22" s="214"/>
    </row>
    <row r="23" spans="1:12">
      <c r="A23" s="2337"/>
      <c r="B23" s="2581"/>
      <c r="C23" s="2582"/>
      <c r="D23" s="2339" t="s">
        <v>350</v>
      </c>
      <c r="E23" s="2322"/>
      <c r="F23" s="2323" t="s">
        <v>2438</v>
      </c>
      <c r="G23" s="2325" t="s">
        <v>3546</v>
      </c>
      <c r="H23" s="2326"/>
      <c r="I23" s="2323"/>
      <c r="J23" s="2322"/>
      <c r="K23" s="2327"/>
      <c r="L23" s="214"/>
    </row>
    <row r="24" spans="1:12">
      <c r="A24" s="2339" t="s">
        <v>3053</v>
      </c>
      <c r="B24" s="2878" t="s">
        <v>2439</v>
      </c>
      <c r="C24" s="2879"/>
      <c r="D24" s="2339" t="s">
        <v>351</v>
      </c>
      <c r="E24" s="2322"/>
      <c r="F24" s="2323" t="s">
        <v>2440</v>
      </c>
      <c r="G24" s="2322"/>
      <c r="H24" s="2327"/>
      <c r="I24" s="2323"/>
      <c r="J24" s="2325" t="s">
        <v>1503</v>
      </c>
      <c r="K24" s="2328">
        <v>0</v>
      </c>
      <c r="L24" s="214"/>
    </row>
    <row r="25" spans="1:12">
      <c r="A25" s="2337"/>
      <c r="B25" s="2878" t="s">
        <v>1272</v>
      </c>
      <c r="C25" s="2879"/>
      <c r="D25" s="2339" t="s">
        <v>352</v>
      </c>
      <c r="E25" s="2322"/>
      <c r="F25" s="2323" t="s">
        <v>1273</v>
      </c>
      <c r="G25" s="2322"/>
      <c r="H25" s="2327"/>
      <c r="I25" s="2323"/>
      <c r="J25" s="2325" t="s">
        <v>55</v>
      </c>
      <c r="K25" s="2328">
        <v>0</v>
      </c>
      <c r="L25" s="214"/>
    </row>
    <row r="26" spans="1:12">
      <c r="A26" s="2337"/>
      <c r="B26" s="2583" t="s">
        <v>2458</v>
      </c>
      <c r="C26" s="2582"/>
      <c r="D26" s="2339" t="s">
        <v>353</v>
      </c>
      <c r="E26" s="2322"/>
      <c r="F26" s="2323" t="s">
        <v>2459</v>
      </c>
      <c r="G26" s="2322"/>
      <c r="H26" s="2327"/>
      <c r="I26" s="2323"/>
      <c r="J26" s="2325" t="s">
        <v>3799</v>
      </c>
      <c r="K26" s="2330">
        <v>0</v>
      </c>
      <c r="L26" s="214"/>
    </row>
    <row r="27" spans="1:12">
      <c r="A27" s="2337"/>
      <c r="B27" s="2274"/>
      <c r="C27" s="2582"/>
      <c r="D27" s="2347" t="s">
        <v>354</v>
      </c>
      <c r="E27" s="2331"/>
      <c r="F27" s="2332" t="s">
        <v>3800</v>
      </c>
      <c r="G27" s="2331"/>
      <c r="H27" s="2333"/>
      <c r="I27" s="2332"/>
      <c r="J27" s="2334" t="s">
        <v>3801</v>
      </c>
      <c r="K27" s="2328">
        <v>0</v>
      </c>
      <c r="L27" s="225"/>
    </row>
    <row r="28" spans="1:12">
      <c r="A28" s="2339" t="s">
        <v>2364</v>
      </c>
      <c r="B28" s="2882" t="s">
        <v>4321</v>
      </c>
      <c r="C28" s="2881"/>
      <c r="D28" s="2348"/>
      <c r="E28" s="2322"/>
      <c r="F28" s="2335" t="s">
        <v>2426</v>
      </c>
      <c r="G28" s="2322"/>
      <c r="H28" s="2327"/>
      <c r="I28" s="2323"/>
      <c r="J28" s="2322"/>
      <c r="K28" s="2323"/>
      <c r="L28" s="214"/>
    </row>
    <row r="29" spans="1:12">
      <c r="A29" s="2337"/>
      <c r="B29" s="2882" t="s">
        <v>4322</v>
      </c>
      <c r="C29" s="2881"/>
      <c r="D29" s="2339" t="s">
        <v>355</v>
      </c>
      <c r="E29" s="2322"/>
      <c r="F29" s="2323" t="s">
        <v>4068</v>
      </c>
      <c r="G29" s="2322"/>
      <c r="H29" s="2327"/>
      <c r="I29" s="2323"/>
      <c r="J29" s="2325" t="s">
        <v>4069</v>
      </c>
      <c r="K29" s="2326"/>
      <c r="L29" s="214"/>
    </row>
    <row r="30" spans="1:12">
      <c r="A30" s="2337"/>
      <c r="B30" s="2882" t="s">
        <v>4070</v>
      </c>
      <c r="C30" s="2881"/>
      <c r="D30" s="2337"/>
      <c r="E30" s="2322"/>
      <c r="F30" s="2323" t="s">
        <v>4071</v>
      </c>
      <c r="G30" s="2322"/>
      <c r="H30" s="2327"/>
      <c r="I30" s="2323"/>
      <c r="J30" s="2322"/>
      <c r="K30" s="2327"/>
      <c r="L30" s="214"/>
    </row>
    <row r="31" spans="1:12">
      <c r="A31" s="2337"/>
      <c r="B31" s="2581"/>
      <c r="C31" s="2582"/>
      <c r="D31" s="2339" t="s">
        <v>356</v>
      </c>
      <c r="E31" s="2322"/>
      <c r="F31" s="2323" t="s">
        <v>4072</v>
      </c>
      <c r="G31" s="2325" t="s">
        <v>4073</v>
      </c>
      <c r="H31" s="2336"/>
      <c r="I31" s="2323"/>
      <c r="J31" s="2322"/>
      <c r="K31" s="2327"/>
      <c r="L31" s="214"/>
    </row>
    <row r="32" spans="1:12">
      <c r="A32" s="2339" t="s">
        <v>2366</v>
      </c>
      <c r="B32" s="2878" t="s">
        <v>4074</v>
      </c>
      <c r="C32" s="2879"/>
      <c r="D32" s="2347" t="s">
        <v>357</v>
      </c>
      <c r="E32" s="2331"/>
      <c r="F32" s="2332" t="s">
        <v>4075</v>
      </c>
      <c r="G32" s="2331"/>
      <c r="H32" s="2333"/>
      <c r="I32" s="2332"/>
      <c r="J32" s="2334" t="s">
        <v>4076</v>
      </c>
      <c r="K32" s="2328">
        <v>0</v>
      </c>
      <c r="L32" s="225"/>
    </row>
    <row r="33" spans="1:12">
      <c r="A33" s="2337"/>
      <c r="B33" s="2878"/>
      <c r="C33" s="2879"/>
      <c r="D33" s="2337"/>
      <c r="E33" s="2876" t="s">
        <v>4077</v>
      </c>
      <c r="F33" s="2876"/>
      <c r="G33" s="2876"/>
      <c r="H33" s="2876"/>
      <c r="I33" s="2876"/>
      <c r="J33" s="2876"/>
      <c r="K33" s="2876"/>
      <c r="L33" s="214"/>
    </row>
    <row r="34" spans="1:12">
      <c r="A34" s="2339" t="s">
        <v>198</v>
      </c>
      <c r="B34" s="2878" t="s">
        <v>3077</v>
      </c>
      <c r="C34" s="2879"/>
      <c r="D34" s="2337"/>
      <c r="L34" s="214"/>
    </row>
    <row r="35" spans="1:12">
      <c r="A35" s="2337"/>
      <c r="B35" s="2878" t="s">
        <v>1857</v>
      </c>
      <c r="C35" s="2879"/>
      <c r="D35" s="2337"/>
      <c r="G35" s="4"/>
      <c r="H35" s="4"/>
      <c r="I35" s="4"/>
      <c r="J35" s="4"/>
      <c r="K35" s="4"/>
      <c r="L35" s="214"/>
    </row>
    <row r="36" spans="1:12">
      <c r="A36" s="2337"/>
      <c r="B36" s="2581"/>
      <c r="C36" s="2582"/>
      <c r="D36" s="2337"/>
      <c r="E36" t="s">
        <v>4188</v>
      </c>
      <c r="L36" s="214"/>
    </row>
    <row r="37" spans="1:12">
      <c r="A37" s="2339" t="s">
        <v>3665</v>
      </c>
      <c r="B37" s="2878" t="s">
        <v>4234</v>
      </c>
      <c r="C37" s="2879"/>
      <c r="D37" s="2337"/>
      <c r="F37" t="s">
        <v>4235</v>
      </c>
      <c r="K37" s="2362"/>
      <c r="L37" s="214"/>
    </row>
    <row r="38" spans="1:12">
      <c r="A38" s="2337"/>
      <c r="B38" s="2878" t="s">
        <v>1539</v>
      </c>
      <c r="C38" s="2879"/>
      <c r="D38" s="2337"/>
      <c r="F38" t="s">
        <v>1541</v>
      </c>
      <c r="K38" s="2362"/>
      <c r="L38" s="214"/>
    </row>
    <row r="39" spans="1:12">
      <c r="A39" s="2337"/>
      <c r="B39" s="2878" t="s">
        <v>1542</v>
      </c>
      <c r="C39" s="2879"/>
      <c r="D39" s="2337"/>
      <c r="F39" t="s">
        <v>1543</v>
      </c>
      <c r="K39" s="2362"/>
      <c r="L39" s="214"/>
    </row>
    <row r="40" spans="1:12">
      <c r="A40" s="2337"/>
      <c r="B40" s="2274"/>
      <c r="C40" s="2582"/>
      <c r="D40" s="2337"/>
      <c r="L40" s="214"/>
    </row>
    <row r="41" spans="1:12">
      <c r="A41" s="2339" t="s">
        <v>886</v>
      </c>
      <c r="B41" s="2878" t="s">
        <v>4351</v>
      </c>
      <c r="C41" s="2879"/>
      <c r="D41" s="2337"/>
      <c r="E41" s="977" t="s">
        <v>4352</v>
      </c>
      <c r="F41" s="4"/>
      <c r="G41" s="4"/>
      <c r="H41" s="4"/>
      <c r="I41" s="4"/>
      <c r="J41" s="4"/>
      <c r="K41" s="4"/>
      <c r="L41" s="214"/>
    </row>
    <row r="42" spans="1:12">
      <c r="A42" s="2337"/>
      <c r="B42" s="2583" t="s">
        <v>4353</v>
      </c>
      <c r="C42" s="2582"/>
      <c r="D42" s="2337"/>
      <c r="E42" t="s">
        <v>4354</v>
      </c>
      <c r="L42" s="214"/>
    </row>
    <row r="43" spans="1:12">
      <c r="A43" s="2337"/>
      <c r="B43" s="2581"/>
      <c r="C43" s="2582"/>
      <c r="D43" s="2337"/>
      <c r="E43" s="2363"/>
      <c r="F43" s="2363"/>
      <c r="G43" s="2363"/>
      <c r="H43" s="2363"/>
      <c r="I43" s="2363"/>
      <c r="J43" s="2363"/>
      <c r="K43" s="2363"/>
      <c r="L43" s="214"/>
    </row>
    <row r="44" spans="1:12">
      <c r="A44" s="2339" t="s">
        <v>3622</v>
      </c>
      <c r="B44" s="2878" t="s">
        <v>1064</v>
      </c>
      <c r="C44" s="2879"/>
      <c r="D44" s="2337"/>
      <c r="E44" s="2363"/>
      <c r="F44" s="2363"/>
      <c r="G44" s="2363"/>
      <c r="H44" s="2363"/>
      <c r="I44" s="2363"/>
      <c r="J44" s="2363"/>
      <c r="K44" s="2363"/>
      <c r="L44" s="214"/>
    </row>
    <row r="45" spans="1:12">
      <c r="A45" s="2337"/>
      <c r="B45" s="2878" t="s">
        <v>724</v>
      </c>
      <c r="C45" s="2879"/>
      <c r="D45" s="2337"/>
      <c r="E45" s="2363"/>
      <c r="F45" s="2364"/>
      <c r="G45" s="2364"/>
      <c r="H45" s="2364"/>
      <c r="I45" s="2364"/>
      <c r="J45" s="2364"/>
      <c r="K45" s="2364"/>
      <c r="L45" s="214"/>
    </row>
    <row r="46" spans="1:12">
      <c r="A46" s="2337"/>
      <c r="B46" s="2584"/>
      <c r="C46" s="2582"/>
      <c r="D46" s="2337"/>
      <c r="E46" s="2869" t="s">
        <v>1874</v>
      </c>
      <c r="F46" s="2869"/>
      <c r="G46" s="2869"/>
      <c r="H46" s="2869"/>
      <c r="I46" s="2869"/>
      <c r="J46" s="2869"/>
      <c r="K46" s="2869"/>
      <c r="L46" s="214"/>
    </row>
    <row r="47" spans="1:12">
      <c r="A47" s="2340"/>
      <c r="B47" s="2883" t="s">
        <v>1875</v>
      </c>
      <c r="C47" s="2884"/>
      <c r="D47" s="2337"/>
      <c r="E47" s="2869" t="s">
        <v>1405</v>
      </c>
      <c r="F47" s="2869"/>
      <c r="G47" s="2869"/>
      <c r="H47" s="2869"/>
      <c r="I47" s="2869"/>
      <c r="J47" s="2869"/>
      <c r="K47" s="2869"/>
      <c r="L47" s="214"/>
    </row>
    <row r="48" spans="1:12">
      <c r="A48" s="2337"/>
      <c r="B48" s="2878" t="s">
        <v>2563</v>
      </c>
      <c r="C48" s="2879"/>
      <c r="D48" s="2337"/>
      <c r="E48" s="2869" t="s">
        <v>2564</v>
      </c>
      <c r="F48" s="2869"/>
      <c r="G48" s="2869"/>
      <c r="H48" s="2869"/>
      <c r="I48" s="2869"/>
      <c r="J48" s="2869"/>
      <c r="K48" s="2869"/>
      <c r="L48" s="214"/>
    </row>
    <row r="49" spans="1:12">
      <c r="A49" s="2337"/>
      <c r="B49" s="2878" t="s">
        <v>2565</v>
      </c>
      <c r="C49" s="2879"/>
      <c r="D49" s="2337"/>
      <c r="E49" s="2363"/>
      <c r="F49" s="2363"/>
      <c r="G49" s="2363"/>
      <c r="H49" s="2363"/>
      <c r="I49" s="2363"/>
      <c r="J49" s="2363"/>
      <c r="K49" s="2363"/>
      <c r="L49" s="214"/>
    </row>
    <row r="50" spans="1:12">
      <c r="A50" s="2337"/>
      <c r="B50" s="2878" t="s">
        <v>3735</v>
      </c>
      <c r="C50" s="2879"/>
      <c r="D50" s="2337"/>
      <c r="E50" s="2363"/>
      <c r="F50" s="2363"/>
      <c r="G50" s="2363"/>
      <c r="H50" s="2363"/>
      <c r="I50" s="2363"/>
      <c r="J50" s="2363"/>
      <c r="K50" s="2363"/>
      <c r="L50" s="214"/>
    </row>
    <row r="51" spans="1:12">
      <c r="A51" s="2337"/>
      <c r="B51" s="2323"/>
      <c r="C51" s="2338"/>
      <c r="D51" s="2337"/>
      <c r="E51" s="2363"/>
      <c r="F51" s="2363"/>
      <c r="G51" s="2363"/>
      <c r="H51" s="2363"/>
      <c r="I51" s="2363"/>
      <c r="J51" s="2363"/>
      <c r="K51" s="2363"/>
      <c r="L51" s="214"/>
    </row>
    <row r="52" spans="1:12">
      <c r="A52" s="2337"/>
      <c r="B52" s="2346"/>
      <c r="C52" s="2338"/>
      <c r="D52" s="2337"/>
      <c r="E52" s="977" t="s">
        <v>670</v>
      </c>
      <c r="F52" s="4"/>
      <c r="G52" s="4"/>
      <c r="H52" s="4"/>
      <c r="I52" s="4"/>
      <c r="J52" s="4"/>
      <c r="K52" s="4"/>
      <c r="L52" s="214"/>
    </row>
    <row r="53" spans="1:12">
      <c r="A53" s="2337"/>
      <c r="B53" s="2346"/>
      <c r="C53" s="2338"/>
      <c r="D53" s="2337"/>
      <c r="F53" t="s">
        <v>671</v>
      </c>
      <c r="K53" s="2365"/>
      <c r="L53" s="214"/>
    </row>
    <row r="54" spans="1:12">
      <c r="A54" s="2337"/>
      <c r="B54" s="2323"/>
      <c r="C54" s="2338"/>
      <c r="D54" s="2337"/>
      <c r="F54" t="s">
        <v>672</v>
      </c>
      <c r="K54" s="2362"/>
      <c r="L54" s="214"/>
    </row>
    <row r="55" spans="1:12">
      <c r="A55" s="2337"/>
      <c r="B55" s="2323"/>
      <c r="C55" s="2338"/>
      <c r="D55" s="2337"/>
      <c r="F55" t="s">
        <v>673</v>
      </c>
      <c r="K55" s="2362"/>
      <c r="L55" s="214"/>
    </row>
    <row r="56" spans="1:12">
      <c r="A56" s="2337"/>
      <c r="B56" s="2323"/>
      <c r="C56" s="2338"/>
      <c r="D56" s="2337"/>
      <c r="K56" s="2363"/>
      <c r="L56" s="214"/>
    </row>
    <row r="57" spans="1:12">
      <c r="A57" s="2337"/>
      <c r="B57" s="2323"/>
      <c r="C57" s="2338"/>
      <c r="D57" s="2337"/>
      <c r="E57" s="2323"/>
      <c r="F57" s="2323"/>
      <c r="G57" s="2323"/>
      <c r="H57" s="2323"/>
      <c r="I57" s="2323"/>
      <c r="J57" s="2323"/>
      <c r="K57" s="2323"/>
      <c r="L57" s="214"/>
    </row>
    <row r="58" spans="1:12">
      <c r="A58" s="2337"/>
      <c r="B58" s="2323"/>
      <c r="C58" s="2338"/>
      <c r="D58" s="2337"/>
      <c r="E58" s="2323"/>
      <c r="F58" s="2327"/>
      <c r="G58" s="2327"/>
      <c r="H58" s="2327"/>
      <c r="I58" s="2327"/>
      <c r="J58" s="2327"/>
      <c r="K58" s="2327"/>
      <c r="L58" s="214"/>
    </row>
    <row r="59" spans="1:12" ht="15.75" thickBot="1">
      <c r="A59" s="2349"/>
      <c r="B59" s="2350"/>
      <c r="C59" s="2351"/>
      <c r="D59" s="2349"/>
      <c r="E59" s="2350"/>
      <c r="F59" s="2352"/>
      <c r="G59" s="2352"/>
      <c r="H59" s="2352"/>
      <c r="I59" s="2352"/>
      <c r="J59" s="2352"/>
      <c r="K59" s="2352"/>
      <c r="L59" s="217"/>
    </row>
    <row r="60" spans="1:12">
      <c r="A60" t="s">
        <v>1385</v>
      </c>
      <c r="C60" s="213"/>
      <c r="D60" t="s">
        <v>1385</v>
      </c>
      <c r="K60" t="s">
        <v>218</v>
      </c>
    </row>
    <row r="61" spans="1:12">
      <c r="A61" s="5" t="s">
        <v>4983</v>
      </c>
      <c r="B61" s="4"/>
      <c r="C61" s="4"/>
      <c r="D61" s="5" t="s">
        <v>4984</v>
      </c>
      <c r="E61" s="4"/>
      <c r="F61" s="4"/>
      <c r="G61" s="4"/>
      <c r="H61" s="4"/>
      <c r="I61" s="4"/>
      <c r="J61" s="4"/>
      <c r="K61" s="4"/>
      <c r="L61" s="4"/>
    </row>
    <row r="62" spans="1:12">
      <c r="D62" s="600"/>
    </row>
    <row r="63" spans="1:12">
      <c r="B63" s="4"/>
      <c r="C63" s="4"/>
      <c r="D63" s="4"/>
    </row>
    <row r="65" spans="1:6">
      <c r="B65" s="108"/>
    </row>
    <row r="66" spans="1:6">
      <c r="F66" s="108"/>
    </row>
    <row r="68" spans="1:6">
      <c r="B68" s="108"/>
    </row>
    <row r="69" spans="1:6">
      <c r="B69" s="108"/>
      <c r="F69" s="108"/>
    </row>
    <row r="70" spans="1:6" ht="15.75">
      <c r="A70" s="3" t="s">
        <v>3741</v>
      </c>
      <c r="B70" s="5"/>
      <c r="C70" s="4"/>
      <c r="E70" s="600"/>
      <c r="F70" s="108"/>
    </row>
    <row r="71" spans="1:6">
      <c r="B71" s="108"/>
      <c r="F71" s="108"/>
    </row>
    <row r="72" spans="1:6">
      <c r="B72" s="108"/>
      <c r="F72" s="108"/>
    </row>
    <row r="73" spans="1:6">
      <c r="B73" s="108"/>
    </row>
    <row r="76" spans="1:6" ht="18.75" thickBot="1">
      <c r="A76" s="14" t="s">
        <v>218</v>
      </c>
      <c r="B76" s="882"/>
    </row>
    <row r="77" spans="1:6" ht="18">
      <c r="A77" s="883"/>
      <c r="B77" s="884"/>
      <c r="C77" s="82"/>
    </row>
    <row r="78" spans="1:6" ht="15.75">
      <c r="A78" s="118" t="s">
        <v>1021</v>
      </c>
      <c r="B78" s="4"/>
      <c r="C78" s="119"/>
    </row>
    <row r="79" spans="1:6">
      <c r="A79" s="83"/>
      <c r="C79" s="214"/>
    </row>
    <row r="80" spans="1:6">
      <c r="A80" s="83"/>
      <c r="B80" s="4"/>
      <c r="C80" s="214"/>
    </row>
    <row r="81" spans="1:3">
      <c r="A81" s="83"/>
      <c r="B81" s="4"/>
      <c r="C81" s="214"/>
    </row>
    <row r="82" spans="1:3">
      <c r="A82" s="83"/>
      <c r="B82" s="4"/>
      <c r="C82" s="214"/>
    </row>
    <row r="83" spans="1:3">
      <c r="A83" s="456"/>
      <c r="B83" s="322"/>
      <c r="C83" s="243"/>
    </row>
    <row r="84" spans="1:3">
      <c r="A84" s="83"/>
      <c r="B84" s="4"/>
      <c r="C84" s="214"/>
    </row>
    <row r="85" spans="1:3">
      <c r="A85" s="83"/>
      <c r="C85" s="214"/>
    </row>
    <row r="86" spans="1:3">
      <c r="A86" s="83"/>
      <c r="C86" s="214"/>
    </row>
    <row r="87" spans="1:3">
      <c r="A87" s="83"/>
      <c r="B87" s="4"/>
      <c r="C87" s="214"/>
    </row>
    <row r="88" spans="1:3">
      <c r="A88" s="83"/>
      <c r="B88" s="4"/>
      <c r="C88" s="214"/>
    </row>
    <row r="89" spans="1:3">
      <c r="A89" s="83"/>
      <c r="B89" s="4"/>
      <c r="C89" s="214"/>
    </row>
    <row r="90" spans="1:3">
      <c r="A90" s="83"/>
      <c r="B90" s="4"/>
      <c r="C90" s="214"/>
    </row>
    <row r="91" spans="1:3">
      <c r="A91" s="83"/>
      <c r="B91" s="4"/>
      <c r="C91" s="214"/>
    </row>
    <row r="92" spans="1:3">
      <c r="A92" s="83"/>
      <c r="B92" s="4"/>
      <c r="C92" s="214"/>
    </row>
    <row r="93" spans="1:3">
      <c r="A93" s="83"/>
      <c r="B93" s="4"/>
      <c r="C93" s="214"/>
    </row>
    <row r="94" spans="1:3">
      <c r="A94" s="83"/>
      <c r="B94" s="4"/>
      <c r="C94" s="214"/>
    </row>
    <row r="95" spans="1:3">
      <c r="A95" s="83"/>
      <c r="C95" s="214"/>
    </row>
    <row r="96" spans="1:3">
      <c r="A96" s="83"/>
      <c r="B96" s="4"/>
      <c r="C96" s="214"/>
    </row>
    <row r="97" spans="1:3">
      <c r="A97" s="83"/>
      <c r="B97" s="4"/>
      <c r="C97" s="214"/>
    </row>
    <row r="98" spans="1:3">
      <c r="A98" s="83"/>
      <c r="C98" s="214"/>
    </row>
    <row r="99" spans="1:3">
      <c r="A99" s="83"/>
      <c r="B99" s="4"/>
      <c r="C99" s="214"/>
    </row>
    <row r="100" spans="1:3">
      <c r="A100" s="83"/>
      <c r="B100" s="4"/>
      <c r="C100" s="214"/>
    </row>
    <row r="101" spans="1:3">
      <c r="A101" s="83"/>
      <c r="B101" s="4"/>
      <c r="C101" s="214"/>
    </row>
    <row r="102" spans="1:3">
      <c r="A102" s="83"/>
      <c r="B102" s="4"/>
      <c r="C102" s="214"/>
    </row>
    <row r="103" spans="1:3">
      <c r="A103" s="83"/>
      <c r="C103" s="214"/>
    </row>
    <row r="104" spans="1:3">
      <c r="A104" s="83"/>
      <c r="C104" s="214"/>
    </row>
    <row r="105" spans="1:3">
      <c r="A105" s="83"/>
      <c r="C105" s="214"/>
    </row>
    <row r="106" spans="1:3">
      <c r="A106" s="83"/>
      <c r="C106" s="214"/>
    </row>
    <row r="107" spans="1:3">
      <c r="A107" s="83"/>
      <c r="B107" s="4"/>
      <c r="C107" s="214"/>
    </row>
    <row r="108" spans="1:3">
      <c r="A108" s="83"/>
      <c r="C108" s="214"/>
    </row>
    <row r="109" spans="1:3">
      <c r="A109" s="83"/>
      <c r="B109" s="4"/>
      <c r="C109" s="214"/>
    </row>
    <row r="110" spans="1:3">
      <c r="A110" s="83"/>
      <c r="B110" s="4"/>
      <c r="C110" s="214"/>
    </row>
    <row r="111" spans="1:3">
      <c r="A111" s="83"/>
      <c r="C111" s="214"/>
    </row>
    <row r="112" spans="1:3">
      <c r="A112" s="83"/>
      <c r="B112" s="4"/>
      <c r="C112" s="214"/>
    </row>
    <row r="113" spans="1:3">
      <c r="A113" s="83"/>
      <c r="B113" s="4"/>
      <c r="C113" s="214"/>
    </row>
    <row r="114" spans="1:3">
      <c r="A114" s="83"/>
      <c r="B114" s="4"/>
      <c r="C114" s="214"/>
    </row>
    <row r="115" spans="1:3">
      <c r="A115" s="83"/>
      <c r="B115" s="4"/>
      <c r="C115" s="214"/>
    </row>
    <row r="116" spans="1:3">
      <c r="A116" s="83"/>
      <c r="B116" s="4"/>
      <c r="C116" s="214"/>
    </row>
    <row r="117" spans="1:3">
      <c r="A117" s="83"/>
      <c r="B117" s="4"/>
      <c r="C117" s="214"/>
    </row>
    <row r="118" spans="1:3">
      <c r="A118" s="83"/>
      <c r="C118" s="214"/>
    </row>
    <row r="119" spans="1:3">
      <c r="A119" s="83"/>
      <c r="B119" s="4"/>
      <c r="C119" s="214"/>
    </row>
    <row r="120" spans="1:3">
      <c r="A120" s="83"/>
      <c r="B120" s="4"/>
      <c r="C120" s="214"/>
    </row>
    <row r="121" spans="1:3">
      <c r="A121" s="83"/>
      <c r="B121" s="4"/>
      <c r="C121" s="214"/>
    </row>
    <row r="122" spans="1:3">
      <c r="A122" s="83"/>
      <c r="C122" s="214"/>
    </row>
    <row r="123" spans="1:3">
      <c r="A123" s="83"/>
      <c r="B123" s="4"/>
      <c r="C123" s="214"/>
    </row>
    <row r="124" spans="1:3">
      <c r="A124" s="83"/>
      <c r="B124" s="4"/>
      <c r="C124" s="214"/>
    </row>
    <row r="125" spans="1:3">
      <c r="A125" s="83"/>
      <c r="B125" s="4"/>
      <c r="C125" s="214"/>
    </row>
    <row r="126" spans="1:3">
      <c r="A126" s="83"/>
      <c r="B126" s="4"/>
      <c r="C126" s="214"/>
    </row>
    <row r="127" spans="1:3">
      <c r="A127" s="83"/>
      <c r="B127" s="4"/>
      <c r="C127" s="214"/>
    </row>
    <row r="128" spans="1:3">
      <c r="A128" s="83"/>
      <c r="B128" s="4"/>
      <c r="C128" s="214"/>
    </row>
    <row r="129" spans="1:3">
      <c r="A129" s="83"/>
      <c r="C129" s="214"/>
    </row>
    <row r="130" spans="1:3">
      <c r="A130" s="83"/>
      <c r="C130" s="214"/>
    </row>
    <row r="131" spans="1:3">
      <c r="A131" s="83"/>
      <c r="C131" s="214"/>
    </row>
    <row r="132" spans="1:3">
      <c r="A132" s="83"/>
      <c r="C132" s="214"/>
    </row>
    <row r="133" spans="1:3">
      <c r="A133" s="83"/>
      <c r="C133" s="214"/>
    </row>
    <row r="134" spans="1:3">
      <c r="A134" s="83"/>
      <c r="C134" s="214"/>
    </row>
    <row r="135" spans="1:3">
      <c r="A135" s="83"/>
      <c r="C135" s="214"/>
    </row>
    <row r="136" spans="1:3">
      <c r="A136" s="83"/>
      <c r="C136" s="214"/>
    </row>
    <row r="137" spans="1:3">
      <c r="A137" s="83"/>
      <c r="C137" s="214"/>
    </row>
    <row r="138" spans="1:3">
      <c r="A138" s="83"/>
      <c r="C138" s="214"/>
    </row>
    <row r="139" spans="1:3">
      <c r="A139" s="83"/>
      <c r="C139" s="214"/>
    </row>
    <row r="140" spans="1:3" ht="15.75" thickBot="1">
      <c r="A140" s="124"/>
      <c r="B140" s="125"/>
      <c r="C140" s="217"/>
    </row>
    <row r="141" spans="1:3">
      <c r="A141" t="s">
        <v>2024</v>
      </c>
      <c r="C141" s="4"/>
    </row>
    <row r="142" spans="1:3">
      <c r="A142" s="4" t="s">
        <v>676</v>
      </c>
      <c r="B142" s="4"/>
      <c r="C142" s="4"/>
    </row>
    <row r="146" spans="2:2">
      <c r="B146" s="108"/>
    </row>
    <row r="149" spans="2:2">
      <c r="B149" s="108"/>
    </row>
    <row r="150" spans="2:2">
      <c r="B150" s="108"/>
    </row>
    <row r="151" spans="2:2">
      <c r="B151" s="108"/>
    </row>
    <row r="152" spans="2:2">
      <c r="B152" s="108"/>
    </row>
    <row r="153" spans="2:2">
      <c r="B153" s="108"/>
    </row>
    <row r="154" spans="2:2">
      <c r="B154" s="108"/>
    </row>
  </sheetData>
  <mergeCells count="34">
    <mergeCell ref="B48:C48"/>
    <mergeCell ref="E48:K48"/>
    <mergeCell ref="B49:C49"/>
    <mergeCell ref="B50:C50"/>
    <mergeCell ref="B41:C41"/>
    <mergeCell ref="B44:C44"/>
    <mergeCell ref="B45:C45"/>
    <mergeCell ref="E46:K46"/>
    <mergeCell ref="B47:C47"/>
    <mergeCell ref="E47:K47"/>
    <mergeCell ref="E33:K33"/>
    <mergeCell ref="B34:C34"/>
    <mergeCell ref="B35:C35"/>
    <mergeCell ref="B37:C37"/>
    <mergeCell ref="B38:C38"/>
    <mergeCell ref="B39:C39"/>
    <mergeCell ref="B25:C25"/>
    <mergeCell ref="B28:C28"/>
    <mergeCell ref="B29:C29"/>
    <mergeCell ref="B30:C30"/>
    <mergeCell ref="B32:C32"/>
    <mergeCell ref="B33:C33"/>
    <mergeCell ref="B24:C24"/>
    <mergeCell ref="B5:C5"/>
    <mergeCell ref="B6:C6"/>
    <mergeCell ref="B7:C7"/>
    <mergeCell ref="B8:C8"/>
    <mergeCell ref="B9:C9"/>
    <mergeCell ref="B12:C12"/>
    <mergeCell ref="B14:C14"/>
    <mergeCell ref="B15:C15"/>
    <mergeCell ref="B17:C17"/>
    <mergeCell ref="B18:C18"/>
    <mergeCell ref="B21:C21"/>
  </mergeCells>
  <printOptions horizontalCentered="1" verticalCentered="1"/>
  <pageMargins left="0.4" right="0.4" top="0.3" bottom="0.3" header="0" footer="0"/>
  <pageSetup scale="70" fitToWidth="2" orientation="portrait" r:id="rId1"/>
  <headerFooter alignWithMargins="0"/>
  <colBreaks count="1" manualBreakCount="1">
    <brk id="3" max="60"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ransitionEvaluation="1" codeName="Sheet79"/>
  <dimension ref="A1:C77"/>
  <sheetViews>
    <sheetView defaultGridColor="0" colorId="22" zoomScaleNormal="100" workbookViewId="0">
      <selection activeCell="D4" sqref="D4"/>
    </sheetView>
  </sheetViews>
  <sheetFormatPr defaultColWidth="9.77734375" defaultRowHeight="15"/>
  <cols>
    <col min="1" max="1" width="4.77734375" customWidth="1"/>
    <col min="2" max="2" width="59.44140625" customWidth="1"/>
    <col min="3" max="3" width="54.5546875" customWidth="1"/>
  </cols>
  <sheetData>
    <row r="1" spans="1:3" ht="15.75" thickBot="1">
      <c r="A1" t="str">
        <f>'Data sheet'!A59</f>
        <v>Annual Report of Veolia Water New York, Inc.                                                             Year Ended  December 31, 2023</v>
      </c>
    </row>
    <row r="2" spans="1:3" ht="15.75">
      <c r="A2" s="877" t="s">
        <v>5305</v>
      </c>
      <c r="B2" s="81"/>
      <c r="C2" s="82"/>
    </row>
    <row r="3" spans="1:3" ht="15.75">
      <c r="A3" s="1984"/>
      <c r="C3" s="214"/>
    </row>
    <row r="4" spans="1:3" ht="18">
      <c r="A4" s="723" t="s">
        <v>606</v>
      </c>
      <c r="B4" s="887"/>
      <c r="C4" s="119"/>
    </row>
    <row r="5" spans="1:3">
      <c r="A5" s="83"/>
      <c r="C5" s="214"/>
    </row>
    <row r="6" spans="1:3">
      <c r="A6" s="595" t="s">
        <v>284</v>
      </c>
      <c r="B6" t="s">
        <v>3667</v>
      </c>
      <c r="C6" s="214"/>
    </row>
    <row r="7" spans="1:3">
      <c r="A7" s="83"/>
      <c r="B7" t="s">
        <v>3891</v>
      </c>
      <c r="C7" s="214"/>
    </row>
    <row r="8" spans="1:3">
      <c r="A8" s="83"/>
      <c r="B8" t="s">
        <v>2040</v>
      </c>
      <c r="C8" s="214"/>
    </row>
    <row r="9" spans="1:3">
      <c r="A9" s="83"/>
      <c r="B9" t="s">
        <v>2041</v>
      </c>
      <c r="C9" s="214"/>
    </row>
    <row r="10" spans="1:3">
      <c r="A10" s="83"/>
      <c r="B10" t="s">
        <v>4985</v>
      </c>
      <c r="C10" s="214"/>
    </row>
    <row r="11" spans="1:3">
      <c r="A11" s="83"/>
      <c r="B11" t="s">
        <v>4986</v>
      </c>
      <c r="C11" s="214"/>
    </row>
    <row r="12" spans="1:3">
      <c r="A12" s="83"/>
      <c r="B12" t="s">
        <v>1762</v>
      </c>
      <c r="C12" s="214"/>
    </row>
    <row r="13" spans="1:3">
      <c r="A13" s="83"/>
      <c r="B13" t="s">
        <v>1763</v>
      </c>
      <c r="C13" s="214"/>
    </row>
    <row r="14" spans="1:3">
      <c r="A14" s="595" t="s">
        <v>1687</v>
      </c>
      <c r="B14" t="s">
        <v>649</v>
      </c>
      <c r="C14" s="214"/>
    </row>
    <row r="15" spans="1:3">
      <c r="A15" s="595" t="s">
        <v>3053</v>
      </c>
      <c r="B15" t="s">
        <v>4987</v>
      </c>
      <c r="C15" s="214"/>
    </row>
    <row r="16" spans="1:3">
      <c r="A16" s="83"/>
      <c r="B16" t="s">
        <v>650</v>
      </c>
      <c r="C16" s="214"/>
    </row>
    <row r="17" spans="1:3">
      <c r="A17" s="595" t="s">
        <v>2364</v>
      </c>
      <c r="B17" t="s">
        <v>4337</v>
      </c>
      <c r="C17" s="214"/>
    </row>
    <row r="18" spans="1:3">
      <c r="A18" s="83"/>
      <c r="B18" t="s">
        <v>4988</v>
      </c>
      <c r="C18" s="214"/>
    </row>
    <row r="19" spans="1:3">
      <c r="A19" s="595" t="s">
        <v>2366</v>
      </c>
      <c r="B19" t="s">
        <v>4347</v>
      </c>
      <c r="C19" s="214"/>
    </row>
    <row r="20" spans="1:3">
      <c r="A20" s="83"/>
      <c r="B20" t="s">
        <v>1912</v>
      </c>
      <c r="C20" s="214"/>
    </row>
    <row r="21" spans="1:3">
      <c r="A21" s="83"/>
      <c r="B21" t="s">
        <v>1913</v>
      </c>
      <c r="C21" s="214"/>
    </row>
    <row r="22" spans="1:3">
      <c r="A22" s="83"/>
      <c r="B22" t="s">
        <v>4989</v>
      </c>
      <c r="C22" s="214"/>
    </row>
    <row r="23" spans="1:3">
      <c r="A23" s="595" t="s">
        <v>198</v>
      </c>
      <c r="B23" t="s">
        <v>2158</v>
      </c>
      <c r="C23" s="214"/>
    </row>
    <row r="24" spans="1:3">
      <c r="A24" s="83"/>
      <c r="B24" t="s">
        <v>2159</v>
      </c>
      <c r="C24" s="214"/>
    </row>
    <row r="25" spans="1:3">
      <c r="A25" s="595" t="s">
        <v>346</v>
      </c>
      <c r="B25" t="s">
        <v>2160</v>
      </c>
      <c r="C25" s="214"/>
    </row>
    <row r="26" spans="1:3">
      <c r="A26" s="83"/>
      <c r="B26" t="s">
        <v>2161</v>
      </c>
      <c r="C26" s="214"/>
    </row>
    <row r="27" spans="1:3">
      <c r="A27" s="595" t="s">
        <v>886</v>
      </c>
      <c r="B27" t="s">
        <v>308</v>
      </c>
      <c r="C27" s="214"/>
    </row>
    <row r="28" spans="1:3">
      <c r="A28" s="83"/>
      <c r="B28" t="s">
        <v>2445</v>
      </c>
      <c r="C28" s="214"/>
    </row>
    <row r="29" spans="1:3">
      <c r="A29" s="83"/>
      <c r="B29" t="s">
        <v>2446</v>
      </c>
      <c r="C29" s="214"/>
    </row>
    <row r="30" spans="1:3">
      <c r="A30" s="83"/>
      <c r="B30" t="s">
        <v>2447</v>
      </c>
      <c r="C30" s="214"/>
    </row>
    <row r="31" spans="1:3">
      <c r="A31" s="595" t="s">
        <v>3622</v>
      </c>
      <c r="B31" t="s">
        <v>2448</v>
      </c>
      <c r="C31" s="214"/>
    </row>
    <row r="32" spans="1:3">
      <c r="A32" s="595" t="s">
        <v>3541</v>
      </c>
      <c r="B32" t="s">
        <v>3911</v>
      </c>
      <c r="C32" s="214"/>
    </row>
    <row r="33" spans="1:3">
      <c r="A33" s="595" t="s">
        <v>3546</v>
      </c>
      <c r="B33" t="s">
        <v>24</v>
      </c>
      <c r="C33" s="214"/>
    </row>
    <row r="34" spans="1:3">
      <c r="A34" s="83"/>
      <c r="B34" t="s">
        <v>25</v>
      </c>
      <c r="C34" s="214"/>
    </row>
    <row r="35" spans="1:3">
      <c r="A35" s="83"/>
      <c r="B35" t="s">
        <v>26</v>
      </c>
      <c r="C35" s="214"/>
    </row>
    <row r="36" spans="1:3">
      <c r="A36" s="595" t="s">
        <v>1503</v>
      </c>
      <c r="B36" t="s">
        <v>2295</v>
      </c>
      <c r="C36" s="214"/>
    </row>
    <row r="37" spans="1:3">
      <c r="A37" s="123"/>
      <c r="B37" s="224" t="s">
        <v>2296</v>
      </c>
      <c r="C37" s="225"/>
    </row>
    <row r="38" spans="1:3">
      <c r="A38" s="83"/>
      <c r="B38" t="s">
        <v>2414</v>
      </c>
      <c r="C38" s="214"/>
    </row>
    <row r="39" spans="1:3">
      <c r="A39" s="83"/>
      <c r="B39" t="s">
        <v>2315</v>
      </c>
      <c r="C39" s="214"/>
    </row>
    <row r="40" spans="1:3">
      <c r="A40" s="83"/>
      <c r="B40" t="s">
        <v>4761</v>
      </c>
      <c r="C40" s="214"/>
    </row>
    <row r="41" spans="1:3">
      <c r="A41" s="871"/>
      <c r="B41" s="22"/>
      <c r="C41" s="872"/>
    </row>
    <row r="42" spans="1:3">
      <c r="A42" s="871"/>
      <c r="B42" s="977" t="s">
        <v>5373</v>
      </c>
      <c r="C42" s="872"/>
    </row>
    <row r="43" spans="1:3">
      <c r="A43" s="595" t="s">
        <v>4557</v>
      </c>
      <c r="B43" s="977" t="s">
        <v>5388</v>
      </c>
      <c r="C43" s="872"/>
    </row>
    <row r="44" spans="1:3">
      <c r="A44" s="595" t="s">
        <v>4558</v>
      </c>
      <c r="B44" s="977" t="s">
        <v>5389</v>
      </c>
      <c r="C44" s="872"/>
    </row>
    <row r="45" spans="1:3">
      <c r="A45" s="595" t="s">
        <v>4559</v>
      </c>
      <c r="B45" s="977" t="s">
        <v>5390</v>
      </c>
      <c r="C45" s="872"/>
    </row>
    <row r="46" spans="1:3">
      <c r="A46" s="595" t="s">
        <v>4762</v>
      </c>
      <c r="B46" s="977" t="s">
        <v>5391</v>
      </c>
      <c r="C46" s="872"/>
    </row>
    <row r="47" spans="1:3">
      <c r="A47" s="595"/>
      <c r="B47" s="977"/>
      <c r="C47" s="872"/>
    </row>
    <row r="48" spans="1:3">
      <c r="A48" s="595"/>
      <c r="B48" s="977" t="s">
        <v>5378</v>
      </c>
      <c r="C48" s="872"/>
    </row>
    <row r="49" spans="1:3">
      <c r="A49" s="595" t="s">
        <v>4557</v>
      </c>
      <c r="B49" s="977" t="s">
        <v>5392</v>
      </c>
      <c r="C49" s="872"/>
    </row>
    <row r="50" spans="1:3">
      <c r="A50" s="595" t="s">
        <v>4558</v>
      </c>
      <c r="B50" s="977" t="s">
        <v>5393</v>
      </c>
      <c r="C50" s="872"/>
    </row>
    <row r="51" spans="1:3">
      <c r="A51" s="595" t="s">
        <v>4559</v>
      </c>
      <c r="B51" s="977" t="s">
        <v>5394</v>
      </c>
      <c r="C51" s="872"/>
    </row>
    <row r="52" spans="1:3">
      <c r="A52" s="595"/>
      <c r="B52" s="977" t="s">
        <v>5395</v>
      </c>
      <c r="C52" s="872"/>
    </row>
    <row r="53" spans="1:3">
      <c r="A53" s="595" t="s">
        <v>4762</v>
      </c>
      <c r="B53" s="977" t="s">
        <v>5396</v>
      </c>
      <c r="C53" s="872"/>
    </row>
    <row r="54" spans="1:3">
      <c r="A54" s="595"/>
      <c r="B54" s="977"/>
      <c r="C54" s="872"/>
    </row>
    <row r="55" spans="1:3">
      <c r="A55" s="595"/>
      <c r="B55" s="977"/>
      <c r="C55" s="872"/>
    </row>
    <row r="56" spans="1:3">
      <c r="A56" s="595"/>
      <c r="B56" s="977"/>
      <c r="C56" s="872"/>
    </row>
    <row r="57" spans="1:3">
      <c r="A57" s="595"/>
      <c r="B57" s="977"/>
      <c r="C57" s="872"/>
    </row>
    <row r="58" spans="1:3">
      <c r="A58" s="595"/>
      <c r="B58" s="977"/>
      <c r="C58" s="872"/>
    </row>
    <row r="59" spans="1:3">
      <c r="A59" s="595"/>
      <c r="B59" s="977"/>
      <c r="C59" s="872"/>
    </row>
    <row r="60" spans="1:3">
      <c r="A60" s="595"/>
      <c r="B60" s="977"/>
      <c r="C60" s="872"/>
    </row>
    <row r="61" spans="1:3">
      <c r="A61" s="595"/>
      <c r="B61" s="977"/>
      <c r="C61" s="872"/>
    </row>
    <row r="62" spans="1:3">
      <c r="A62" s="595"/>
      <c r="B62" s="977"/>
      <c r="C62" s="872"/>
    </row>
    <row r="63" spans="1:3">
      <c r="A63" s="595"/>
      <c r="B63" s="108"/>
      <c r="C63" s="872"/>
    </row>
    <row r="64" spans="1:3" ht="15.75" thickBot="1">
      <c r="A64" s="873"/>
      <c r="B64" s="2168"/>
      <c r="C64" s="875"/>
    </row>
    <row r="65" spans="1:3">
      <c r="C65" s="213" t="s">
        <v>2024</v>
      </c>
    </row>
    <row r="66" spans="1:3">
      <c r="A66" s="4" t="s">
        <v>2316</v>
      </c>
      <c r="B66" s="4"/>
      <c r="C66" s="4"/>
    </row>
    <row r="71" spans="1:3">
      <c r="B71" s="108"/>
    </row>
    <row r="74" spans="1:3">
      <c r="B74" s="108"/>
    </row>
    <row r="75" spans="1:3">
      <c r="B75" s="108"/>
    </row>
    <row r="76" spans="1:3">
      <c r="B76" s="108"/>
    </row>
    <row r="77" spans="1:3">
      <c r="B77" s="108"/>
    </row>
  </sheetData>
  <phoneticPr fontId="0" type="noConversion"/>
  <printOptions horizontalCentered="1" verticalCentered="1"/>
  <pageMargins left="0.2" right="0.2" top="0.2" bottom="0.2" header="0" footer="0"/>
  <pageSetup scale="70"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ransitionEvaluation="1" codeName="Sheet25">
    <pageSetUpPr fitToPage="1"/>
  </sheetPr>
  <dimension ref="A1:C78"/>
  <sheetViews>
    <sheetView defaultGridColor="0" colorId="22" zoomScaleNormal="100" zoomScaleSheetLayoutView="55" workbookViewId="0">
      <selection activeCell="D7" sqref="D7"/>
    </sheetView>
  </sheetViews>
  <sheetFormatPr defaultColWidth="9.77734375" defaultRowHeight="15"/>
  <cols>
    <col min="1" max="1" width="4.77734375" customWidth="1"/>
    <col min="2" max="2" width="56.88671875" customWidth="1"/>
    <col min="3" max="3" width="58" customWidth="1"/>
  </cols>
  <sheetData>
    <row r="1" spans="1:3" ht="15.75" thickBot="1">
      <c r="A1" t="str">
        <f>'Data sheet'!A61</f>
        <v>Annual Report of Veolia Water New York, Inc.                                                                       Year Ended  December 31, 2023</v>
      </c>
    </row>
    <row r="2" spans="1:3" ht="15.75">
      <c r="A2" s="877" t="s">
        <v>5306</v>
      </c>
      <c r="B2" s="81"/>
      <c r="C2" s="82"/>
    </row>
    <row r="3" spans="1:3" ht="15.75">
      <c r="A3" s="1984"/>
      <c r="C3" s="214"/>
    </row>
    <row r="4" spans="1:3" ht="18">
      <c r="A4" s="723" t="s">
        <v>606</v>
      </c>
      <c r="B4" s="887"/>
      <c r="C4" s="119"/>
    </row>
    <row r="5" spans="1:3">
      <c r="A5" s="83"/>
      <c r="C5" s="214"/>
    </row>
    <row r="6" spans="1:3">
      <c r="A6" s="595" t="s">
        <v>284</v>
      </c>
      <c r="B6" t="s">
        <v>3667</v>
      </c>
      <c r="C6" s="214"/>
    </row>
    <row r="7" spans="1:3">
      <c r="A7" s="83"/>
      <c r="B7" t="s">
        <v>3891</v>
      </c>
      <c r="C7" s="214"/>
    </row>
    <row r="8" spans="1:3">
      <c r="A8" s="83"/>
      <c r="B8" t="s">
        <v>2040</v>
      </c>
      <c r="C8" s="214"/>
    </row>
    <row r="9" spans="1:3">
      <c r="A9" s="83"/>
      <c r="B9" t="s">
        <v>2041</v>
      </c>
      <c r="C9" s="214"/>
    </row>
    <row r="10" spans="1:3">
      <c r="A10" s="83"/>
      <c r="B10" t="s">
        <v>4985</v>
      </c>
      <c r="C10" s="214"/>
    </row>
    <row r="11" spans="1:3">
      <c r="A11" s="83"/>
      <c r="B11" t="s">
        <v>4986</v>
      </c>
      <c r="C11" s="214"/>
    </row>
    <row r="12" spans="1:3">
      <c r="A12" s="83"/>
      <c r="B12" t="s">
        <v>1762</v>
      </c>
      <c r="C12" s="214"/>
    </row>
    <row r="13" spans="1:3">
      <c r="A13" s="83"/>
      <c r="B13" t="s">
        <v>1763</v>
      </c>
      <c r="C13" s="214"/>
    </row>
    <row r="14" spans="1:3">
      <c r="A14" s="595" t="s">
        <v>1687</v>
      </c>
      <c r="B14" t="s">
        <v>649</v>
      </c>
      <c r="C14" s="214"/>
    </row>
    <row r="15" spans="1:3">
      <c r="A15" s="595" t="s">
        <v>3053</v>
      </c>
      <c r="B15" t="s">
        <v>4987</v>
      </c>
      <c r="C15" s="214"/>
    </row>
    <row r="16" spans="1:3">
      <c r="A16" s="83"/>
      <c r="B16" t="s">
        <v>650</v>
      </c>
      <c r="C16" s="214"/>
    </row>
    <row r="17" spans="1:3">
      <c r="A17" s="595" t="s">
        <v>2364</v>
      </c>
      <c r="B17" t="s">
        <v>4337</v>
      </c>
      <c r="C17" s="214"/>
    </row>
    <row r="18" spans="1:3">
      <c r="A18" s="83"/>
      <c r="B18" t="s">
        <v>4988</v>
      </c>
      <c r="C18" s="214"/>
    </row>
    <row r="19" spans="1:3">
      <c r="A19" s="595" t="s">
        <v>2366</v>
      </c>
      <c r="B19" t="s">
        <v>4347</v>
      </c>
      <c r="C19" s="214"/>
    </row>
    <row r="20" spans="1:3">
      <c r="A20" s="83"/>
      <c r="B20" t="s">
        <v>1912</v>
      </c>
      <c r="C20" s="214"/>
    </row>
    <row r="21" spans="1:3">
      <c r="A21" s="83"/>
      <c r="B21" t="s">
        <v>1913</v>
      </c>
      <c r="C21" s="214"/>
    </row>
    <row r="22" spans="1:3">
      <c r="A22" s="83"/>
      <c r="B22" t="s">
        <v>4989</v>
      </c>
      <c r="C22" s="214"/>
    </row>
    <row r="23" spans="1:3">
      <c r="A23" s="595" t="s">
        <v>198</v>
      </c>
      <c r="B23" t="s">
        <v>2158</v>
      </c>
      <c r="C23" s="214"/>
    </row>
    <row r="24" spans="1:3">
      <c r="A24" s="83"/>
      <c r="B24" t="s">
        <v>2159</v>
      </c>
      <c r="C24" s="214"/>
    </row>
    <row r="25" spans="1:3">
      <c r="A25" s="595" t="s">
        <v>346</v>
      </c>
      <c r="B25" t="s">
        <v>2160</v>
      </c>
      <c r="C25" s="214"/>
    </row>
    <row r="26" spans="1:3">
      <c r="A26" s="83"/>
      <c r="B26" t="s">
        <v>2161</v>
      </c>
      <c r="C26" s="214"/>
    </row>
    <row r="27" spans="1:3">
      <c r="A27" s="595" t="s">
        <v>886</v>
      </c>
      <c r="B27" t="s">
        <v>308</v>
      </c>
      <c r="C27" s="214"/>
    </row>
    <row r="28" spans="1:3">
      <c r="A28" s="83"/>
      <c r="B28" t="s">
        <v>2445</v>
      </c>
      <c r="C28" s="214"/>
    </row>
    <row r="29" spans="1:3">
      <c r="A29" s="83"/>
      <c r="B29" t="s">
        <v>2446</v>
      </c>
      <c r="C29" s="214"/>
    </row>
    <row r="30" spans="1:3">
      <c r="A30" s="83"/>
      <c r="B30" t="s">
        <v>2447</v>
      </c>
      <c r="C30" s="214"/>
    </row>
    <row r="31" spans="1:3">
      <c r="A31" s="595" t="s">
        <v>3622</v>
      </c>
      <c r="B31" t="s">
        <v>2448</v>
      </c>
      <c r="C31" s="214"/>
    </row>
    <row r="32" spans="1:3">
      <c r="A32" s="595" t="s">
        <v>3541</v>
      </c>
      <c r="B32" t="s">
        <v>3911</v>
      </c>
      <c r="C32" s="214"/>
    </row>
    <row r="33" spans="1:3">
      <c r="A33" s="595" t="s">
        <v>3546</v>
      </c>
      <c r="B33" t="s">
        <v>24</v>
      </c>
      <c r="C33" s="214"/>
    </row>
    <row r="34" spans="1:3">
      <c r="A34" s="83"/>
      <c r="B34" t="s">
        <v>25</v>
      </c>
      <c r="C34" s="214"/>
    </row>
    <row r="35" spans="1:3">
      <c r="A35" s="83"/>
      <c r="B35" t="s">
        <v>26</v>
      </c>
      <c r="C35" s="214"/>
    </row>
    <row r="36" spans="1:3">
      <c r="A36" s="595" t="s">
        <v>1503</v>
      </c>
      <c r="B36" t="s">
        <v>2295</v>
      </c>
      <c r="C36" s="214"/>
    </row>
    <row r="37" spans="1:3">
      <c r="A37" s="123"/>
      <c r="B37" s="224" t="s">
        <v>2296</v>
      </c>
      <c r="C37" s="225"/>
    </row>
    <row r="38" spans="1:3">
      <c r="A38" s="83"/>
      <c r="B38" t="s">
        <v>2414</v>
      </c>
      <c r="C38" s="214"/>
    </row>
    <row r="39" spans="1:3">
      <c r="A39" s="83"/>
      <c r="B39" t="s">
        <v>2315</v>
      </c>
      <c r="C39" s="214"/>
    </row>
    <row r="40" spans="1:3">
      <c r="A40" s="83"/>
      <c r="B40" t="s">
        <v>4761</v>
      </c>
      <c r="C40" s="214"/>
    </row>
    <row r="41" spans="1:3">
      <c r="A41" s="871"/>
      <c r="B41" s="22"/>
      <c r="C41" s="872"/>
    </row>
    <row r="42" spans="1:3">
      <c r="A42" s="871"/>
      <c r="B42" s="977" t="s">
        <v>5373</v>
      </c>
      <c r="C42" s="872"/>
    </row>
    <row r="43" spans="1:3">
      <c r="A43" s="595" t="s">
        <v>4557</v>
      </c>
      <c r="B43" s="977" t="s">
        <v>5397</v>
      </c>
      <c r="C43" s="872"/>
    </row>
    <row r="44" spans="1:3">
      <c r="A44" s="595" t="s">
        <v>4558</v>
      </c>
      <c r="B44" s="977" t="s">
        <v>5398</v>
      </c>
      <c r="C44" s="872"/>
    </row>
    <row r="45" spans="1:3">
      <c r="A45" s="595" t="s">
        <v>4559</v>
      </c>
      <c r="B45" s="108" t="s">
        <v>5399</v>
      </c>
      <c r="C45" s="872"/>
    </row>
    <row r="46" spans="1:3">
      <c r="A46" s="595" t="s">
        <v>4762</v>
      </c>
      <c r="B46" s="108" t="s">
        <v>5400</v>
      </c>
      <c r="C46" s="872"/>
    </row>
    <row r="47" spans="1:3">
      <c r="A47" s="595"/>
      <c r="B47" s="977"/>
      <c r="C47" s="872"/>
    </row>
    <row r="48" spans="1:3">
      <c r="A48" s="595"/>
      <c r="B48" s="977" t="s">
        <v>5378</v>
      </c>
      <c r="C48" s="872"/>
    </row>
    <row r="49" spans="1:3">
      <c r="A49" s="595" t="s">
        <v>4557</v>
      </c>
      <c r="B49" s="977" t="s">
        <v>5401</v>
      </c>
      <c r="C49" s="872"/>
    </row>
    <row r="50" spans="1:3">
      <c r="A50" s="595" t="s">
        <v>4558</v>
      </c>
      <c r="B50" s="977" t="s">
        <v>5402</v>
      </c>
      <c r="C50" s="872"/>
    </row>
    <row r="51" spans="1:3">
      <c r="A51" s="595" t="s">
        <v>4559</v>
      </c>
      <c r="B51" s="977" t="s">
        <v>5394</v>
      </c>
      <c r="C51" s="872"/>
    </row>
    <row r="52" spans="1:3">
      <c r="A52" s="595"/>
      <c r="B52" s="977" t="s">
        <v>5403</v>
      </c>
      <c r="C52" s="872"/>
    </row>
    <row r="53" spans="1:3">
      <c r="A53" s="595" t="s">
        <v>4762</v>
      </c>
      <c r="B53" s="977" t="s">
        <v>5404</v>
      </c>
      <c r="C53" s="872"/>
    </row>
    <row r="54" spans="1:3">
      <c r="A54" s="595"/>
      <c r="B54" s="977"/>
      <c r="C54" s="872"/>
    </row>
    <row r="55" spans="1:3">
      <c r="A55" s="595"/>
      <c r="B55" s="977"/>
      <c r="C55" s="872"/>
    </row>
    <row r="56" spans="1:3">
      <c r="A56" s="595"/>
      <c r="B56" s="977"/>
      <c r="C56" s="872"/>
    </row>
    <row r="57" spans="1:3">
      <c r="A57" s="595"/>
      <c r="B57" s="977"/>
      <c r="C57" s="872"/>
    </row>
    <row r="58" spans="1:3">
      <c r="A58" s="595"/>
      <c r="B58" s="977"/>
      <c r="C58" s="872"/>
    </row>
    <row r="59" spans="1:3">
      <c r="A59" s="595"/>
      <c r="B59" s="977"/>
      <c r="C59" s="872"/>
    </row>
    <row r="60" spans="1:3">
      <c r="A60" s="595"/>
      <c r="B60" s="977"/>
      <c r="C60" s="872"/>
    </row>
    <row r="61" spans="1:3">
      <c r="A61" s="595"/>
      <c r="B61" s="977"/>
      <c r="C61" s="872"/>
    </row>
    <row r="62" spans="1:3">
      <c r="A62" s="595"/>
      <c r="B62" s="977"/>
      <c r="C62" s="872"/>
    </row>
    <row r="63" spans="1:3">
      <c r="A63" s="595"/>
      <c r="B63" s="977"/>
      <c r="C63" s="872"/>
    </row>
    <row r="64" spans="1:3">
      <c r="A64" s="595"/>
      <c r="B64" s="108"/>
      <c r="C64" s="872"/>
    </row>
    <row r="65" spans="1:3" ht="15.75" thickBot="1">
      <c r="A65" s="873"/>
      <c r="B65" s="2169"/>
      <c r="C65" s="875"/>
    </row>
    <row r="66" spans="1:3">
      <c r="C66" s="213" t="s">
        <v>2024</v>
      </c>
    </row>
    <row r="67" spans="1:3">
      <c r="A67" s="4" t="s">
        <v>4425</v>
      </c>
      <c r="B67" s="4"/>
      <c r="C67" s="4"/>
    </row>
    <row r="72" spans="1:3">
      <c r="B72" s="108"/>
    </row>
    <row r="75" spans="1:3">
      <c r="B75" s="108"/>
    </row>
    <row r="76" spans="1:3">
      <c r="B76" s="108"/>
    </row>
    <row r="77" spans="1:3">
      <c r="B77" s="108"/>
    </row>
    <row r="78" spans="1:3">
      <c r="B78" s="108"/>
    </row>
  </sheetData>
  <printOptions horizontalCentered="1" verticalCentered="1"/>
  <pageMargins left="0.2" right="0.2" top="0.2" bottom="0.2" header="0" footer="0"/>
  <pageSetup scale="72"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ransitionEvaluation="1">
    <pageSetUpPr fitToPage="1"/>
  </sheetPr>
  <dimension ref="A1:C78"/>
  <sheetViews>
    <sheetView defaultGridColor="0" colorId="22" zoomScaleNormal="100" zoomScaleSheetLayoutView="55" workbookViewId="0">
      <pane xSplit="1" ySplit="4" topLeftCell="B35" activePane="bottomRight" state="frozen"/>
      <selection activeCell="A2" sqref="A2"/>
      <selection pane="topRight" activeCell="A2" sqref="A2"/>
      <selection pane="bottomLeft" activeCell="A2" sqref="A2"/>
      <selection pane="bottomRight" activeCell="B52" sqref="B52"/>
    </sheetView>
  </sheetViews>
  <sheetFormatPr defaultColWidth="9.77734375" defaultRowHeight="15"/>
  <cols>
    <col min="1" max="1" width="4.77734375" customWidth="1"/>
    <col min="2" max="2" width="56.88671875" customWidth="1"/>
    <col min="3" max="3" width="54.109375" customWidth="1"/>
  </cols>
  <sheetData>
    <row r="1" spans="1:3" ht="15.75" thickBot="1">
      <c r="A1" s="86" t="s">
        <v>5234</v>
      </c>
      <c r="C1" s="86" t="str">
        <f>+'359b360b'!C1</f>
        <v xml:space="preserve">                                                        Year Ended  December 31, 2023</v>
      </c>
    </row>
    <row r="2" spans="1:3" ht="15.75">
      <c r="A2" s="877" t="s">
        <v>5304</v>
      </c>
      <c r="B2" s="81"/>
      <c r="C2" s="82"/>
    </row>
    <row r="3" spans="1:3" ht="15.75">
      <c r="A3" s="1984"/>
      <c r="C3" s="214"/>
    </row>
    <row r="4" spans="1:3" ht="18">
      <c r="A4" s="723" t="s">
        <v>606</v>
      </c>
      <c r="B4" s="887"/>
      <c r="C4" s="119"/>
    </row>
    <row r="5" spans="1:3">
      <c r="A5" s="83"/>
      <c r="C5" s="214"/>
    </row>
    <row r="6" spans="1:3">
      <c r="A6" s="595" t="s">
        <v>284</v>
      </c>
      <c r="B6" t="s">
        <v>3667</v>
      </c>
      <c r="C6" s="214"/>
    </row>
    <row r="7" spans="1:3">
      <c r="A7" s="83"/>
      <c r="B7" t="s">
        <v>3891</v>
      </c>
      <c r="C7" s="214"/>
    </row>
    <row r="8" spans="1:3">
      <c r="A8" s="83"/>
      <c r="B8" t="s">
        <v>2040</v>
      </c>
      <c r="C8" s="214"/>
    </row>
    <row r="9" spans="1:3">
      <c r="A9" s="83"/>
      <c r="B9" t="s">
        <v>2041</v>
      </c>
      <c r="C9" s="214"/>
    </row>
    <row r="10" spans="1:3">
      <c r="A10" s="83"/>
      <c r="B10" t="s">
        <v>4985</v>
      </c>
      <c r="C10" s="214"/>
    </row>
    <row r="11" spans="1:3">
      <c r="A11" s="83"/>
      <c r="B11" t="s">
        <v>4986</v>
      </c>
      <c r="C11" s="214"/>
    </row>
    <row r="12" spans="1:3">
      <c r="A12" s="83"/>
      <c r="B12" t="s">
        <v>1762</v>
      </c>
      <c r="C12" s="214"/>
    </row>
    <row r="13" spans="1:3">
      <c r="A13" s="83"/>
      <c r="B13" t="s">
        <v>1763</v>
      </c>
      <c r="C13" s="214"/>
    </row>
    <row r="14" spans="1:3">
      <c r="A14" s="595" t="s">
        <v>1687</v>
      </c>
      <c r="B14" t="s">
        <v>649</v>
      </c>
      <c r="C14" s="214"/>
    </row>
    <row r="15" spans="1:3">
      <c r="A15" s="595" t="s">
        <v>3053</v>
      </c>
      <c r="B15" t="s">
        <v>4987</v>
      </c>
      <c r="C15" s="214"/>
    </row>
    <row r="16" spans="1:3">
      <c r="A16" s="83"/>
      <c r="B16" t="s">
        <v>650</v>
      </c>
      <c r="C16" s="214"/>
    </row>
    <row r="17" spans="1:3">
      <c r="A17" s="595" t="s">
        <v>2364</v>
      </c>
      <c r="B17" t="s">
        <v>4337</v>
      </c>
      <c r="C17" s="214"/>
    </row>
    <row r="18" spans="1:3">
      <c r="A18" s="83"/>
      <c r="B18" t="s">
        <v>4988</v>
      </c>
      <c r="C18" s="214"/>
    </row>
    <row r="19" spans="1:3">
      <c r="A19" s="595" t="s">
        <v>2366</v>
      </c>
      <c r="B19" t="s">
        <v>4347</v>
      </c>
      <c r="C19" s="214"/>
    </row>
    <row r="20" spans="1:3">
      <c r="A20" s="83"/>
      <c r="B20" t="s">
        <v>1912</v>
      </c>
      <c r="C20" s="214"/>
    </row>
    <row r="21" spans="1:3">
      <c r="A21" s="83"/>
      <c r="B21" t="s">
        <v>1913</v>
      </c>
      <c r="C21" s="214"/>
    </row>
    <row r="22" spans="1:3">
      <c r="A22" s="83"/>
      <c r="B22" t="s">
        <v>4989</v>
      </c>
      <c r="C22" s="214"/>
    </row>
    <row r="23" spans="1:3">
      <c r="A23" s="595" t="s">
        <v>198</v>
      </c>
      <c r="B23" t="s">
        <v>2158</v>
      </c>
      <c r="C23" s="214"/>
    </row>
    <row r="24" spans="1:3">
      <c r="A24" s="83"/>
      <c r="B24" t="s">
        <v>2159</v>
      </c>
      <c r="C24" s="214"/>
    </row>
    <row r="25" spans="1:3">
      <c r="A25" s="595" t="s">
        <v>346</v>
      </c>
      <c r="B25" t="s">
        <v>2160</v>
      </c>
      <c r="C25" s="214"/>
    </row>
    <row r="26" spans="1:3">
      <c r="A26" s="83"/>
      <c r="B26" t="s">
        <v>2161</v>
      </c>
      <c r="C26" s="214"/>
    </row>
    <row r="27" spans="1:3">
      <c r="A27" s="595" t="s">
        <v>886</v>
      </c>
      <c r="B27" t="s">
        <v>308</v>
      </c>
      <c r="C27" s="214"/>
    </row>
    <row r="28" spans="1:3">
      <c r="A28" s="83"/>
      <c r="B28" t="s">
        <v>2445</v>
      </c>
      <c r="C28" s="214"/>
    </row>
    <row r="29" spans="1:3">
      <c r="A29" s="83"/>
      <c r="B29" t="s">
        <v>2446</v>
      </c>
      <c r="C29" s="214"/>
    </row>
    <row r="30" spans="1:3">
      <c r="A30" s="83"/>
      <c r="B30" t="s">
        <v>2447</v>
      </c>
      <c r="C30" s="214"/>
    </row>
    <row r="31" spans="1:3">
      <c r="A31" s="595" t="s">
        <v>3622</v>
      </c>
      <c r="B31" t="s">
        <v>2448</v>
      </c>
      <c r="C31" s="214"/>
    </row>
    <row r="32" spans="1:3">
      <c r="A32" s="595" t="s">
        <v>3541</v>
      </c>
      <c r="B32" t="s">
        <v>3911</v>
      </c>
      <c r="C32" s="214"/>
    </row>
    <row r="33" spans="1:3">
      <c r="A33" s="595" t="s">
        <v>3546</v>
      </c>
      <c r="B33" t="s">
        <v>24</v>
      </c>
      <c r="C33" s="214"/>
    </row>
    <row r="34" spans="1:3">
      <c r="A34" s="83"/>
      <c r="B34" t="s">
        <v>25</v>
      </c>
      <c r="C34" s="214"/>
    </row>
    <row r="35" spans="1:3">
      <c r="A35" s="83"/>
      <c r="B35" t="s">
        <v>26</v>
      </c>
      <c r="C35" s="214"/>
    </row>
    <row r="36" spans="1:3">
      <c r="A36" s="595" t="s">
        <v>1503</v>
      </c>
      <c r="B36" t="s">
        <v>2295</v>
      </c>
      <c r="C36" s="214"/>
    </row>
    <row r="37" spans="1:3">
      <c r="A37" s="123"/>
      <c r="B37" s="224" t="s">
        <v>2296</v>
      </c>
      <c r="C37" s="225"/>
    </row>
    <row r="38" spans="1:3">
      <c r="A38" s="83"/>
      <c r="B38" t="s">
        <v>2414</v>
      </c>
      <c r="C38" s="214"/>
    </row>
    <row r="39" spans="1:3">
      <c r="A39" s="83"/>
      <c r="B39" t="s">
        <v>2315</v>
      </c>
      <c r="C39" s="214"/>
    </row>
    <row r="40" spans="1:3">
      <c r="A40" s="83"/>
      <c r="B40" t="s">
        <v>4761</v>
      </c>
      <c r="C40" s="214"/>
    </row>
    <row r="41" spans="1:3">
      <c r="A41" s="871"/>
      <c r="B41" s="22"/>
      <c r="C41" s="872"/>
    </row>
    <row r="42" spans="1:3">
      <c r="A42" s="871"/>
      <c r="B42" s="977" t="s">
        <v>5373</v>
      </c>
      <c r="C42" s="872"/>
    </row>
    <row r="43" spans="1:3">
      <c r="A43" s="595" t="s">
        <v>4557</v>
      </c>
      <c r="B43" s="977" t="s">
        <v>5374</v>
      </c>
      <c r="C43" s="872"/>
    </row>
    <row r="44" spans="1:3">
      <c r="A44" s="595" t="s">
        <v>4558</v>
      </c>
      <c r="B44" s="977" t="s">
        <v>5375</v>
      </c>
      <c r="C44" s="872"/>
    </row>
    <row r="45" spans="1:3">
      <c r="A45" s="595" t="s">
        <v>4559</v>
      </c>
      <c r="B45" s="108" t="s">
        <v>5376</v>
      </c>
      <c r="C45" s="872"/>
    </row>
    <row r="46" spans="1:3">
      <c r="A46" s="595" t="s">
        <v>4762</v>
      </c>
      <c r="B46" s="977" t="s">
        <v>5377</v>
      </c>
      <c r="C46" s="872"/>
    </row>
    <row r="47" spans="1:3">
      <c r="A47" s="595"/>
      <c r="B47" s="108"/>
      <c r="C47" s="872"/>
    </row>
    <row r="48" spans="1:3">
      <c r="A48" s="595"/>
      <c r="B48" s="108" t="s">
        <v>5378</v>
      </c>
      <c r="C48" s="872"/>
    </row>
    <row r="49" spans="1:3">
      <c r="A49" s="595" t="s">
        <v>4557</v>
      </c>
      <c r="B49" s="977" t="s">
        <v>5379</v>
      </c>
      <c r="C49" s="872"/>
    </row>
    <row r="50" spans="1:3">
      <c r="A50" s="595" t="s">
        <v>4558</v>
      </c>
      <c r="B50" s="977" t="s">
        <v>5380</v>
      </c>
      <c r="C50" s="872"/>
    </row>
    <row r="51" spans="1:3">
      <c r="A51" s="595" t="s">
        <v>4559</v>
      </c>
      <c r="B51" s="977" t="s">
        <v>5381</v>
      </c>
      <c r="C51" s="872"/>
    </row>
    <row r="52" spans="1:3">
      <c r="A52" s="595"/>
      <c r="B52" s="977" t="s">
        <v>5382</v>
      </c>
      <c r="C52" s="872"/>
    </row>
    <row r="53" spans="1:3">
      <c r="A53" s="595" t="s">
        <v>4762</v>
      </c>
      <c r="B53" s="977" t="s">
        <v>5383</v>
      </c>
      <c r="C53" s="872"/>
    </row>
    <row r="54" spans="1:3">
      <c r="A54" s="595"/>
      <c r="B54" s="977"/>
      <c r="C54" s="872"/>
    </row>
    <row r="55" spans="1:3">
      <c r="A55" s="595"/>
      <c r="B55" s="977"/>
      <c r="C55" s="872"/>
    </row>
    <row r="56" spans="1:3">
      <c r="A56" s="595"/>
      <c r="B56" s="977"/>
      <c r="C56" s="872"/>
    </row>
    <row r="57" spans="1:3">
      <c r="A57" s="595"/>
      <c r="B57" s="977"/>
      <c r="C57" s="872"/>
    </row>
    <row r="58" spans="1:3">
      <c r="A58" s="595"/>
      <c r="B58" s="977"/>
      <c r="C58" s="872"/>
    </row>
    <row r="59" spans="1:3">
      <c r="A59" s="595"/>
      <c r="B59" s="977"/>
      <c r="C59" s="872"/>
    </row>
    <row r="60" spans="1:3">
      <c r="A60" s="595"/>
      <c r="B60" s="977"/>
      <c r="C60" s="872"/>
    </row>
    <row r="61" spans="1:3">
      <c r="A61" s="595"/>
      <c r="B61" s="977"/>
      <c r="C61" s="872"/>
    </row>
    <row r="62" spans="1:3">
      <c r="A62" s="595"/>
      <c r="B62" s="977"/>
      <c r="C62" s="872"/>
    </row>
    <row r="63" spans="1:3">
      <c r="A63" s="595"/>
      <c r="B63" s="977"/>
      <c r="C63" s="872"/>
    </row>
    <row r="64" spans="1:3">
      <c r="A64" s="595"/>
      <c r="B64" s="108"/>
      <c r="C64" s="872"/>
    </row>
    <row r="65" spans="1:3" ht="15.75" thickBot="1">
      <c r="A65" s="873"/>
      <c r="B65" s="2169"/>
      <c r="C65" s="875"/>
    </row>
    <row r="66" spans="1:3">
      <c r="C66" s="213" t="s">
        <v>2024</v>
      </c>
    </row>
    <row r="67" spans="1:3">
      <c r="A67" s="5" t="s">
        <v>4991</v>
      </c>
      <c r="B67" s="4"/>
      <c r="C67" s="4"/>
    </row>
    <row r="72" spans="1:3">
      <c r="B72" s="108"/>
    </row>
    <row r="75" spans="1:3">
      <c r="B75" s="108"/>
    </row>
    <row r="76" spans="1:3">
      <c r="B76" s="108"/>
    </row>
    <row r="77" spans="1:3">
      <c r="B77" s="108"/>
    </row>
    <row r="78" spans="1:3">
      <c r="B78" s="108"/>
    </row>
  </sheetData>
  <printOptions horizontalCentered="1" verticalCentered="1"/>
  <pageMargins left="0.2" right="0.2" top="0.2" bottom="0.2" header="0" footer="0"/>
  <pageSetup scale="74"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codeName="Sheet80">
    <pageSetUpPr fitToPage="1"/>
  </sheetPr>
  <dimension ref="A1:G74"/>
  <sheetViews>
    <sheetView defaultGridColor="0" colorId="22" zoomScaleNormal="100" workbookViewId="0">
      <selection activeCell="C19" sqref="C19"/>
    </sheetView>
  </sheetViews>
  <sheetFormatPr defaultColWidth="9.77734375" defaultRowHeight="15"/>
  <cols>
    <col min="1" max="1" width="4.77734375" customWidth="1"/>
    <col min="2" max="2" width="1.77734375" customWidth="1"/>
    <col min="3" max="3" width="60.77734375" customWidth="1"/>
    <col min="4" max="4" width="20.77734375" customWidth="1"/>
    <col min="5" max="5" width="2.77734375" customWidth="1"/>
    <col min="6" max="6" width="18.77734375" customWidth="1"/>
    <col min="7" max="7" width="1.77734375" customWidth="1"/>
  </cols>
  <sheetData>
    <row r="1" spans="1:7" ht="15.75" thickBot="1">
      <c r="A1" t="str">
        <f>'Data sheet'!A59</f>
        <v>Annual Report of Veolia Water New York, Inc.                                                             Year Ended  December 31, 2023</v>
      </c>
      <c r="B1" s="224"/>
      <c r="C1" s="224"/>
      <c r="D1" s="224"/>
      <c r="E1" s="224"/>
      <c r="F1" s="224"/>
      <c r="G1" s="224"/>
    </row>
    <row r="2" spans="1:7" ht="15.75">
      <c r="A2" s="877" t="s">
        <v>5305</v>
      </c>
      <c r="B2" s="81"/>
      <c r="C2" s="81"/>
      <c r="D2" s="81"/>
      <c r="E2" s="81"/>
      <c r="F2" s="81"/>
      <c r="G2" s="82"/>
    </row>
    <row r="3" spans="1:7" ht="18">
      <c r="A3" s="723" t="s">
        <v>2317</v>
      </c>
      <c r="B3" s="4"/>
      <c r="C3" s="887"/>
      <c r="D3" s="887"/>
      <c r="E3" s="4"/>
      <c r="F3" s="4"/>
      <c r="G3" s="119"/>
    </row>
    <row r="4" spans="1:7">
      <c r="A4" s="123"/>
      <c r="B4" s="224"/>
      <c r="C4" s="224"/>
      <c r="D4" s="224"/>
      <c r="E4" s="224"/>
      <c r="F4" s="224"/>
      <c r="G4" s="225"/>
    </row>
    <row r="5" spans="1:7">
      <c r="A5" s="234"/>
      <c r="E5" s="522"/>
      <c r="F5" s="600" t="s">
        <v>1738</v>
      </c>
      <c r="G5" s="214"/>
    </row>
    <row r="6" spans="1:7">
      <c r="A6" s="479" t="s">
        <v>1727</v>
      </c>
      <c r="B6" s="522"/>
      <c r="C6" s="600" t="s">
        <v>1290</v>
      </c>
      <c r="E6" s="522"/>
      <c r="F6" s="600" t="s">
        <v>2318</v>
      </c>
      <c r="G6" s="214"/>
    </row>
    <row r="7" spans="1:7">
      <c r="A7" s="596" t="s">
        <v>1739</v>
      </c>
      <c r="B7" s="597"/>
      <c r="C7" s="797" t="s">
        <v>3279</v>
      </c>
      <c r="D7" s="224"/>
      <c r="E7" s="597"/>
      <c r="F7" s="797" t="s">
        <v>3280</v>
      </c>
      <c r="G7" s="225"/>
    </row>
    <row r="8" spans="1:7" ht="18">
      <c r="A8" s="83"/>
      <c r="B8" s="522"/>
      <c r="C8" s="1035" t="s">
        <v>2319</v>
      </c>
      <c r="D8" s="882"/>
      <c r="E8" s="522"/>
      <c r="F8" s="1757"/>
      <c r="G8" s="214"/>
    </row>
    <row r="9" spans="1:7">
      <c r="A9" s="83"/>
      <c r="B9" s="522"/>
      <c r="C9" t="s">
        <v>2320</v>
      </c>
      <c r="E9" s="522"/>
      <c r="F9" s="1939"/>
      <c r="G9" s="214"/>
    </row>
    <row r="10" spans="1:7">
      <c r="A10" s="595" t="s">
        <v>340</v>
      </c>
      <c r="B10" s="522"/>
      <c r="C10" t="s">
        <v>2321</v>
      </c>
      <c r="E10" s="713" t="s">
        <v>3456</v>
      </c>
      <c r="F10" s="2115">
        <v>1429064</v>
      </c>
      <c r="G10" s="214"/>
    </row>
    <row r="11" spans="1:7">
      <c r="A11" s="595" t="s">
        <v>341</v>
      </c>
      <c r="B11" s="522"/>
      <c r="C11" t="s">
        <v>2322</v>
      </c>
      <c r="E11" s="713" t="s">
        <v>3456</v>
      </c>
      <c r="F11" s="2115">
        <v>640712</v>
      </c>
      <c r="G11" s="214"/>
    </row>
    <row r="12" spans="1:7">
      <c r="A12" s="595" t="s">
        <v>342</v>
      </c>
      <c r="B12" s="522"/>
      <c r="C12" t="s">
        <v>2323</v>
      </c>
      <c r="E12" s="713" t="s">
        <v>3456</v>
      </c>
      <c r="F12" s="2115">
        <v>539290</v>
      </c>
      <c r="G12" s="214"/>
    </row>
    <row r="13" spans="1:7">
      <c r="A13" s="595" t="s">
        <v>343</v>
      </c>
      <c r="B13" s="522"/>
      <c r="C13" t="s">
        <v>2324</v>
      </c>
      <c r="E13" s="713" t="s">
        <v>3456</v>
      </c>
      <c r="F13" s="2115">
        <v>459746</v>
      </c>
      <c r="G13" s="214"/>
    </row>
    <row r="14" spans="1:7">
      <c r="A14" s="83"/>
      <c r="B14" s="522"/>
      <c r="C14" t="s">
        <v>1919</v>
      </c>
      <c r="E14" s="522"/>
      <c r="F14" s="2119"/>
      <c r="G14" s="214"/>
    </row>
    <row r="15" spans="1:7">
      <c r="A15" s="595" t="s">
        <v>344</v>
      </c>
      <c r="B15" s="522"/>
      <c r="C15" t="s">
        <v>1920</v>
      </c>
      <c r="E15" s="713" t="s">
        <v>3456</v>
      </c>
      <c r="F15" s="2115">
        <v>0</v>
      </c>
      <c r="G15" s="214"/>
    </row>
    <row r="16" spans="1:7">
      <c r="A16" s="595" t="s">
        <v>345</v>
      </c>
      <c r="B16" s="522"/>
      <c r="C16" t="s">
        <v>3720</v>
      </c>
      <c r="E16" s="713" t="s">
        <v>3456</v>
      </c>
      <c r="F16" s="2115">
        <v>0</v>
      </c>
      <c r="G16" s="214"/>
    </row>
    <row r="17" spans="1:7">
      <c r="A17" s="595" t="s">
        <v>346</v>
      </c>
      <c r="B17" s="522"/>
      <c r="C17" t="s">
        <v>1921</v>
      </c>
      <c r="E17" s="713" t="s">
        <v>3456</v>
      </c>
      <c r="F17" s="2115">
        <v>0</v>
      </c>
      <c r="G17" s="214"/>
    </row>
    <row r="18" spans="1:7">
      <c r="A18" s="595" t="s">
        <v>347</v>
      </c>
      <c r="B18" s="522"/>
      <c r="C18" t="s">
        <v>3185</v>
      </c>
      <c r="E18" s="713" t="s">
        <v>3456</v>
      </c>
      <c r="F18" s="2115">
        <v>0</v>
      </c>
      <c r="G18" s="214"/>
    </row>
    <row r="19" spans="1:7">
      <c r="A19" s="595" t="s">
        <v>348</v>
      </c>
      <c r="B19" s="522"/>
      <c r="C19" t="s">
        <v>605</v>
      </c>
      <c r="E19" s="713" t="s">
        <v>3456</v>
      </c>
      <c r="F19" s="2115">
        <v>-236908</v>
      </c>
      <c r="G19" s="214"/>
    </row>
    <row r="20" spans="1:7">
      <c r="A20" s="595" t="s">
        <v>349</v>
      </c>
      <c r="B20" s="522"/>
      <c r="C20" t="s">
        <v>3664</v>
      </c>
      <c r="E20" s="713" t="s">
        <v>3456</v>
      </c>
      <c r="F20" s="2115">
        <v>-1005587</v>
      </c>
      <c r="G20" s="214"/>
    </row>
    <row r="21" spans="1:7">
      <c r="A21" s="595" t="s">
        <v>350</v>
      </c>
      <c r="B21" s="522"/>
      <c r="C21" t="s">
        <v>2310</v>
      </c>
      <c r="E21" s="713" t="s">
        <v>3456</v>
      </c>
      <c r="F21" s="2115">
        <v>0</v>
      </c>
      <c r="G21" s="214"/>
    </row>
    <row r="22" spans="1:7">
      <c r="A22" s="595" t="s">
        <v>351</v>
      </c>
      <c r="B22" s="522"/>
      <c r="C22" t="s">
        <v>2311</v>
      </c>
      <c r="E22" s="713" t="s">
        <v>3456</v>
      </c>
      <c r="F22" s="2115">
        <v>0</v>
      </c>
      <c r="G22" s="214"/>
    </row>
    <row r="23" spans="1:7">
      <c r="A23" s="595" t="s">
        <v>352</v>
      </c>
      <c r="B23" s="522"/>
      <c r="C23" t="s">
        <v>2312</v>
      </c>
      <c r="E23" s="522"/>
      <c r="F23" s="2121">
        <v>45291</v>
      </c>
      <c r="G23" s="214"/>
    </row>
    <row r="24" spans="1:7">
      <c r="A24" s="595" t="s">
        <v>353</v>
      </c>
      <c r="B24" s="522"/>
      <c r="C24" t="s">
        <v>2313</v>
      </c>
      <c r="E24" s="522"/>
      <c r="F24" s="2122">
        <v>5.4100000000000002E-2</v>
      </c>
      <c r="G24" s="214"/>
    </row>
    <row r="25" spans="1:7">
      <c r="A25" s="595" t="s">
        <v>354</v>
      </c>
      <c r="B25" s="522"/>
      <c r="C25" t="s">
        <v>2314</v>
      </c>
      <c r="E25" s="522"/>
      <c r="F25" s="2117">
        <v>4.3749999999999997E-2</v>
      </c>
      <c r="G25" s="214"/>
    </row>
    <row r="26" spans="1:7">
      <c r="A26" s="595" t="s">
        <v>355</v>
      </c>
      <c r="B26" s="522"/>
      <c r="C26" t="s">
        <v>3690</v>
      </c>
      <c r="E26" s="522"/>
      <c r="F26" s="2117"/>
      <c r="G26" s="214"/>
    </row>
    <row r="27" spans="1:7">
      <c r="A27" s="595" t="s">
        <v>356</v>
      </c>
      <c r="B27" s="522"/>
      <c r="C27" t="s">
        <v>3621</v>
      </c>
      <c r="E27" s="522"/>
      <c r="F27" s="2117">
        <v>3.7499999999999999E-2</v>
      </c>
      <c r="G27" s="214"/>
    </row>
    <row r="28" spans="1:7" ht="18">
      <c r="A28" s="83"/>
      <c r="B28" s="522"/>
      <c r="C28" s="1035" t="s">
        <v>3691</v>
      </c>
      <c r="D28" s="882"/>
      <c r="E28" s="522"/>
      <c r="F28" s="426"/>
      <c r="G28" s="214"/>
    </row>
    <row r="29" spans="1:7">
      <c r="A29" s="595" t="s">
        <v>357</v>
      </c>
      <c r="B29" s="522"/>
      <c r="C29" t="s">
        <v>3543</v>
      </c>
      <c r="E29" s="713" t="s">
        <v>3456</v>
      </c>
      <c r="F29" s="2119">
        <v>35685</v>
      </c>
      <c r="G29" s="214"/>
    </row>
    <row r="30" spans="1:7">
      <c r="A30" s="595" t="s">
        <v>358</v>
      </c>
      <c r="B30" s="522"/>
      <c r="C30" t="s">
        <v>3545</v>
      </c>
      <c r="E30" s="522"/>
      <c r="F30" s="2119">
        <v>134998</v>
      </c>
      <c r="G30" s="214"/>
    </row>
    <row r="31" spans="1:7">
      <c r="A31" s="595" t="s">
        <v>359</v>
      </c>
      <c r="B31" s="522"/>
      <c r="C31" t="s">
        <v>3692</v>
      </c>
      <c r="E31" s="522"/>
      <c r="F31" s="2119">
        <v>35376</v>
      </c>
      <c r="G31" s="214"/>
    </row>
    <row r="32" spans="1:7">
      <c r="A32" s="595" t="s">
        <v>360</v>
      </c>
      <c r="B32" s="522"/>
      <c r="C32" t="s">
        <v>158</v>
      </c>
      <c r="E32" s="522"/>
      <c r="F32" s="2119">
        <v>-39836</v>
      </c>
      <c r="G32" s="214"/>
    </row>
    <row r="33" spans="1:7">
      <c r="A33" s="595" t="s">
        <v>361</v>
      </c>
      <c r="B33" s="522"/>
      <c r="C33" t="s">
        <v>2746</v>
      </c>
      <c r="E33" s="522"/>
      <c r="F33" s="2119">
        <v>0</v>
      </c>
      <c r="G33" s="214"/>
    </row>
    <row r="34" spans="1:7">
      <c r="A34" s="595" t="s">
        <v>362</v>
      </c>
      <c r="B34" s="522"/>
      <c r="C34" t="s">
        <v>3507</v>
      </c>
      <c r="E34" s="522"/>
      <c r="F34" s="2119">
        <v>-149134</v>
      </c>
      <c r="G34" s="214"/>
    </row>
    <row r="35" spans="1:7">
      <c r="A35" s="595" t="s">
        <v>363</v>
      </c>
      <c r="B35" s="522"/>
      <c r="C35" t="s">
        <v>3693</v>
      </c>
      <c r="E35" s="522"/>
      <c r="F35" s="2119">
        <v>-126286</v>
      </c>
      <c r="G35" s="214"/>
    </row>
    <row r="36" spans="1:7">
      <c r="A36" s="595" t="s">
        <v>364</v>
      </c>
      <c r="B36" s="522"/>
      <c r="C36" t="s">
        <v>4089</v>
      </c>
      <c r="E36" s="522"/>
      <c r="F36" s="2119">
        <v>0</v>
      </c>
      <c r="G36" s="214"/>
    </row>
    <row r="37" spans="1:7" ht="18">
      <c r="A37" s="596" t="s">
        <v>3238</v>
      </c>
      <c r="B37" s="597"/>
      <c r="C37" s="1036" t="s">
        <v>3694</v>
      </c>
      <c r="D37" s="888"/>
      <c r="E37" s="914" t="s">
        <v>3456</v>
      </c>
      <c r="F37" s="2375">
        <v>-109197</v>
      </c>
      <c r="G37" s="225"/>
    </row>
    <row r="38" spans="1:7" ht="18">
      <c r="A38" s="83"/>
      <c r="B38" s="522"/>
      <c r="C38" s="882"/>
      <c r="D38" s="882"/>
      <c r="G38" s="214"/>
    </row>
    <row r="39" spans="1:7" ht="18">
      <c r="A39" s="83"/>
      <c r="B39" s="522"/>
      <c r="C39" s="882"/>
      <c r="D39" s="882"/>
      <c r="G39" s="214"/>
    </row>
    <row r="40" spans="1:7" ht="18">
      <c r="A40" s="83"/>
      <c r="B40" s="522"/>
      <c r="C40" s="882"/>
      <c r="D40" s="882"/>
      <c r="G40" s="214"/>
    </row>
    <row r="41" spans="1:7" ht="18">
      <c r="A41" s="83"/>
      <c r="B41" s="522"/>
      <c r="C41" s="882"/>
      <c r="D41" s="882"/>
      <c r="G41" s="214"/>
    </row>
    <row r="42" spans="1:7" ht="18">
      <c r="A42" s="83"/>
      <c r="B42" s="522"/>
      <c r="C42" s="882"/>
      <c r="D42" s="882"/>
      <c r="G42" s="214"/>
    </row>
    <row r="43" spans="1:7" ht="18">
      <c r="A43" s="83"/>
      <c r="B43" s="522"/>
      <c r="C43" s="882"/>
      <c r="D43" s="882"/>
      <c r="G43" s="214"/>
    </row>
    <row r="44" spans="1:7" ht="18">
      <c r="A44" s="83"/>
      <c r="B44" s="522"/>
      <c r="C44" s="882"/>
      <c r="D44" s="882"/>
      <c r="G44" s="214"/>
    </row>
    <row r="45" spans="1:7" ht="18">
      <c r="A45" s="83"/>
      <c r="B45" s="522"/>
      <c r="C45" s="882"/>
      <c r="D45" s="882"/>
      <c r="G45" s="214"/>
    </row>
    <row r="46" spans="1:7" ht="18">
      <c r="A46" s="83"/>
      <c r="B46" s="522"/>
      <c r="C46" s="882"/>
      <c r="D46" s="882"/>
      <c r="G46" s="214"/>
    </row>
    <row r="47" spans="1:7" ht="18">
      <c r="A47" s="83"/>
      <c r="B47" s="522"/>
      <c r="C47" s="882"/>
      <c r="D47" s="882"/>
      <c r="G47" s="214"/>
    </row>
    <row r="48" spans="1:7" ht="18">
      <c r="A48" s="83"/>
      <c r="B48" s="522"/>
      <c r="C48" s="882"/>
      <c r="D48" s="882"/>
      <c r="G48" s="214"/>
    </row>
    <row r="49" spans="1:7" ht="18">
      <c r="A49" s="83"/>
      <c r="B49" s="522"/>
      <c r="C49" s="882"/>
      <c r="D49" s="882"/>
      <c r="G49" s="214"/>
    </row>
    <row r="50" spans="1:7" ht="18">
      <c r="A50" s="83"/>
      <c r="B50" s="522"/>
      <c r="C50" s="882"/>
      <c r="D50" s="882"/>
      <c r="G50" s="214"/>
    </row>
    <row r="51" spans="1:7" ht="18">
      <c r="A51" s="83"/>
      <c r="B51" s="522"/>
      <c r="C51" s="882"/>
      <c r="D51" s="882"/>
      <c r="G51" s="214"/>
    </row>
    <row r="52" spans="1:7" ht="18">
      <c r="A52" s="83"/>
      <c r="B52" s="522"/>
      <c r="C52" s="882"/>
      <c r="D52" s="882"/>
      <c r="G52" s="214"/>
    </row>
    <row r="53" spans="1:7" ht="18">
      <c r="A53" s="83"/>
      <c r="B53" s="522"/>
      <c r="C53" s="882"/>
      <c r="D53" s="882"/>
      <c r="G53" s="214"/>
    </row>
    <row r="54" spans="1:7" ht="18">
      <c r="A54" s="83"/>
      <c r="B54" s="522"/>
      <c r="C54" s="882"/>
      <c r="D54" s="882"/>
      <c r="G54" s="214"/>
    </row>
    <row r="55" spans="1:7" ht="18">
      <c r="A55" s="83"/>
      <c r="B55" s="522"/>
      <c r="C55" s="882"/>
      <c r="D55" s="882"/>
      <c r="G55" s="214"/>
    </row>
    <row r="56" spans="1:7" ht="18">
      <c r="A56" s="83"/>
      <c r="B56" s="522"/>
      <c r="C56" s="882"/>
      <c r="D56" s="882"/>
      <c r="G56" s="214"/>
    </row>
    <row r="57" spans="1:7" ht="18">
      <c r="A57" s="83"/>
      <c r="B57" s="522"/>
      <c r="C57" s="882"/>
      <c r="D57" s="882"/>
      <c r="G57" s="214"/>
    </row>
    <row r="58" spans="1:7" ht="18">
      <c r="A58" s="83"/>
      <c r="B58" s="522"/>
      <c r="C58" s="882"/>
      <c r="D58" s="882"/>
      <c r="G58" s="214"/>
    </row>
    <row r="59" spans="1:7" ht="18">
      <c r="A59" s="83"/>
      <c r="B59" s="522"/>
      <c r="C59" s="882"/>
      <c r="D59" s="882"/>
      <c r="G59" s="214"/>
    </row>
    <row r="60" spans="1:7" ht="18">
      <c r="A60" s="83"/>
      <c r="B60" s="522"/>
      <c r="C60" s="882"/>
      <c r="D60" s="882"/>
      <c r="G60" s="214"/>
    </row>
    <row r="61" spans="1:7" ht="18">
      <c r="A61" s="83"/>
      <c r="B61" s="522"/>
      <c r="C61" s="882"/>
      <c r="D61" s="882"/>
      <c r="G61" s="214"/>
    </row>
    <row r="62" spans="1:7" ht="18.75" thickBot="1">
      <c r="A62" s="124"/>
      <c r="B62" s="698"/>
      <c r="C62" s="890"/>
      <c r="D62" s="890"/>
      <c r="E62" s="125"/>
      <c r="F62" s="125"/>
      <c r="G62" s="217"/>
    </row>
    <row r="63" spans="1:7">
      <c r="A63" t="s">
        <v>2024</v>
      </c>
    </row>
    <row r="64" spans="1:7">
      <c r="A64" s="4" t="s">
        <v>3695</v>
      </c>
      <c r="B64" s="4"/>
      <c r="C64" s="4"/>
      <c r="D64" s="4"/>
      <c r="E64" s="4"/>
      <c r="F64" s="4"/>
      <c r="G64" s="4"/>
    </row>
    <row r="68" spans="3:3">
      <c r="C68" s="108"/>
    </row>
    <row r="71" spans="3:3">
      <c r="C71" s="108"/>
    </row>
    <row r="72" spans="3:3">
      <c r="C72" s="108"/>
    </row>
    <row r="73" spans="3:3">
      <c r="C73" s="108"/>
    </row>
    <row r="74" spans="3:3">
      <c r="C74" s="108"/>
    </row>
  </sheetData>
  <phoneticPr fontId="0" type="noConversion"/>
  <printOptions horizontalCentered="1" verticalCentered="1"/>
  <pageMargins left="0.4" right="0.4" top="0.3" bottom="0.3" header="0" footer="0"/>
  <pageSetup scale="7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codeName="Sheet8"/>
  <dimension ref="A1:Q65"/>
  <sheetViews>
    <sheetView defaultGridColor="0" topLeftCell="B1" colorId="22" zoomScaleNormal="100" workbookViewId="0">
      <selection activeCell="N34" sqref="N34:P34"/>
    </sheetView>
  </sheetViews>
  <sheetFormatPr defaultColWidth="9.77734375" defaultRowHeight="15"/>
  <cols>
    <col min="1" max="1" width="4.77734375" customWidth="1"/>
    <col min="2" max="2" width="20.44140625" customWidth="1"/>
    <col min="3" max="3" width="44.33203125" customWidth="1"/>
    <col min="4" max="4" width="12.44140625" customWidth="1"/>
    <col min="5" max="5" width="11.21875" customWidth="1"/>
    <col min="6" max="6" width="14.44140625" customWidth="1"/>
    <col min="7" max="7" width="1.77734375" customWidth="1"/>
    <col min="8" max="8" width="12.5546875" customWidth="1"/>
    <col min="9" max="9" width="13.5546875" customWidth="1"/>
    <col min="10" max="10" width="8.44140625" customWidth="1"/>
    <col min="11" max="11" width="7" bestFit="1" customWidth="1"/>
    <col min="12" max="12" width="11.6640625" bestFit="1" customWidth="1"/>
    <col min="13" max="13" width="13.5546875" customWidth="1"/>
    <col min="14" max="14" width="9.44140625" customWidth="1"/>
    <col min="15" max="15" width="9.5546875" customWidth="1"/>
    <col min="16" max="16" width="12.109375" customWidth="1"/>
    <col min="17" max="17" width="4.77734375" customWidth="1"/>
  </cols>
  <sheetData>
    <row r="1" spans="1:17" ht="15.75" thickBot="1">
      <c r="A1" s="86" t="str">
        <f>'Data sheet'!A63</f>
        <v>Annual Report of Veolia Water New York, Inc.                                                                             Year Ended  December 31, 2023</v>
      </c>
      <c r="B1" s="86"/>
      <c r="C1" s="86"/>
      <c r="D1" s="128"/>
      <c r="E1" s="86"/>
      <c r="F1" s="86"/>
      <c r="G1" s="86"/>
      <c r="H1" s="86" t="str">
        <f>'Data sheet'!A59</f>
        <v>Annual Report of Veolia Water New York, Inc.                                                             Year Ended  December 31, 2023</v>
      </c>
      <c r="I1" s="86"/>
      <c r="J1" s="86"/>
      <c r="K1" s="86"/>
      <c r="L1" s="86"/>
      <c r="M1" s="86"/>
      <c r="N1" s="86"/>
      <c r="O1" s="86"/>
      <c r="P1" s="86"/>
      <c r="Q1" s="86"/>
    </row>
    <row r="2" spans="1:17">
      <c r="A2" s="129"/>
      <c r="B2" s="130"/>
      <c r="C2" s="130"/>
      <c r="D2" s="130"/>
      <c r="E2" s="130"/>
      <c r="F2" s="131"/>
      <c r="G2" s="129"/>
      <c r="H2" s="130"/>
      <c r="I2" s="130"/>
      <c r="J2" s="130"/>
      <c r="K2" s="130"/>
      <c r="L2" s="130"/>
      <c r="M2" s="130"/>
      <c r="N2" s="130"/>
      <c r="O2" s="130"/>
      <c r="P2" s="130"/>
      <c r="Q2" s="131"/>
    </row>
    <row r="3" spans="1:17" ht="15.75">
      <c r="A3" s="118" t="s">
        <v>282</v>
      </c>
      <c r="B3" s="5"/>
      <c r="C3" s="5"/>
      <c r="D3" s="5"/>
      <c r="E3" s="5"/>
      <c r="F3" s="132"/>
      <c r="G3" s="118" t="s">
        <v>283</v>
      </c>
      <c r="H3" s="3"/>
      <c r="I3" s="5"/>
      <c r="J3" s="5"/>
      <c r="K3" s="5"/>
      <c r="L3" s="5"/>
      <c r="M3" s="5"/>
      <c r="N3" s="5"/>
      <c r="O3" s="5"/>
      <c r="P3" s="5"/>
      <c r="Q3" s="132"/>
    </row>
    <row r="4" spans="1:17">
      <c r="A4" s="85"/>
      <c r="B4" s="5"/>
      <c r="C4" s="5"/>
      <c r="D4" s="5"/>
      <c r="E4" s="5"/>
      <c r="F4" s="87"/>
      <c r="G4" s="85"/>
      <c r="H4" s="86"/>
      <c r="I4" s="86"/>
      <c r="J4" s="86"/>
      <c r="K4" s="86"/>
      <c r="L4" s="86"/>
      <c r="M4" s="86"/>
      <c r="N4" s="86"/>
      <c r="O4" s="86"/>
      <c r="P4" s="86"/>
      <c r="Q4" s="87"/>
    </row>
    <row r="5" spans="1:17">
      <c r="A5" s="110" t="s">
        <v>284</v>
      </c>
      <c r="B5" s="108" t="s">
        <v>150</v>
      </c>
      <c r="C5" s="5"/>
      <c r="D5" s="5"/>
      <c r="E5" s="5"/>
      <c r="F5" s="87"/>
      <c r="G5" s="85"/>
      <c r="H5" s="86" t="s">
        <v>151</v>
      </c>
      <c r="I5" s="86"/>
      <c r="J5" s="86"/>
      <c r="K5" s="86"/>
      <c r="L5" s="86"/>
      <c r="M5" s="86"/>
      <c r="N5" s="86"/>
      <c r="O5" s="86"/>
      <c r="P5" s="86"/>
      <c r="Q5" s="87"/>
    </row>
    <row r="6" spans="1:17">
      <c r="A6" s="85"/>
      <c r="B6" s="108" t="s">
        <v>3599</v>
      </c>
      <c r="C6" s="5"/>
      <c r="D6" s="5"/>
      <c r="E6" s="5"/>
      <c r="F6" s="87"/>
      <c r="G6" s="85" t="s">
        <v>3600</v>
      </c>
      <c r="H6" s="86"/>
      <c r="I6" s="86"/>
      <c r="J6" s="86"/>
      <c r="K6" s="86"/>
      <c r="L6" s="86"/>
      <c r="M6" s="86"/>
      <c r="N6" s="86"/>
      <c r="O6" s="86"/>
      <c r="P6" s="86"/>
      <c r="Q6" s="87"/>
    </row>
    <row r="7" spans="1:17">
      <c r="A7" s="85"/>
      <c r="B7" s="86"/>
      <c r="C7" s="5"/>
      <c r="D7" s="5"/>
      <c r="E7" s="5"/>
      <c r="F7" s="87"/>
      <c r="G7" s="85" t="s">
        <v>2297</v>
      </c>
      <c r="H7" s="86"/>
      <c r="I7" s="86"/>
      <c r="J7" s="86"/>
      <c r="K7" s="86"/>
      <c r="L7" s="86"/>
      <c r="M7" s="86"/>
      <c r="N7" s="86"/>
      <c r="O7" s="86"/>
      <c r="P7" s="86"/>
      <c r="Q7" s="87"/>
    </row>
    <row r="8" spans="1:17">
      <c r="A8" s="110" t="s">
        <v>1687</v>
      </c>
      <c r="B8" s="108" t="s">
        <v>737</v>
      </c>
      <c r="C8" s="5"/>
      <c r="D8" s="5"/>
      <c r="E8" s="5"/>
      <c r="F8" s="87"/>
      <c r="G8" s="85" t="s">
        <v>3046</v>
      </c>
      <c r="H8" s="86"/>
      <c r="I8" s="86"/>
      <c r="J8" s="86"/>
      <c r="K8" s="86"/>
      <c r="L8" s="86"/>
      <c r="M8" s="86"/>
      <c r="N8" s="86"/>
      <c r="O8" s="86"/>
      <c r="P8" s="86"/>
      <c r="Q8" s="87"/>
    </row>
    <row r="9" spans="1:17">
      <c r="A9" s="85"/>
      <c r="B9" s="86" t="s">
        <v>2643</v>
      </c>
      <c r="C9" s="5"/>
      <c r="D9" s="5"/>
      <c r="E9" s="5"/>
      <c r="F9" s="87"/>
      <c r="G9" s="85"/>
      <c r="H9" s="86"/>
      <c r="I9" s="86"/>
      <c r="J9" s="86"/>
      <c r="K9" s="86"/>
      <c r="L9" s="86"/>
      <c r="M9" s="86"/>
      <c r="N9" s="86"/>
      <c r="O9" s="86"/>
      <c r="P9" s="86"/>
      <c r="Q9" s="87"/>
    </row>
    <row r="10" spans="1:17">
      <c r="A10" s="85"/>
      <c r="B10" s="5"/>
      <c r="C10" s="5"/>
      <c r="D10" s="5"/>
      <c r="E10" s="5"/>
      <c r="F10" s="87"/>
      <c r="G10" s="85"/>
      <c r="H10" s="86" t="s">
        <v>3052</v>
      </c>
      <c r="I10" s="86"/>
      <c r="J10" s="86"/>
      <c r="K10" s="86"/>
      <c r="L10" s="86"/>
      <c r="M10" s="86"/>
      <c r="N10" s="86"/>
      <c r="O10" s="86"/>
      <c r="P10" s="86"/>
      <c r="Q10" s="87"/>
    </row>
    <row r="11" spans="1:17">
      <c r="A11" s="110" t="s">
        <v>3053</v>
      </c>
      <c r="B11" s="108" t="s">
        <v>3803</v>
      </c>
      <c r="C11" s="5"/>
      <c r="D11" s="5"/>
      <c r="E11" s="5"/>
      <c r="F11" s="87"/>
      <c r="G11" s="85" t="s">
        <v>3804</v>
      </c>
      <c r="H11" s="86" t="s">
        <v>3805</v>
      </c>
      <c r="I11" s="86"/>
      <c r="J11" s="86"/>
      <c r="K11" s="86"/>
      <c r="L11" s="86"/>
      <c r="M11" s="86"/>
      <c r="N11" s="86"/>
      <c r="O11" s="86"/>
      <c r="P11" s="86"/>
      <c r="Q11" s="87"/>
    </row>
    <row r="12" spans="1:17">
      <c r="A12" s="85"/>
      <c r="B12" s="86" t="s">
        <v>1723</v>
      </c>
      <c r="C12" s="5"/>
      <c r="D12" s="5"/>
      <c r="E12" s="5"/>
      <c r="F12" s="87"/>
      <c r="G12" s="85"/>
      <c r="H12" s="86"/>
      <c r="I12" s="86"/>
      <c r="J12" s="86"/>
      <c r="K12" s="86"/>
      <c r="L12" s="86"/>
      <c r="M12" s="86"/>
      <c r="N12" s="86"/>
      <c r="O12" s="86"/>
      <c r="P12" s="86"/>
      <c r="Q12" s="87"/>
    </row>
    <row r="13" spans="1:17">
      <c r="A13" s="97"/>
      <c r="B13" s="133"/>
      <c r="C13" s="133"/>
      <c r="D13" s="133"/>
      <c r="E13" s="133"/>
      <c r="F13" s="101"/>
      <c r="G13" s="97"/>
      <c r="H13" s="98"/>
      <c r="I13" s="98"/>
      <c r="J13" s="98"/>
      <c r="K13" s="98"/>
      <c r="L13" s="98"/>
      <c r="M13" s="98"/>
      <c r="N13" s="98"/>
      <c r="O13" s="98"/>
      <c r="P13" s="98"/>
      <c r="Q13" s="101"/>
    </row>
    <row r="14" spans="1:17">
      <c r="A14" s="85"/>
      <c r="B14" s="96"/>
      <c r="C14" s="5" t="s">
        <v>1724</v>
      </c>
      <c r="D14" s="134" t="s">
        <v>1725</v>
      </c>
      <c r="E14" s="134" t="s">
        <v>1726</v>
      </c>
      <c r="F14" s="132"/>
      <c r="G14" s="85"/>
      <c r="H14" s="95"/>
      <c r="I14" s="91"/>
      <c r="J14" s="95"/>
      <c r="K14" s="91"/>
      <c r="L14" s="95"/>
      <c r="M14" s="91"/>
      <c r="N14" s="91"/>
      <c r="O14" s="1022" t="s">
        <v>5614</v>
      </c>
      <c r="P14" s="1022" t="s">
        <v>5614</v>
      </c>
      <c r="Q14" s="135"/>
    </row>
    <row r="15" spans="1:17">
      <c r="A15" s="110" t="s">
        <v>1727</v>
      </c>
      <c r="B15" s="96"/>
      <c r="C15" s="5" t="s">
        <v>1728</v>
      </c>
      <c r="D15" s="134" t="s">
        <v>1729</v>
      </c>
      <c r="E15" s="995" t="s">
        <v>1730</v>
      </c>
      <c r="F15" s="719" t="s">
        <v>1731</v>
      </c>
      <c r="G15" s="85"/>
      <c r="H15" s="440" t="s">
        <v>1732</v>
      </c>
      <c r="I15" s="440" t="s">
        <v>1733</v>
      </c>
      <c r="J15" s="440" t="s">
        <v>1734</v>
      </c>
      <c r="K15" s="440" t="s">
        <v>1735</v>
      </c>
      <c r="L15" s="440" t="s">
        <v>1736</v>
      </c>
      <c r="M15" s="440" t="s">
        <v>1737</v>
      </c>
      <c r="N15" s="440" t="s">
        <v>1738</v>
      </c>
      <c r="O15" s="440" t="s">
        <v>5615</v>
      </c>
      <c r="P15" s="440" t="s">
        <v>5617</v>
      </c>
      <c r="Q15" s="363" t="s">
        <v>1727</v>
      </c>
    </row>
    <row r="16" spans="1:17">
      <c r="A16" s="110" t="s">
        <v>1739</v>
      </c>
      <c r="B16" s="109" t="s">
        <v>1507</v>
      </c>
      <c r="C16" s="5" t="s">
        <v>709</v>
      </c>
      <c r="D16" s="134" t="s">
        <v>710</v>
      </c>
      <c r="E16" s="109" t="s">
        <v>711</v>
      </c>
      <c r="F16" s="428" t="s">
        <v>712</v>
      </c>
      <c r="G16" s="85"/>
      <c r="H16" s="440" t="s">
        <v>713</v>
      </c>
      <c r="I16" s="440" t="s">
        <v>714</v>
      </c>
      <c r="J16" s="440" t="s">
        <v>715</v>
      </c>
      <c r="K16" s="440" t="s">
        <v>716</v>
      </c>
      <c r="L16" s="440" t="s">
        <v>717</v>
      </c>
      <c r="M16" s="440" t="s">
        <v>718</v>
      </c>
      <c r="N16" s="440" t="s">
        <v>719</v>
      </c>
      <c r="O16" s="440" t="s">
        <v>5616</v>
      </c>
      <c r="P16" s="440" t="s">
        <v>5618</v>
      </c>
      <c r="Q16" s="363" t="s">
        <v>1739</v>
      </c>
    </row>
    <row r="17" spans="1:17">
      <c r="A17" s="85"/>
      <c r="B17" s="109" t="s">
        <v>3279</v>
      </c>
      <c r="C17" s="5" t="s">
        <v>3280</v>
      </c>
      <c r="D17" s="134" t="s">
        <v>720</v>
      </c>
      <c r="E17" s="109" t="s">
        <v>3282</v>
      </c>
      <c r="F17" s="428" t="s">
        <v>721</v>
      </c>
      <c r="G17" s="85"/>
      <c r="H17" s="440" t="s">
        <v>722</v>
      </c>
      <c r="I17" s="440" t="s">
        <v>723</v>
      </c>
      <c r="J17" s="440" t="s">
        <v>335</v>
      </c>
      <c r="K17" s="440" t="s">
        <v>336</v>
      </c>
      <c r="L17" s="440" t="s">
        <v>337</v>
      </c>
      <c r="M17" s="440" t="s">
        <v>338</v>
      </c>
      <c r="N17" s="440" t="s">
        <v>339</v>
      </c>
      <c r="O17" s="440"/>
      <c r="P17" s="440"/>
      <c r="Q17" s="135"/>
    </row>
    <row r="18" spans="1:17">
      <c r="A18" s="85"/>
      <c r="B18" s="100"/>
      <c r="C18" s="98"/>
      <c r="D18" s="365" t="s">
        <v>3281</v>
      </c>
      <c r="E18" s="100"/>
      <c r="F18" s="101"/>
      <c r="G18" s="97"/>
      <c r="H18" s="99"/>
      <c r="I18" s="99"/>
      <c r="J18" s="99"/>
      <c r="K18" s="99"/>
      <c r="L18" s="99"/>
      <c r="M18" s="99"/>
      <c r="N18" s="99"/>
      <c r="O18" s="99"/>
      <c r="P18" s="99"/>
      <c r="Q18" s="153"/>
    </row>
    <row r="19" spans="1:17">
      <c r="A19" s="362" t="s">
        <v>340</v>
      </c>
      <c r="B19" s="2063"/>
      <c r="C19" s="96"/>
      <c r="D19" s="1293"/>
      <c r="E19" s="142"/>
      <c r="F19" s="2126"/>
      <c r="G19" s="145"/>
      <c r="H19" s="146"/>
      <c r="I19" s="146"/>
      <c r="J19" s="146"/>
      <c r="K19" s="146"/>
      <c r="L19" s="146"/>
      <c r="M19" s="146"/>
      <c r="N19" s="146"/>
      <c r="O19" s="146"/>
      <c r="P19" s="146"/>
      <c r="Q19" s="363" t="s">
        <v>340</v>
      </c>
    </row>
    <row r="20" spans="1:17">
      <c r="A20" s="110" t="s">
        <v>341</v>
      </c>
      <c r="B20" s="2063" t="s">
        <v>4747</v>
      </c>
      <c r="C20" s="86" t="s">
        <v>5598</v>
      </c>
      <c r="D20" s="1293"/>
      <c r="E20" s="2051">
        <v>275840.5</v>
      </c>
      <c r="F20" s="2075">
        <v>273329.02999999997</v>
      </c>
      <c r="G20" s="436"/>
      <c r="H20" s="2848"/>
      <c r="I20" s="2051">
        <v>125580.69</v>
      </c>
      <c r="J20" s="2254">
        <v>8199.89</v>
      </c>
      <c r="K20" s="2848"/>
      <c r="L20" s="2254">
        <v>596.16</v>
      </c>
      <c r="M20" s="2254">
        <v>17500</v>
      </c>
      <c r="N20" s="2254">
        <f t="shared" ref="N20:N30" si="0">SUM(F20:M20)</f>
        <v>425205.76999999996</v>
      </c>
      <c r="O20" s="2254">
        <v>22425.714900130904</v>
      </c>
      <c r="P20" s="2254">
        <v>14879.5172987813</v>
      </c>
      <c r="Q20" s="363" t="s">
        <v>341</v>
      </c>
    </row>
    <row r="21" spans="1:17">
      <c r="A21" s="110" t="s">
        <v>342</v>
      </c>
      <c r="B21" s="2063" t="s">
        <v>4670</v>
      </c>
      <c r="C21" s="86" t="s">
        <v>5599</v>
      </c>
      <c r="D21" s="1293"/>
      <c r="E21" s="2846">
        <v>227307.6</v>
      </c>
      <c r="F21" s="2847">
        <v>225238.11999999997</v>
      </c>
      <c r="G21" s="145"/>
      <c r="H21" s="146"/>
      <c r="I21" s="2846">
        <v>86546.03</v>
      </c>
      <c r="J21" s="1985">
        <v>6757.19</v>
      </c>
      <c r="K21" s="146"/>
      <c r="L21" s="1985">
        <v>491.04</v>
      </c>
      <c r="M21" s="1985"/>
      <c r="N21" s="1985">
        <f t="shared" si="0"/>
        <v>319032.37999999995</v>
      </c>
      <c r="O21" s="1985">
        <v>79758.094999999987</v>
      </c>
      <c r="P21" s="1985">
        <v>58121.587499999987</v>
      </c>
      <c r="Q21" s="363" t="s">
        <v>342</v>
      </c>
    </row>
    <row r="22" spans="1:17">
      <c r="A22" s="110" t="s">
        <v>343</v>
      </c>
      <c r="B22" s="2063" t="s">
        <v>5122</v>
      </c>
      <c r="C22" s="86" t="s">
        <v>5600</v>
      </c>
      <c r="D22" s="1293">
        <v>44960</v>
      </c>
      <c r="E22" s="2846">
        <v>275000</v>
      </c>
      <c r="F22" s="2847">
        <v>40540.01</v>
      </c>
      <c r="G22" s="145"/>
      <c r="H22" s="146"/>
      <c r="I22" s="2846">
        <v>110560.98999999999</v>
      </c>
      <c r="J22" s="1985">
        <v>1216.21</v>
      </c>
      <c r="K22" s="146"/>
      <c r="L22" s="1985">
        <v>32.174999999999997</v>
      </c>
      <c r="M22" s="1985">
        <v>1374.99</v>
      </c>
      <c r="N22" s="1985">
        <f t="shared" si="0"/>
        <v>153724.37499999997</v>
      </c>
      <c r="O22" s="1985">
        <v>25336.108201733201</v>
      </c>
      <c r="P22" s="1985">
        <v>6887.3612092862077</v>
      </c>
      <c r="Q22" s="363" t="s">
        <v>343</v>
      </c>
    </row>
    <row r="23" spans="1:17">
      <c r="A23" s="110" t="s">
        <v>344</v>
      </c>
      <c r="B23" s="2063" t="s">
        <v>5121</v>
      </c>
      <c r="C23" s="86" t="s">
        <v>5601</v>
      </c>
      <c r="D23" s="1293"/>
      <c r="E23" s="2846">
        <v>350000</v>
      </c>
      <c r="F23" s="2847">
        <v>349091.31999999995</v>
      </c>
      <c r="G23" s="145"/>
      <c r="H23" s="146"/>
      <c r="I23" s="2846">
        <v>166412.54</v>
      </c>
      <c r="J23" s="1985">
        <v>5222.78</v>
      </c>
      <c r="K23" s="146"/>
      <c r="L23" s="1985">
        <v>648</v>
      </c>
      <c r="M23" s="1985">
        <v>11000</v>
      </c>
      <c r="N23" s="1985">
        <f t="shared" si="0"/>
        <v>532374.64</v>
      </c>
      <c r="O23" s="1985">
        <v>87743.414035014051</v>
      </c>
      <c r="P23" s="1985">
        <v>58503.137014637017</v>
      </c>
      <c r="Q23" s="363" t="s">
        <v>344</v>
      </c>
    </row>
    <row r="24" spans="1:17">
      <c r="A24" s="110" t="s">
        <v>345</v>
      </c>
      <c r="B24" s="2063" t="s">
        <v>5602</v>
      </c>
      <c r="C24" s="86" t="s">
        <v>5603</v>
      </c>
      <c r="D24" s="1293">
        <v>45291</v>
      </c>
      <c r="E24" s="2846">
        <v>258690.9</v>
      </c>
      <c r="F24" s="2847">
        <v>256335.59</v>
      </c>
      <c r="G24" s="145"/>
      <c r="H24" s="146"/>
      <c r="I24" s="2846">
        <v>105275.96</v>
      </c>
      <c r="J24" s="1985">
        <v>7554.23</v>
      </c>
      <c r="K24" s="146"/>
      <c r="L24" s="1985">
        <v>363.63600000000002</v>
      </c>
      <c r="M24" s="1985">
        <v>11000</v>
      </c>
      <c r="N24" s="1985">
        <f t="shared" si="0"/>
        <v>380529.41599999997</v>
      </c>
      <c r="O24" s="1985">
        <v>10661.893130559931</v>
      </c>
      <c r="P24" s="1985">
        <v>7404.0060736148735</v>
      </c>
      <c r="Q24" s="363" t="s">
        <v>345</v>
      </c>
    </row>
    <row r="25" spans="1:17">
      <c r="A25" s="110" t="s">
        <v>346</v>
      </c>
      <c r="B25" s="2063" t="s">
        <v>5604</v>
      </c>
      <c r="C25" s="86" t="s">
        <v>5605</v>
      </c>
      <c r="D25" s="1293"/>
      <c r="E25" s="2846">
        <v>362249.94</v>
      </c>
      <c r="F25" s="2847">
        <v>362014.37</v>
      </c>
      <c r="G25" s="145"/>
      <c r="H25" s="146"/>
      <c r="I25" s="2846">
        <v>247764</v>
      </c>
      <c r="J25" s="1985">
        <v>16500</v>
      </c>
      <c r="K25" s="146"/>
      <c r="L25" s="1985">
        <v>522.71999999999991</v>
      </c>
      <c r="M25" s="1985">
        <v>111600.06</v>
      </c>
      <c r="N25" s="1985">
        <f t="shared" si="0"/>
        <v>738401.14999999991</v>
      </c>
      <c r="O25" s="1985"/>
      <c r="P25" s="1985"/>
      <c r="Q25" s="363" t="s">
        <v>346</v>
      </c>
    </row>
    <row r="26" spans="1:17">
      <c r="A26" s="110" t="s">
        <v>347</v>
      </c>
      <c r="B26" s="2063" t="s">
        <v>5606</v>
      </c>
      <c r="C26" s="86" t="s">
        <v>5603</v>
      </c>
      <c r="D26" s="1293"/>
      <c r="E26" s="2846">
        <v>112478.86</v>
      </c>
      <c r="F26" s="2847">
        <v>111454.83</v>
      </c>
      <c r="G26" s="145"/>
      <c r="H26" s="146"/>
      <c r="I26" s="2846">
        <v>31502.94</v>
      </c>
      <c r="J26" s="1985">
        <v>5592.55</v>
      </c>
      <c r="K26" s="146"/>
      <c r="L26" s="1985">
        <v>162.71999999999997</v>
      </c>
      <c r="M26" s="1985">
        <v>16820.46</v>
      </c>
      <c r="N26" s="1985">
        <f t="shared" si="0"/>
        <v>165533.49999999997</v>
      </c>
      <c r="O26" s="1985"/>
      <c r="P26" s="1985"/>
      <c r="Q26" s="363" t="s">
        <v>347</v>
      </c>
    </row>
    <row r="27" spans="1:17">
      <c r="A27" s="110" t="s">
        <v>348</v>
      </c>
      <c r="B27" s="2063" t="s">
        <v>5607</v>
      </c>
      <c r="C27" s="86" t="s">
        <v>5608</v>
      </c>
      <c r="D27" s="1293"/>
      <c r="E27" s="2846">
        <v>210218.06</v>
      </c>
      <c r="F27" s="2847">
        <v>208304.12</v>
      </c>
      <c r="G27" s="145"/>
      <c r="H27" s="146"/>
      <c r="I27" s="2846">
        <v>95266.69</v>
      </c>
      <c r="J27" s="1985">
        <v>10293.68</v>
      </c>
      <c r="K27" s="146"/>
      <c r="L27" s="1985">
        <v>303.84000000000003</v>
      </c>
      <c r="M27" s="1985">
        <v>9300.1999999999989</v>
      </c>
      <c r="N27" s="1985">
        <f t="shared" si="0"/>
        <v>323468.53000000003</v>
      </c>
      <c r="O27" s="1985"/>
      <c r="P27" s="1985"/>
      <c r="Q27" s="363" t="s">
        <v>348</v>
      </c>
    </row>
    <row r="28" spans="1:17">
      <c r="A28" s="110" t="s">
        <v>349</v>
      </c>
      <c r="B28" s="2063" t="s">
        <v>5123</v>
      </c>
      <c r="C28" s="86" t="s">
        <v>5609</v>
      </c>
      <c r="D28" s="1293"/>
      <c r="E28" s="2846">
        <v>190000</v>
      </c>
      <c r="F28" s="2847">
        <v>189230.93</v>
      </c>
      <c r="G28" s="145"/>
      <c r="H28" s="146"/>
      <c r="I28" s="2846">
        <v>27144</v>
      </c>
      <c r="J28" s="1985">
        <v>13569.279999999999</v>
      </c>
      <c r="K28" s="146"/>
      <c r="L28" s="1985">
        <v>136.80000000000001</v>
      </c>
      <c r="M28" s="1985"/>
      <c r="N28" s="1985">
        <f t="shared" si="0"/>
        <v>230081.00999999998</v>
      </c>
      <c r="O28" s="1985">
        <v>27303.004500472503</v>
      </c>
      <c r="P28" s="1985">
        <v>24081.909660177662</v>
      </c>
      <c r="Q28" s="363" t="s">
        <v>349</v>
      </c>
    </row>
    <row r="29" spans="1:17">
      <c r="A29" s="110" t="s">
        <v>350</v>
      </c>
      <c r="B29" s="2063" t="s">
        <v>5216</v>
      </c>
      <c r="C29" s="86" t="s">
        <v>5610</v>
      </c>
      <c r="D29" s="1293"/>
      <c r="E29" s="2846">
        <v>245000</v>
      </c>
      <c r="F29" s="2847">
        <v>245000.11000000002</v>
      </c>
      <c r="G29" s="145"/>
      <c r="H29" s="146"/>
      <c r="I29" s="2846">
        <v>65424.800000000003</v>
      </c>
      <c r="J29" s="1985">
        <v>13192.24</v>
      </c>
      <c r="K29" s="146"/>
      <c r="L29" s="1985">
        <v>176.39999999999998</v>
      </c>
      <c r="M29" s="1985">
        <v>11000</v>
      </c>
      <c r="N29" s="1985">
        <f t="shared" si="0"/>
        <v>334793.55000000005</v>
      </c>
      <c r="O29" s="1985">
        <v>39728.918968058977</v>
      </c>
      <c r="P29" s="1985">
        <v>30659.823442323453</v>
      </c>
      <c r="Q29" s="363" t="s">
        <v>350</v>
      </c>
    </row>
    <row r="30" spans="1:17">
      <c r="A30" s="110" t="s">
        <v>351</v>
      </c>
      <c r="B30" s="2063" t="s">
        <v>5611</v>
      </c>
      <c r="C30" s="86" t="s">
        <v>5612</v>
      </c>
      <c r="D30" s="1293"/>
      <c r="E30" s="2846">
        <v>280000</v>
      </c>
      <c r="F30" s="2847">
        <v>172307.7</v>
      </c>
      <c r="G30" s="145"/>
      <c r="H30" s="146"/>
      <c r="I30" s="2846"/>
      <c r="J30" s="1985">
        <v>5169.28</v>
      </c>
      <c r="K30" s="146"/>
      <c r="L30" s="1985">
        <v>201.60000000000002</v>
      </c>
      <c r="M30" s="1985">
        <v>6416.62</v>
      </c>
      <c r="N30" s="1985">
        <f t="shared" si="0"/>
        <v>184095.2</v>
      </c>
      <c r="O30" s="1985">
        <v>21846.010125370129</v>
      </c>
      <c r="P30" s="1985">
        <v>21084.569601713607</v>
      </c>
      <c r="Q30" s="363" t="s">
        <v>351</v>
      </c>
    </row>
    <row r="31" spans="1:17">
      <c r="A31" s="110" t="s">
        <v>352</v>
      </c>
      <c r="B31" s="2063"/>
      <c r="C31" s="86"/>
      <c r="D31" s="1293"/>
      <c r="E31" s="143"/>
      <c r="F31" s="2126"/>
      <c r="G31" s="145"/>
      <c r="H31" s="146"/>
      <c r="I31" s="143"/>
      <c r="J31" s="1985"/>
      <c r="K31" s="146"/>
      <c r="L31" s="146"/>
      <c r="M31" s="146"/>
      <c r="N31" s="146"/>
      <c r="O31" s="146"/>
      <c r="P31" s="146"/>
      <c r="Q31" s="363" t="s">
        <v>352</v>
      </c>
    </row>
    <row r="32" spans="1:17">
      <c r="A32" s="110" t="s">
        <v>353</v>
      </c>
      <c r="B32" s="141"/>
      <c r="C32" s="86"/>
      <c r="D32" s="1293"/>
      <c r="E32" s="143"/>
      <c r="F32" s="1294"/>
      <c r="G32" s="145"/>
      <c r="H32" s="146"/>
      <c r="I32" s="146"/>
      <c r="J32" s="146"/>
      <c r="K32" s="146"/>
      <c r="L32" s="146"/>
      <c r="M32" s="146"/>
      <c r="N32" s="146"/>
      <c r="O32" s="146"/>
      <c r="P32" s="146"/>
      <c r="Q32" s="363" t="s">
        <v>353</v>
      </c>
    </row>
    <row r="33" spans="1:17">
      <c r="A33" s="110" t="s">
        <v>354</v>
      </c>
      <c r="B33" s="141"/>
      <c r="C33" s="86"/>
      <c r="D33" s="1293"/>
      <c r="E33" s="143"/>
      <c r="F33" s="1294"/>
      <c r="G33" s="145"/>
      <c r="H33" s="146"/>
      <c r="I33" s="146"/>
      <c r="J33" s="146"/>
      <c r="K33" s="146"/>
      <c r="L33" s="146"/>
      <c r="M33" s="146"/>
      <c r="N33" s="146"/>
      <c r="O33" s="146"/>
      <c r="P33" s="146"/>
      <c r="Q33" s="363" t="s">
        <v>354</v>
      </c>
    </row>
    <row r="34" spans="1:17">
      <c r="A34" s="110" t="s">
        <v>355</v>
      </c>
      <c r="B34" s="141"/>
      <c r="C34" s="86"/>
      <c r="D34" s="1293"/>
      <c r="E34" s="143"/>
      <c r="F34" s="1294"/>
      <c r="G34" s="145"/>
      <c r="H34" s="146"/>
      <c r="I34" s="146"/>
      <c r="J34" s="146"/>
      <c r="K34" s="146"/>
      <c r="L34" s="146"/>
      <c r="M34" s="146"/>
      <c r="N34" s="146"/>
      <c r="O34" s="146"/>
      <c r="P34" s="146"/>
      <c r="Q34" s="363" t="s">
        <v>355</v>
      </c>
    </row>
    <row r="35" spans="1:17">
      <c r="A35" s="110" t="s">
        <v>356</v>
      </c>
      <c r="B35" s="141"/>
      <c r="C35" s="86"/>
      <c r="D35" s="1293"/>
      <c r="E35" s="143"/>
      <c r="F35" s="1294"/>
      <c r="G35" s="145"/>
      <c r="H35" s="146"/>
      <c r="I35" s="146"/>
      <c r="J35" s="146"/>
      <c r="K35" s="146"/>
      <c r="L35" s="146"/>
      <c r="M35" s="146"/>
      <c r="N35" s="146"/>
      <c r="O35" s="146"/>
      <c r="P35" s="146"/>
      <c r="Q35" s="363" t="s">
        <v>356</v>
      </c>
    </row>
    <row r="36" spans="1:17">
      <c r="A36" s="110" t="s">
        <v>357</v>
      </c>
      <c r="B36" s="141"/>
      <c r="C36" s="86"/>
      <c r="D36" s="142"/>
      <c r="E36" s="143"/>
      <c r="F36" s="144"/>
      <c r="G36" s="145"/>
      <c r="H36" s="146"/>
      <c r="I36" s="146"/>
      <c r="J36" s="146"/>
      <c r="K36" s="146"/>
      <c r="L36" s="146"/>
      <c r="M36" s="146"/>
      <c r="N36" s="146"/>
      <c r="O36" s="146"/>
      <c r="P36" s="146"/>
      <c r="Q36" s="363" t="s">
        <v>357</v>
      </c>
    </row>
    <row r="37" spans="1:17">
      <c r="A37" s="110" t="s">
        <v>358</v>
      </c>
      <c r="B37" s="141"/>
      <c r="C37" s="86"/>
      <c r="D37" s="1293"/>
      <c r="E37" s="143"/>
      <c r="F37" s="1294"/>
      <c r="G37" s="145"/>
      <c r="H37" s="146"/>
      <c r="I37" s="146"/>
      <c r="J37" s="146"/>
      <c r="K37" s="146"/>
      <c r="L37" s="146"/>
      <c r="M37" s="146"/>
      <c r="N37" s="146"/>
      <c r="O37" s="146"/>
      <c r="P37" s="146"/>
      <c r="Q37" s="363" t="s">
        <v>358</v>
      </c>
    </row>
    <row r="38" spans="1:17">
      <c r="A38" s="110" t="s">
        <v>359</v>
      </c>
      <c r="B38" s="141"/>
      <c r="C38" s="86"/>
      <c r="D38" s="142"/>
      <c r="E38" s="143"/>
      <c r="F38" s="144"/>
      <c r="G38" s="145"/>
      <c r="H38" s="146"/>
      <c r="I38" s="146"/>
      <c r="J38" s="146"/>
      <c r="K38" s="146"/>
      <c r="L38" s="146"/>
      <c r="M38" s="146"/>
      <c r="N38" s="146"/>
      <c r="O38" s="146"/>
      <c r="P38" s="146"/>
      <c r="Q38" s="363" t="s">
        <v>359</v>
      </c>
    </row>
    <row r="39" spans="1:17">
      <c r="A39" s="110" t="s">
        <v>360</v>
      </c>
      <c r="B39" s="141"/>
      <c r="C39" s="86"/>
      <c r="D39" s="1293"/>
      <c r="E39" s="143"/>
      <c r="F39" s="1294"/>
      <c r="G39" s="145"/>
      <c r="H39" s="146"/>
      <c r="I39" s="146"/>
      <c r="J39" s="146"/>
      <c r="K39" s="146"/>
      <c r="L39" s="146"/>
      <c r="M39" s="146"/>
      <c r="N39" s="146"/>
      <c r="O39" s="146"/>
      <c r="P39" s="146"/>
      <c r="Q39" s="363" t="s">
        <v>360</v>
      </c>
    </row>
    <row r="40" spans="1:17">
      <c r="A40" s="110" t="s">
        <v>361</v>
      </c>
      <c r="B40" s="141"/>
      <c r="C40" s="86"/>
      <c r="D40" s="142"/>
      <c r="E40" s="143"/>
      <c r="F40" s="144"/>
      <c r="G40" s="145"/>
      <c r="H40" s="146"/>
      <c r="I40" s="146"/>
      <c r="J40" s="146"/>
      <c r="K40" s="146"/>
      <c r="L40" s="146"/>
      <c r="M40" s="146"/>
      <c r="N40" s="146"/>
      <c r="O40" s="146"/>
      <c r="P40" s="146"/>
      <c r="Q40" s="363" t="s">
        <v>361</v>
      </c>
    </row>
    <row r="41" spans="1:17">
      <c r="A41" s="110" t="s">
        <v>362</v>
      </c>
      <c r="B41" s="141"/>
      <c r="C41" s="86"/>
      <c r="D41" s="1293"/>
      <c r="E41" s="143"/>
      <c r="F41" s="1294"/>
      <c r="G41" s="145"/>
      <c r="H41" s="146"/>
      <c r="I41" s="146"/>
      <c r="J41" s="146"/>
      <c r="K41" s="146"/>
      <c r="L41" s="146"/>
      <c r="M41" s="146"/>
      <c r="N41" s="146"/>
      <c r="O41" s="146"/>
      <c r="P41" s="146"/>
      <c r="Q41" s="363" t="s">
        <v>362</v>
      </c>
    </row>
    <row r="42" spans="1:17">
      <c r="A42" s="110" t="s">
        <v>363</v>
      </c>
      <c r="B42" s="141"/>
      <c r="C42" s="86"/>
      <c r="D42" s="142"/>
      <c r="E42" s="143"/>
      <c r="F42" s="144"/>
      <c r="G42" s="145"/>
      <c r="H42" s="146"/>
      <c r="I42" s="146"/>
      <c r="J42" s="146"/>
      <c r="K42" s="146"/>
      <c r="L42" s="146"/>
      <c r="M42" s="146"/>
      <c r="N42" s="146"/>
      <c r="O42" s="146"/>
      <c r="P42" s="146"/>
      <c r="Q42" s="363" t="s">
        <v>363</v>
      </c>
    </row>
    <row r="43" spans="1:17">
      <c r="A43" s="110" t="s">
        <v>364</v>
      </c>
      <c r="B43" s="141"/>
      <c r="C43" s="86"/>
      <c r="D43" s="1293"/>
      <c r="E43" s="143"/>
      <c r="F43" s="1294"/>
      <c r="G43" s="145"/>
      <c r="H43" s="146"/>
      <c r="I43" s="146"/>
      <c r="J43" s="146"/>
      <c r="K43" s="146"/>
      <c r="L43" s="146"/>
      <c r="M43" s="146"/>
      <c r="N43" s="146"/>
      <c r="O43" s="146"/>
      <c r="P43" s="146"/>
      <c r="Q43" s="363" t="s">
        <v>364</v>
      </c>
    </row>
    <row r="44" spans="1:17">
      <c r="A44" s="110" t="s">
        <v>3238</v>
      </c>
      <c r="B44" s="141"/>
      <c r="C44" s="86"/>
      <c r="D44" s="142"/>
      <c r="E44" s="143"/>
      <c r="F44" s="144"/>
      <c r="G44" s="145"/>
      <c r="H44" s="146"/>
      <c r="I44" s="146"/>
      <c r="J44" s="146"/>
      <c r="K44" s="146"/>
      <c r="L44" s="146"/>
      <c r="M44" s="146"/>
      <c r="N44" s="146"/>
      <c r="O44" s="146"/>
      <c r="P44" s="146"/>
      <c r="Q44" s="363" t="s">
        <v>3238</v>
      </c>
    </row>
    <row r="45" spans="1:17">
      <c r="A45" s="110" t="s">
        <v>3239</v>
      </c>
      <c r="B45" s="141"/>
      <c r="C45" s="86"/>
      <c r="D45" s="142"/>
      <c r="E45" s="143"/>
      <c r="F45" s="144"/>
      <c r="G45" s="145"/>
      <c r="H45" s="146"/>
      <c r="I45" s="146"/>
      <c r="J45" s="146"/>
      <c r="K45" s="146"/>
      <c r="L45" s="146"/>
      <c r="M45" s="146"/>
      <c r="N45" s="146"/>
      <c r="O45" s="146"/>
      <c r="P45" s="146"/>
      <c r="Q45" s="363" t="s">
        <v>3239</v>
      </c>
    </row>
    <row r="46" spans="1:17">
      <c r="A46" s="110" t="s">
        <v>3240</v>
      </c>
      <c r="B46" s="141"/>
      <c r="C46" s="86"/>
      <c r="D46" s="142"/>
      <c r="E46" s="143"/>
      <c r="F46" s="144"/>
      <c r="G46" s="145"/>
      <c r="H46" s="146"/>
      <c r="I46" s="146"/>
      <c r="J46" s="146"/>
      <c r="K46" s="146"/>
      <c r="L46" s="146"/>
      <c r="M46" s="146"/>
      <c r="N46" s="146"/>
      <c r="O46" s="146"/>
      <c r="P46" s="146"/>
      <c r="Q46" s="363" t="s">
        <v>3240</v>
      </c>
    </row>
    <row r="47" spans="1:17">
      <c r="A47" s="110" t="s">
        <v>3241</v>
      </c>
      <c r="B47" s="148"/>
      <c r="C47" s="98"/>
      <c r="D47" s="1526"/>
      <c r="E47" s="150"/>
      <c r="F47" s="1525"/>
      <c r="G47" s="151"/>
      <c r="H47" s="152"/>
      <c r="I47" s="152"/>
      <c r="J47" s="152"/>
      <c r="K47" s="152"/>
      <c r="L47" s="152"/>
      <c r="M47" s="152"/>
      <c r="N47" s="152"/>
      <c r="O47" s="152"/>
      <c r="P47" s="152"/>
      <c r="Q47" s="363" t="s">
        <v>3241</v>
      </c>
    </row>
    <row r="48" spans="1:17">
      <c r="A48" s="85" t="s">
        <v>365</v>
      </c>
      <c r="B48" s="86"/>
      <c r="C48" s="86"/>
      <c r="D48" s="86"/>
      <c r="E48" s="86"/>
      <c r="F48" s="87"/>
      <c r="G48" s="85"/>
      <c r="H48" s="86" t="s">
        <v>366</v>
      </c>
      <c r="I48" s="86"/>
      <c r="J48" s="86"/>
      <c r="K48" s="86"/>
      <c r="L48" s="86"/>
      <c r="M48" s="86"/>
      <c r="N48" s="86"/>
      <c r="O48" s="86"/>
      <c r="P48" s="86"/>
      <c r="Q48" s="87"/>
    </row>
    <row r="49" spans="1:17">
      <c r="A49" s="85"/>
      <c r="B49" s="86"/>
      <c r="C49" s="86"/>
      <c r="D49" s="86"/>
      <c r="E49" s="86"/>
      <c r="F49" s="87"/>
      <c r="G49" s="85"/>
      <c r="H49" s="86"/>
      <c r="I49" s="86"/>
      <c r="J49" s="86"/>
      <c r="K49" s="86"/>
      <c r="L49" s="86"/>
      <c r="M49" s="86"/>
      <c r="N49" s="86"/>
      <c r="O49" s="86"/>
      <c r="P49" s="86"/>
      <c r="Q49" s="87"/>
    </row>
    <row r="50" spans="1:17" ht="15.75">
      <c r="A50" s="85"/>
      <c r="B50" s="2158" t="s">
        <v>367</v>
      </c>
      <c r="C50" s="86"/>
      <c r="D50" s="86"/>
      <c r="E50" s="86"/>
      <c r="F50" s="87"/>
      <c r="G50" s="85"/>
      <c r="H50" s="86" t="s">
        <v>5613</v>
      </c>
      <c r="I50" s="86"/>
      <c r="J50" s="86"/>
      <c r="K50" s="86"/>
      <c r="L50" s="86"/>
      <c r="M50" s="86"/>
      <c r="N50" s="86"/>
      <c r="O50" s="86"/>
      <c r="P50" s="86"/>
      <c r="Q50" s="87"/>
    </row>
    <row r="51" spans="1:17" ht="15.75">
      <c r="A51" s="85"/>
      <c r="B51" s="2158" t="s">
        <v>368</v>
      </c>
      <c r="C51" s="86"/>
      <c r="D51" s="86"/>
      <c r="E51" s="86"/>
      <c r="F51" s="87"/>
      <c r="G51" s="85"/>
      <c r="H51" s="86"/>
      <c r="I51" s="86"/>
      <c r="J51" s="86"/>
      <c r="K51" s="86"/>
      <c r="L51" s="86"/>
      <c r="M51" s="86"/>
      <c r="N51" s="86"/>
      <c r="O51" s="86"/>
      <c r="P51" s="86"/>
      <c r="Q51" s="87"/>
    </row>
    <row r="52" spans="1:17">
      <c r="A52" s="85"/>
      <c r="B52" s="86"/>
      <c r="C52" s="86"/>
      <c r="D52" s="86"/>
      <c r="E52" s="86"/>
      <c r="F52" s="87"/>
      <c r="G52" s="85"/>
      <c r="H52" s="86"/>
      <c r="I52" s="86"/>
      <c r="J52" s="86"/>
      <c r="K52" s="86"/>
      <c r="L52" s="86"/>
      <c r="M52" s="86"/>
      <c r="N52" s="86"/>
      <c r="O52" s="86"/>
      <c r="P52" s="86"/>
      <c r="Q52" s="87"/>
    </row>
    <row r="53" spans="1:17">
      <c r="A53" s="85"/>
      <c r="B53" s="86"/>
      <c r="C53" s="86"/>
      <c r="D53" s="86"/>
      <c r="E53" s="86"/>
      <c r="F53" s="87"/>
      <c r="G53" s="85"/>
      <c r="H53" s="86"/>
      <c r="I53" s="86"/>
      <c r="J53" s="86"/>
      <c r="K53" s="86"/>
      <c r="L53" s="86"/>
      <c r="M53" s="86"/>
      <c r="N53" s="86"/>
      <c r="O53" s="86"/>
      <c r="P53" s="86"/>
      <c r="Q53" s="87"/>
    </row>
    <row r="54" spans="1:17">
      <c r="A54" s="85"/>
      <c r="B54" s="86"/>
      <c r="C54" s="86"/>
      <c r="D54" s="86"/>
      <c r="E54" s="86"/>
      <c r="F54" s="87"/>
      <c r="G54" s="85"/>
      <c r="H54" s="86"/>
      <c r="I54" s="86"/>
      <c r="J54" s="86"/>
      <c r="K54" s="86"/>
      <c r="L54" s="86"/>
      <c r="M54" s="86"/>
      <c r="N54" s="86"/>
      <c r="O54" s="86"/>
      <c r="P54" s="86"/>
      <c r="Q54" s="87"/>
    </row>
    <row r="55" spans="1:17">
      <c r="A55" s="85"/>
      <c r="B55" s="86"/>
      <c r="C55" s="86"/>
      <c r="D55" s="86"/>
      <c r="E55" s="86"/>
      <c r="F55" s="87"/>
      <c r="G55" s="85"/>
      <c r="H55" s="86"/>
      <c r="I55" s="86"/>
      <c r="J55" s="86"/>
      <c r="K55" s="86"/>
      <c r="L55" s="86"/>
      <c r="M55" s="86"/>
      <c r="N55" s="86"/>
      <c r="O55" s="86"/>
      <c r="P55" s="86"/>
      <c r="Q55" s="87"/>
    </row>
    <row r="56" spans="1:17">
      <c r="A56" s="85"/>
      <c r="B56" s="86"/>
      <c r="C56" s="86"/>
      <c r="D56" s="86"/>
      <c r="E56" s="86"/>
      <c r="F56" s="87"/>
      <c r="G56" s="85"/>
      <c r="H56" s="86"/>
      <c r="I56" s="86"/>
      <c r="J56" s="86"/>
      <c r="K56" s="86"/>
      <c r="L56" s="86"/>
      <c r="M56" s="86"/>
      <c r="N56" s="86"/>
      <c r="O56" s="86"/>
      <c r="P56" s="86"/>
      <c r="Q56" s="87"/>
    </row>
    <row r="57" spans="1:17">
      <c r="A57" s="85"/>
      <c r="B57" s="86"/>
      <c r="C57" s="86"/>
      <c r="D57" s="86"/>
      <c r="E57" s="86"/>
      <c r="F57" s="87"/>
      <c r="G57" s="85"/>
      <c r="H57" s="86"/>
      <c r="I57" s="86"/>
      <c r="J57" s="86"/>
      <c r="K57" s="86"/>
      <c r="L57" s="86"/>
      <c r="M57" s="86"/>
      <c r="N57" s="86"/>
      <c r="O57" s="86"/>
      <c r="P57" s="86"/>
      <c r="Q57" s="87"/>
    </row>
    <row r="58" spans="1:17">
      <c r="A58" s="85"/>
      <c r="B58" s="86"/>
      <c r="C58" s="86"/>
      <c r="D58" s="86"/>
      <c r="E58" s="86"/>
      <c r="F58" s="87"/>
      <c r="G58" s="85"/>
      <c r="H58" s="86"/>
      <c r="I58" s="86"/>
      <c r="J58" s="86"/>
      <c r="K58" s="86"/>
      <c r="L58" s="86"/>
      <c r="M58" s="86"/>
      <c r="N58" s="86"/>
      <c r="O58" s="86"/>
      <c r="P58" s="86"/>
      <c r="Q58" s="87"/>
    </row>
    <row r="59" spans="1:17" ht="15.75" thickBot="1">
      <c r="A59" s="154"/>
      <c r="B59" s="113"/>
      <c r="C59" s="113"/>
      <c r="D59" s="113"/>
      <c r="E59" s="113"/>
      <c r="F59" s="116"/>
      <c r="G59" s="154"/>
      <c r="H59" s="113"/>
      <c r="I59" s="113"/>
      <c r="J59" s="113"/>
      <c r="K59" s="113"/>
      <c r="L59" s="113"/>
      <c r="M59" s="113"/>
      <c r="N59" s="113"/>
      <c r="O59" s="113"/>
      <c r="P59" s="113"/>
      <c r="Q59" s="116"/>
    </row>
    <row r="60" spans="1:17">
      <c r="A60" s="86" t="s">
        <v>369</v>
      </c>
      <c r="B60" s="86"/>
      <c r="C60" s="86"/>
      <c r="D60" s="86"/>
      <c r="E60" s="86"/>
      <c r="F60" s="86"/>
      <c r="G60" s="86"/>
      <c r="H60" s="86"/>
      <c r="I60" s="86"/>
      <c r="J60" s="86"/>
      <c r="K60" s="86"/>
      <c r="L60" s="86"/>
      <c r="M60" s="86"/>
      <c r="N60" s="86" t="s">
        <v>369</v>
      </c>
      <c r="O60" s="86"/>
      <c r="P60" s="86"/>
      <c r="Q60" s="86"/>
    </row>
    <row r="61" spans="1:17">
      <c r="A61" s="5" t="s">
        <v>370</v>
      </c>
      <c r="B61" s="5"/>
      <c r="C61" s="5"/>
      <c r="D61" s="5"/>
      <c r="E61" s="5"/>
      <c r="F61" s="5"/>
      <c r="G61" s="5" t="s">
        <v>371</v>
      </c>
      <c r="H61" s="5"/>
      <c r="I61" s="5"/>
      <c r="J61" s="5"/>
      <c r="K61" s="5"/>
      <c r="L61" s="5"/>
      <c r="M61" s="5"/>
      <c r="N61" s="5"/>
      <c r="O61" s="5"/>
      <c r="P61" s="5"/>
      <c r="Q61" s="5"/>
    </row>
    <row r="62" spans="1:17">
      <c r="A62" s="5"/>
      <c r="B62" s="5"/>
      <c r="C62" s="5"/>
      <c r="D62" s="5"/>
      <c r="E62" s="5"/>
      <c r="F62" s="5"/>
      <c r="G62" s="5"/>
      <c r="H62" s="5"/>
      <c r="I62" s="5"/>
      <c r="J62" s="5"/>
      <c r="K62" s="5"/>
      <c r="L62" s="5"/>
      <c r="M62" s="5"/>
      <c r="N62" s="5"/>
      <c r="O62" s="5"/>
      <c r="P62" s="5"/>
      <c r="Q62" s="5"/>
    </row>
    <row r="63" spans="1:17">
      <c r="A63" s="5"/>
      <c r="B63" s="5"/>
      <c r="C63" s="5"/>
      <c r="D63" s="5"/>
      <c r="E63" s="5"/>
      <c r="F63" s="5"/>
      <c r="G63" s="5"/>
      <c r="H63" s="5"/>
      <c r="I63" s="5"/>
      <c r="J63" s="5"/>
      <c r="K63" s="5"/>
      <c r="L63" s="5"/>
      <c r="M63" s="5"/>
      <c r="N63" s="5"/>
      <c r="O63" s="5"/>
      <c r="P63" s="5"/>
      <c r="Q63" s="5"/>
    </row>
    <row r="64" spans="1:17">
      <c r="A64" s="5"/>
      <c r="B64" s="5"/>
      <c r="C64" s="5"/>
      <c r="D64" s="5"/>
      <c r="E64" s="5"/>
      <c r="F64" s="5"/>
      <c r="G64" s="5"/>
      <c r="H64" s="5"/>
      <c r="I64" s="5"/>
      <c r="J64" s="5"/>
      <c r="K64" s="5"/>
      <c r="L64" s="5"/>
      <c r="M64" s="5"/>
      <c r="N64" s="5"/>
      <c r="O64" s="5"/>
      <c r="P64" s="5"/>
      <c r="Q64" s="5"/>
    </row>
    <row r="65" spans="1:17">
      <c r="A65" s="5"/>
      <c r="B65" s="5"/>
      <c r="C65" s="5"/>
      <c r="D65" s="5"/>
      <c r="E65" s="5"/>
      <c r="F65" s="5"/>
      <c r="G65" s="5"/>
      <c r="H65" s="5"/>
      <c r="I65" s="5"/>
      <c r="J65" s="5"/>
      <c r="K65" s="5"/>
      <c r="L65" s="5"/>
      <c r="M65" s="5"/>
      <c r="N65" s="5"/>
      <c r="O65" s="5"/>
      <c r="P65" s="5"/>
      <c r="Q65" s="5"/>
    </row>
  </sheetData>
  <phoneticPr fontId="0" type="noConversion"/>
  <printOptions horizontalCentered="1" verticalCentered="1"/>
  <pageMargins left="0.25" right="0.25" top="0.3" bottom="0.3" header="0" footer="0"/>
  <pageSetup scale="73" fitToWidth="2" orientation="portrait" r:id="rId1"/>
  <headerFooter alignWithMargins="0"/>
  <colBreaks count="1" manualBreakCount="1">
    <brk id="6" max="1048575"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ransitionEvaluation="1" codeName="Sheet81">
    <pageSetUpPr fitToPage="1"/>
  </sheetPr>
  <dimension ref="A1:G74"/>
  <sheetViews>
    <sheetView defaultGridColor="0" colorId="22" zoomScaleNormal="100" workbookViewId="0">
      <pane ySplit="1" topLeftCell="A2" activePane="bottomLeft" state="frozen"/>
      <selection activeCell="A2" sqref="A2"/>
      <selection pane="bottomLeft" activeCell="F29" sqref="F29"/>
    </sheetView>
  </sheetViews>
  <sheetFormatPr defaultColWidth="9.77734375" defaultRowHeight="15"/>
  <cols>
    <col min="1" max="1" width="4.77734375" customWidth="1"/>
    <col min="2" max="2" width="1.77734375" customWidth="1"/>
    <col min="3" max="3" width="60.77734375" customWidth="1"/>
    <col min="4" max="4" width="20.77734375" customWidth="1"/>
    <col min="5" max="5" width="2.77734375" customWidth="1"/>
    <col min="6" max="6" width="18.77734375" customWidth="1"/>
    <col min="7" max="7" width="1.77734375" customWidth="1"/>
  </cols>
  <sheetData>
    <row r="1" spans="1:7" ht="15.75" thickBot="1">
      <c r="A1" t="str">
        <f>'Data sheet'!A59</f>
        <v>Annual Report of Veolia Water New York, Inc.                                                             Year Ended  December 31, 2023</v>
      </c>
      <c r="B1" s="224"/>
      <c r="C1" s="224"/>
      <c r="D1" s="224"/>
      <c r="E1" s="224"/>
      <c r="F1" s="224"/>
      <c r="G1" s="224"/>
    </row>
    <row r="2" spans="1:7" ht="15.75">
      <c r="A2" s="878" t="s">
        <v>5306</v>
      </c>
      <c r="B2" s="81"/>
      <c r="C2" s="81"/>
      <c r="D2" s="81"/>
      <c r="E2" s="81"/>
      <c r="F2" s="81"/>
      <c r="G2" s="82"/>
    </row>
    <row r="3" spans="1:7" ht="18">
      <c r="A3" s="723" t="s">
        <v>2317</v>
      </c>
      <c r="B3" s="4"/>
      <c r="C3" s="887"/>
      <c r="D3" s="887"/>
      <c r="E3" s="4"/>
      <c r="F3" s="4"/>
      <c r="G3" s="119"/>
    </row>
    <row r="4" spans="1:7">
      <c r="A4" s="123"/>
      <c r="B4" s="224"/>
      <c r="C4" s="224"/>
      <c r="D4" s="224"/>
      <c r="E4" s="224"/>
      <c r="F4" s="224"/>
      <c r="G4" s="225"/>
    </row>
    <row r="5" spans="1:7">
      <c r="A5" s="234"/>
      <c r="E5" s="522"/>
      <c r="F5" s="600" t="s">
        <v>1738</v>
      </c>
      <c r="G5" s="214"/>
    </row>
    <row r="6" spans="1:7">
      <c r="A6" s="479" t="s">
        <v>1727</v>
      </c>
      <c r="B6" s="522"/>
      <c r="C6" s="600" t="s">
        <v>1290</v>
      </c>
      <c r="E6" s="522"/>
      <c r="F6" s="600" t="s">
        <v>2318</v>
      </c>
      <c r="G6" s="214"/>
    </row>
    <row r="7" spans="1:7">
      <c r="A7" s="596" t="s">
        <v>1739</v>
      </c>
      <c r="B7" s="597"/>
      <c r="C7" s="797" t="s">
        <v>3279</v>
      </c>
      <c r="D7" s="224"/>
      <c r="E7" s="597"/>
      <c r="F7" s="797" t="s">
        <v>3280</v>
      </c>
      <c r="G7" s="225"/>
    </row>
    <row r="8" spans="1:7" ht="18">
      <c r="A8" s="83"/>
      <c r="B8" s="522"/>
      <c r="C8" s="1035" t="s">
        <v>2319</v>
      </c>
      <c r="D8" s="882"/>
      <c r="E8" s="522"/>
      <c r="G8" s="214"/>
    </row>
    <row r="9" spans="1:7">
      <c r="A9" s="83"/>
      <c r="B9" s="522"/>
      <c r="C9" t="s">
        <v>2320</v>
      </c>
      <c r="E9" s="522"/>
      <c r="F9" s="1939"/>
      <c r="G9" s="214"/>
    </row>
    <row r="10" spans="1:7">
      <c r="A10" s="595" t="s">
        <v>340</v>
      </c>
      <c r="B10" s="522"/>
      <c r="C10" t="s">
        <v>2321</v>
      </c>
      <c r="E10" s="713" t="s">
        <v>3456</v>
      </c>
      <c r="F10" s="2115">
        <v>2210892</v>
      </c>
      <c r="G10" s="214"/>
    </row>
    <row r="11" spans="1:7">
      <c r="A11" s="595" t="s">
        <v>341</v>
      </c>
      <c r="B11" s="522"/>
      <c r="C11" t="s">
        <v>2322</v>
      </c>
      <c r="E11" s="713" t="s">
        <v>3456</v>
      </c>
      <c r="F11" s="2115">
        <v>731084</v>
      </c>
      <c r="G11" s="214"/>
    </row>
    <row r="12" spans="1:7">
      <c r="A12" s="595" t="s">
        <v>342</v>
      </c>
      <c r="B12" s="522"/>
      <c r="C12" t="s">
        <v>2323</v>
      </c>
      <c r="E12" s="713" t="s">
        <v>3456</v>
      </c>
      <c r="F12" s="2115">
        <v>2348828</v>
      </c>
      <c r="G12" s="214"/>
    </row>
    <row r="13" spans="1:7">
      <c r="A13" s="595" t="s">
        <v>343</v>
      </c>
      <c r="B13" s="522"/>
      <c r="C13" t="s">
        <v>2324</v>
      </c>
      <c r="E13" s="713" t="s">
        <v>3456</v>
      </c>
      <c r="F13" s="2115">
        <v>11460381</v>
      </c>
      <c r="G13" s="214"/>
    </row>
    <row r="14" spans="1:7">
      <c r="A14" s="83"/>
      <c r="B14" s="522"/>
      <c r="C14" t="s">
        <v>1919</v>
      </c>
      <c r="E14" s="522"/>
      <c r="F14" s="2119"/>
      <c r="G14" s="214"/>
    </row>
    <row r="15" spans="1:7">
      <c r="A15" s="595" t="s">
        <v>344</v>
      </c>
      <c r="B15" s="522"/>
      <c r="C15" t="s">
        <v>1920</v>
      </c>
      <c r="E15" s="713" t="s">
        <v>3456</v>
      </c>
      <c r="F15" s="2115">
        <v>0</v>
      </c>
      <c r="G15" s="214"/>
    </row>
    <row r="16" spans="1:7">
      <c r="A16" s="595" t="s">
        <v>345</v>
      </c>
      <c r="B16" s="522"/>
      <c r="C16" t="s">
        <v>3720</v>
      </c>
      <c r="E16" s="713" t="s">
        <v>3456</v>
      </c>
      <c r="F16" s="2115">
        <v>0</v>
      </c>
      <c r="G16" s="214"/>
    </row>
    <row r="17" spans="1:7">
      <c r="A17" s="595" t="s">
        <v>346</v>
      </c>
      <c r="B17" s="522"/>
      <c r="C17" t="s">
        <v>1921</v>
      </c>
      <c r="E17" s="713" t="s">
        <v>3456</v>
      </c>
      <c r="F17" s="2115">
        <v>0</v>
      </c>
      <c r="G17" s="214"/>
    </row>
    <row r="18" spans="1:7">
      <c r="A18" s="595" t="s">
        <v>347</v>
      </c>
      <c r="B18" s="522"/>
      <c r="C18" t="s">
        <v>3185</v>
      </c>
      <c r="E18" s="713" t="s">
        <v>3456</v>
      </c>
      <c r="F18" s="2115">
        <v>0</v>
      </c>
      <c r="G18" s="214"/>
    </row>
    <row r="19" spans="1:7">
      <c r="A19" s="595" t="s">
        <v>348</v>
      </c>
      <c r="B19" s="522"/>
      <c r="C19" t="s">
        <v>605</v>
      </c>
      <c r="E19" s="713" t="s">
        <v>3456</v>
      </c>
      <c r="F19" s="2115">
        <v>-572757</v>
      </c>
      <c r="G19" s="214"/>
    </row>
    <row r="20" spans="1:7">
      <c r="A20" s="595" t="s">
        <v>349</v>
      </c>
      <c r="B20" s="522"/>
      <c r="C20" t="s">
        <v>3664</v>
      </c>
      <c r="E20" s="713" t="s">
        <v>3456</v>
      </c>
      <c r="F20" s="2115">
        <v>-2222415.0000000009</v>
      </c>
      <c r="G20" s="214"/>
    </row>
    <row r="21" spans="1:7">
      <c r="A21" s="595" t="s">
        <v>350</v>
      </c>
      <c r="B21" s="522"/>
      <c r="C21" t="s">
        <v>2310</v>
      </c>
      <c r="E21" s="713" t="s">
        <v>3456</v>
      </c>
      <c r="F21" s="2115">
        <v>0</v>
      </c>
      <c r="G21" s="214"/>
    </row>
    <row r="22" spans="1:7">
      <c r="A22" s="595" t="s">
        <v>351</v>
      </c>
      <c r="B22" s="522"/>
      <c r="C22" t="s">
        <v>2311</v>
      </c>
      <c r="E22" s="713" t="s">
        <v>3456</v>
      </c>
      <c r="F22" s="2115">
        <v>0</v>
      </c>
      <c r="G22" s="214"/>
    </row>
    <row r="23" spans="1:7">
      <c r="A23" s="595" t="s">
        <v>352</v>
      </c>
      <c r="B23" s="522"/>
      <c r="C23" t="s">
        <v>2312</v>
      </c>
      <c r="E23" s="522"/>
      <c r="F23" s="2121">
        <v>45291</v>
      </c>
      <c r="G23" s="214"/>
    </row>
    <row r="24" spans="1:7">
      <c r="A24" s="595" t="s">
        <v>353</v>
      </c>
      <c r="B24" s="522"/>
      <c r="C24" t="s">
        <v>2313</v>
      </c>
      <c r="E24" s="522"/>
      <c r="F24" s="2122">
        <v>5.4100000000000002E-2</v>
      </c>
      <c r="G24" s="214"/>
    </row>
    <row r="25" spans="1:7">
      <c r="A25" s="595" t="s">
        <v>354</v>
      </c>
      <c r="B25" s="522"/>
      <c r="C25" t="s">
        <v>2314</v>
      </c>
      <c r="E25" s="522"/>
      <c r="F25" s="2117">
        <v>6.25E-2</v>
      </c>
      <c r="G25" s="214"/>
    </row>
    <row r="26" spans="1:7">
      <c r="A26" s="595" t="s">
        <v>355</v>
      </c>
      <c r="B26" s="522"/>
      <c r="C26" t="s">
        <v>3690</v>
      </c>
      <c r="E26" s="522"/>
      <c r="F26" s="2117"/>
      <c r="G26" s="214"/>
    </row>
    <row r="27" spans="1:7">
      <c r="A27" s="595" t="s">
        <v>356</v>
      </c>
      <c r="B27" s="522"/>
      <c r="C27" t="s">
        <v>3621</v>
      </c>
      <c r="E27" s="522"/>
      <c r="F27" s="2117">
        <v>0.04</v>
      </c>
      <c r="G27" s="214"/>
    </row>
    <row r="28" spans="1:7" ht="18">
      <c r="A28" s="83"/>
      <c r="B28" s="522"/>
      <c r="C28" s="1035" t="s">
        <v>3691</v>
      </c>
      <c r="D28" s="882"/>
      <c r="E28" s="522"/>
      <c r="F28" s="426"/>
      <c r="G28" s="214"/>
    </row>
    <row r="29" spans="1:7">
      <c r="A29" s="595" t="s">
        <v>357</v>
      </c>
      <c r="B29" s="522"/>
      <c r="C29" t="s">
        <v>3543</v>
      </c>
      <c r="E29" s="713" t="s">
        <v>3456</v>
      </c>
      <c r="F29" s="2119">
        <v>115192</v>
      </c>
      <c r="G29" s="214"/>
    </row>
    <row r="30" spans="1:7">
      <c r="A30" s="595" t="s">
        <v>358</v>
      </c>
      <c r="B30" s="522"/>
      <c r="C30" t="s">
        <v>3545</v>
      </c>
      <c r="E30" s="522"/>
      <c r="F30" s="2119">
        <v>297316</v>
      </c>
      <c r="G30" s="214"/>
    </row>
    <row r="31" spans="1:7">
      <c r="A31" s="595" t="s">
        <v>359</v>
      </c>
      <c r="B31" s="522"/>
      <c r="C31" t="s">
        <v>3692</v>
      </c>
      <c r="E31" s="522"/>
      <c r="F31" s="2119">
        <v>-1695220</v>
      </c>
      <c r="G31" s="214"/>
    </row>
    <row r="32" spans="1:7">
      <c r="A32" s="595" t="s">
        <v>360</v>
      </c>
      <c r="B32" s="522"/>
      <c r="C32" t="s">
        <v>158</v>
      </c>
      <c r="E32" s="522"/>
      <c r="F32" s="2119">
        <v>1073958</v>
      </c>
      <c r="G32" s="214"/>
    </row>
    <row r="33" spans="1:7">
      <c r="A33" s="595" t="s">
        <v>361</v>
      </c>
      <c r="B33" s="522"/>
      <c r="C33" t="s">
        <v>2746</v>
      </c>
      <c r="E33" s="522"/>
      <c r="F33" s="2119">
        <v>0</v>
      </c>
      <c r="G33" s="214"/>
    </row>
    <row r="34" spans="1:7">
      <c r="A34" s="595" t="s">
        <v>362</v>
      </c>
      <c r="B34" s="522"/>
      <c r="C34" t="s">
        <v>3507</v>
      </c>
      <c r="E34" s="522"/>
      <c r="F34" s="2119">
        <v>-361656</v>
      </c>
      <c r="G34" s="214"/>
    </row>
    <row r="35" spans="1:7">
      <c r="A35" s="595" t="s">
        <v>363</v>
      </c>
      <c r="B35" s="522"/>
      <c r="C35" t="s">
        <v>3693</v>
      </c>
      <c r="E35" s="522"/>
      <c r="F35" s="2119">
        <v>-110522</v>
      </c>
      <c r="G35" s="214"/>
    </row>
    <row r="36" spans="1:7">
      <c r="A36" s="595" t="s">
        <v>364</v>
      </c>
      <c r="B36" s="522"/>
      <c r="C36" t="s">
        <v>4090</v>
      </c>
      <c r="E36" s="522"/>
      <c r="F36" s="2119">
        <v>0</v>
      </c>
      <c r="G36" s="214"/>
    </row>
    <row r="37" spans="1:7" ht="18">
      <c r="A37" s="596" t="s">
        <v>3238</v>
      </c>
      <c r="B37" s="597"/>
      <c r="C37" s="1036" t="s">
        <v>3694</v>
      </c>
      <c r="D37" s="888"/>
      <c r="E37" s="914" t="s">
        <v>3456</v>
      </c>
      <c r="F37" s="2375">
        <v>-680932</v>
      </c>
      <c r="G37" s="225"/>
    </row>
    <row r="38" spans="1:7" ht="18">
      <c r="A38" s="83"/>
      <c r="B38" s="522"/>
      <c r="C38" s="882"/>
      <c r="D38" s="882"/>
      <c r="G38" s="214"/>
    </row>
    <row r="39" spans="1:7" ht="18">
      <c r="A39" s="83"/>
      <c r="B39" s="522"/>
      <c r="C39" s="882"/>
      <c r="D39" s="882"/>
      <c r="G39" s="214"/>
    </row>
    <row r="40" spans="1:7" ht="18">
      <c r="A40" s="83"/>
      <c r="B40" s="522"/>
      <c r="C40" s="882"/>
      <c r="D40" s="882"/>
      <c r="G40" s="214"/>
    </row>
    <row r="41" spans="1:7" ht="18">
      <c r="A41" s="83"/>
      <c r="B41" s="522"/>
      <c r="C41" s="882"/>
      <c r="D41" s="882"/>
      <c r="G41" s="214"/>
    </row>
    <row r="42" spans="1:7" ht="18">
      <c r="A42" s="83"/>
      <c r="B42" s="522"/>
      <c r="C42" s="882"/>
      <c r="D42" s="882"/>
      <c r="G42" s="214"/>
    </row>
    <row r="43" spans="1:7" ht="18">
      <c r="A43" s="83"/>
      <c r="B43" s="522"/>
      <c r="C43" s="882"/>
      <c r="D43" s="882"/>
      <c r="G43" s="214"/>
    </row>
    <row r="44" spans="1:7" ht="18">
      <c r="A44" s="83"/>
      <c r="B44" s="522"/>
      <c r="C44" s="882"/>
      <c r="D44" s="882"/>
      <c r="G44" s="214"/>
    </row>
    <row r="45" spans="1:7" ht="18">
      <c r="A45" s="83"/>
      <c r="B45" s="522"/>
      <c r="C45" s="882"/>
      <c r="D45" s="882"/>
      <c r="G45" s="214"/>
    </row>
    <row r="46" spans="1:7" ht="18">
      <c r="A46" s="83"/>
      <c r="B46" s="522"/>
      <c r="C46" s="882"/>
      <c r="D46" s="882"/>
      <c r="G46" s="214"/>
    </row>
    <row r="47" spans="1:7" ht="18">
      <c r="A47" s="83"/>
      <c r="B47" s="522"/>
      <c r="C47" s="882"/>
      <c r="D47" s="882"/>
      <c r="G47" s="214"/>
    </row>
    <row r="48" spans="1:7" ht="18">
      <c r="A48" s="83"/>
      <c r="B48" s="522"/>
      <c r="C48" s="882"/>
      <c r="D48" s="882"/>
      <c r="G48" s="214"/>
    </row>
    <row r="49" spans="1:7" ht="18">
      <c r="A49" s="83"/>
      <c r="B49" s="522"/>
      <c r="C49" s="882"/>
      <c r="D49" s="882"/>
      <c r="G49" s="214"/>
    </row>
    <row r="50" spans="1:7" ht="18">
      <c r="A50" s="83"/>
      <c r="B50" s="522"/>
      <c r="C50" s="882"/>
      <c r="D50" s="882"/>
      <c r="G50" s="214"/>
    </row>
    <row r="51" spans="1:7" ht="18">
      <c r="A51" s="83"/>
      <c r="B51" s="522"/>
      <c r="C51" s="882"/>
      <c r="D51" s="882"/>
      <c r="G51" s="214"/>
    </row>
    <row r="52" spans="1:7" ht="18">
      <c r="A52" s="83"/>
      <c r="B52" s="522"/>
      <c r="C52" s="882"/>
      <c r="D52" s="882"/>
      <c r="G52" s="214"/>
    </row>
    <row r="53" spans="1:7" ht="18">
      <c r="A53" s="83"/>
      <c r="B53" s="522"/>
      <c r="C53" s="882"/>
      <c r="D53" s="882"/>
      <c r="G53" s="214"/>
    </row>
    <row r="54" spans="1:7" ht="18">
      <c r="A54" s="83"/>
      <c r="B54" s="522"/>
      <c r="C54" s="882"/>
      <c r="D54" s="882"/>
      <c r="G54" s="214"/>
    </row>
    <row r="55" spans="1:7" ht="18">
      <c r="A55" s="83"/>
      <c r="B55" s="522"/>
      <c r="C55" s="882"/>
      <c r="D55" s="882"/>
      <c r="G55" s="214"/>
    </row>
    <row r="56" spans="1:7" ht="18">
      <c r="A56" s="83"/>
      <c r="B56" s="522"/>
      <c r="C56" s="882"/>
      <c r="D56" s="882"/>
      <c r="G56" s="214"/>
    </row>
    <row r="57" spans="1:7" ht="18">
      <c r="A57" s="83"/>
      <c r="B57" s="522"/>
      <c r="C57" s="882"/>
      <c r="D57" s="882"/>
      <c r="G57" s="214"/>
    </row>
    <row r="58" spans="1:7" ht="18">
      <c r="A58" s="83"/>
      <c r="B58" s="522"/>
      <c r="C58" s="882"/>
      <c r="D58" s="882"/>
      <c r="G58" s="214"/>
    </row>
    <row r="59" spans="1:7" ht="18">
      <c r="A59" s="83"/>
      <c r="B59" s="522"/>
      <c r="C59" s="882"/>
      <c r="D59" s="882"/>
      <c r="G59" s="214"/>
    </row>
    <row r="60" spans="1:7" ht="18">
      <c r="A60" s="83"/>
      <c r="B60" s="522"/>
      <c r="C60" s="882"/>
      <c r="D60" s="882"/>
      <c r="G60" s="214"/>
    </row>
    <row r="61" spans="1:7" ht="18">
      <c r="A61" s="83"/>
      <c r="B61" s="522"/>
      <c r="C61" s="882"/>
      <c r="D61" s="882"/>
      <c r="G61" s="214"/>
    </row>
    <row r="62" spans="1:7" ht="18.75" thickBot="1">
      <c r="A62" s="124"/>
      <c r="B62" s="698"/>
      <c r="C62" s="890"/>
      <c r="D62" s="890"/>
      <c r="E62" s="125"/>
      <c r="F62" s="125"/>
      <c r="G62" s="217"/>
    </row>
    <row r="63" spans="1:7">
      <c r="A63" t="s">
        <v>2024</v>
      </c>
    </row>
    <row r="64" spans="1:7">
      <c r="A64" s="4" t="s">
        <v>2561</v>
      </c>
      <c r="B64" s="4"/>
      <c r="C64" s="4"/>
      <c r="D64" s="4"/>
      <c r="E64" s="4"/>
      <c r="F64" s="4"/>
      <c r="G64" s="4"/>
    </row>
    <row r="68" spans="3:3">
      <c r="C68" s="108"/>
    </row>
    <row r="71" spans="3:3">
      <c r="C71" s="108"/>
    </row>
    <row r="72" spans="3:3">
      <c r="C72" s="108"/>
    </row>
    <row r="73" spans="3:3">
      <c r="C73" s="108"/>
    </row>
    <row r="74" spans="3:3">
      <c r="C74" s="108"/>
    </row>
  </sheetData>
  <phoneticPr fontId="0" type="noConversion"/>
  <printOptions horizontalCentered="1" verticalCentered="1"/>
  <pageMargins left="0.4" right="0.4" top="0.3" bottom="0.3" header="0" footer="0"/>
  <pageSetup scale="72"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ransitionEvaluation="1">
    <pageSetUpPr fitToPage="1"/>
  </sheetPr>
  <dimension ref="A1:G74"/>
  <sheetViews>
    <sheetView defaultGridColor="0" colorId="22" zoomScaleNormal="100" workbookViewId="0">
      <pane ySplit="1" topLeftCell="A10" activePane="bottomLeft" state="frozen"/>
      <selection activeCell="A2" sqref="A2"/>
      <selection pane="bottomLeft" activeCell="F26" sqref="F26"/>
    </sheetView>
  </sheetViews>
  <sheetFormatPr defaultColWidth="9.77734375" defaultRowHeight="15"/>
  <cols>
    <col min="1" max="1" width="4.77734375" customWidth="1"/>
    <col min="2" max="2" width="1.77734375" customWidth="1"/>
    <col min="3" max="3" width="60.77734375" customWidth="1"/>
    <col min="4" max="4" width="20.77734375" customWidth="1"/>
    <col min="5" max="5" width="2.77734375" customWidth="1"/>
    <col min="6" max="6" width="18.77734375" customWidth="1"/>
    <col min="7" max="7" width="1.77734375" customWidth="1"/>
  </cols>
  <sheetData>
    <row r="1" spans="1:7" ht="15.75" thickBot="1">
      <c r="A1" s="86" t="s">
        <v>5234</v>
      </c>
      <c r="B1" s="224"/>
      <c r="C1" s="224"/>
      <c r="D1" s="224"/>
      <c r="E1" s="98"/>
      <c r="F1" s="2726" t="str">
        <f>+'359b360b'!C1</f>
        <v xml:space="preserve">                                                        Year Ended  December 31, 2023</v>
      </c>
      <c r="G1" s="224"/>
    </row>
    <row r="2" spans="1:7" ht="15.75">
      <c r="A2" s="878" t="s">
        <v>5304</v>
      </c>
      <c r="B2" s="81"/>
      <c r="C2" s="81"/>
      <c r="D2" s="81"/>
      <c r="E2" s="81"/>
      <c r="F2" s="81"/>
      <c r="G2" s="82"/>
    </row>
    <row r="3" spans="1:7" ht="18">
      <c r="A3" s="723" t="s">
        <v>2317</v>
      </c>
      <c r="B3" s="4"/>
      <c r="C3" s="887"/>
      <c r="D3" s="887"/>
      <c r="E3" s="4"/>
      <c r="F3" s="4"/>
      <c r="G3" s="119"/>
    </row>
    <row r="4" spans="1:7">
      <c r="A4" s="123"/>
      <c r="B4" s="224"/>
      <c r="C4" s="224"/>
      <c r="D4" s="224"/>
      <c r="E4" s="224"/>
      <c r="F4" s="224"/>
      <c r="G4" s="225"/>
    </row>
    <row r="5" spans="1:7">
      <c r="A5" s="234"/>
      <c r="E5" s="522"/>
      <c r="F5" s="600" t="s">
        <v>1738</v>
      </c>
      <c r="G5" s="214"/>
    </row>
    <row r="6" spans="1:7">
      <c r="A6" s="479" t="s">
        <v>1727</v>
      </c>
      <c r="B6" s="522"/>
      <c r="C6" s="600" t="s">
        <v>1290</v>
      </c>
      <c r="E6" s="522"/>
      <c r="F6" s="600" t="s">
        <v>2318</v>
      </c>
      <c r="G6" s="214"/>
    </row>
    <row r="7" spans="1:7">
      <c r="A7" s="596" t="s">
        <v>1739</v>
      </c>
      <c r="B7" s="597"/>
      <c r="C7" s="797" t="s">
        <v>3279</v>
      </c>
      <c r="D7" s="224"/>
      <c r="E7" s="597"/>
      <c r="F7" s="797" t="s">
        <v>3280</v>
      </c>
      <c r="G7" s="225"/>
    </row>
    <row r="8" spans="1:7" ht="18">
      <c r="A8" s="83"/>
      <c r="B8" s="522"/>
      <c r="C8" s="1035" t="s">
        <v>2319</v>
      </c>
      <c r="D8" s="882"/>
      <c r="E8" s="522"/>
      <c r="G8" s="214"/>
    </row>
    <row r="9" spans="1:7">
      <c r="A9" s="83"/>
      <c r="B9" s="522"/>
      <c r="C9" t="s">
        <v>2320</v>
      </c>
      <c r="E9" s="522"/>
      <c r="F9" s="1939"/>
      <c r="G9" s="214"/>
    </row>
    <row r="10" spans="1:7">
      <c r="A10" s="595" t="s">
        <v>340</v>
      </c>
      <c r="B10" s="522"/>
      <c r="C10" t="s">
        <v>2321</v>
      </c>
      <c r="E10" s="713" t="s">
        <v>3456</v>
      </c>
      <c r="F10" s="2115">
        <v>135535</v>
      </c>
      <c r="G10" s="214"/>
    </row>
    <row r="11" spans="1:7">
      <c r="A11" s="595" t="s">
        <v>341</v>
      </c>
      <c r="B11" s="522"/>
      <c r="C11" t="s">
        <v>2322</v>
      </c>
      <c r="E11" s="713" t="s">
        <v>3456</v>
      </c>
      <c r="F11" s="2115">
        <v>7127</v>
      </c>
      <c r="G11" s="214"/>
    </row>
    <row r="12" spans="1:7">
      <c r="A12" s="595" t="s">
        <v>342</v>
      </c>
      <c r="B12" s="522"/>
      <c r="C12" t="s">
        <v>2323</v>
      </c>
      <c r="E12" s="713" t="s">
        <v>3456</v>
      </c>
      <c r="F12" s="2115">
        <v>417982</v>
      </c>
      <c r="G12" s="214"/>
    </row>
    <row r="13" spans="1:7">
      <c r="A13" s="595" t="s">
        <v>343</v>
      </c>
      <c r="B13" s="522"/>
      <c r="C13" t="s">
        <v>2324</v>
      </c>
      <c r="E13" s="713" t="s">
        <v>3456</v>
      </c>
      <c r="F13" s="2115">
        <v>37423</v>
      </c>
      <c r="G13" s="214"/>
    </row>
    <row r="14" spans="1:7">
      <c r="A14" s="83"/>
      <c r="B14" s="522"/>
      <c r="C14" t="s">
        <v>1919</v>
      </c>
      <c r="E14" s="522"/>
      <c r="F14" s="2119"/>
      <c r="G14" s="214"/>
    </row>
    <row r="15" spans="1:7">
      <c r="A15" s="595" t="s">
        <v>344</v>
      </c>
      <c r="B15" s="522"/>
      <c r="C15" t="s">
        <v>1920</v>
      </c>
      <c r="E15" s="713" t="s">
        <v>3456</v>
      </c>
      <c r="F15" s="2115">
        <v>0</v>
      </c>
      <c r="G15" s="214"/>
    </row>
    <row r="16" spans="1:7">
      <c r="A16" s="595" t="s">
        <v>345</v>
      </c>
      <c r="B16" s="522"/>
      <c r="C16" t="s">
        <v>3720</v>
      </c>
      <c r="E16" s="713" t="s">
        <v>3456</v>
      </c>
      <c r="F16" s="2115">
        <v>0</v>
      </c>
      <c r="G16" s="214"/>
    </row>
    <row r="17" spans="1:7">
      <c r="A17" s="595" t="s">
        <v>346</v>
      </c>
      <c r="B17" s="522"/>
      <c r="C17" t="s">
        <v>1921</v>
      </c>
      <c r="E17" s="713" t="s">
        <v>3456</v>
      </c>
      <c r="F17" s="2115">
        <v>0</v>
      </c>
      <c r="G17" s="214"/>
    </row>
    <row r="18" spans="1:7">
      <c r="A18" s="595" t="s">
        <v>347</v>
      </c>
      <c r="B18" s="522"/>
      <c r="C18" t="s">
        <v>3185</v>
      </c>
      <c r="E18" s="713" t="s">
        <v>3456</v>
      </c>
      <c r="F18" s="2115">
        <v>0</v>
      </c>
      <c r="G18" s="214"/>
    </row>
    <row r="19" spans="1:7">
      <c r="A19" s="595" t="s">
        <v>348</v>
      </c>
      <c r="B19" s="522"/>
      <c r="C19" t="s">
        <v>605</v>
      </c>
      <c r="E19" s="713" t="s">
        <v>3456</v>
      </c>
      <c r="F19" s="2115">
        <v>-30167</v>
      </c>
      <c r="G19" s="214"/>
    </row>
    <row r="20" spans="1:7">
      <c r="A20" s="595" t="s">
        <v>349</v>
      </c>
      <c r="B20" s="522"/>
      <c r="C20" t="s">
        <v>3664</v>
      </c>
      <c r="E20" s="713" t="s">
        <v>3456</v>
      </c>
      <c r="F20" s="2115">
        <v>-59222.000000000029</v>
      </c>
      <c r="G20" s="214"/>
    </row>
    <row r="21" spans="1:7">
      <c r="A21" s="595" t="s">
        <v>350</v>
      </c>
      <c r="B21" s="522"/>
      <c r="C21" t="s">
        <v>2310</v>
      </c>
      <c r="E21" s="713" t="s">
        <v>3456</v>
      </c>
      <c r="F21" s="2115">
        <v>0</v>
      </c>
      <c r="G21" s="214"/>
    </row>
    <row r="22" spans="1:7">
      <c r="A22" s="595" t="s">
        <v>351</v>
      </c>
      <c r="B22" s="522"/>
      <c r="C22" t="s">
        <v>2311</v>
      </c>
      <c r="E22" s="713" t="s">
        <v>3456</v>
      </c>
      <c r="F22" s="2115">
        <v>0</v>
      </c>
      <c r="G22" s="214"/>
    </row>
    <row r="23" spans="1:7">
      <c r="A23" s="595" t="s">
        <v>352</v>
      </c>
      <c r="B23" s="522"/>
      <c r="C23" t="s">
        <v>2312</v>
      </c>
      <c r="E23" s="522"/>
      <c r="F23" s="2121">
        <v>45291</v>
      </c>
      <c r="G23" s="214"/>
    </row>
    <row r="24" spans="1:7">
      <c r="A24" s="595" t="s">
        <v>353</v>
      </c>
      <c r="B24" s="522"/>
      <c r="C24" t="s">
        <v>2313</v>
      </c>
      <c r="E24" s="522"/>
      <c r="F24" s="2122">
        <v>5.4100000000000002E-2</v>
      </c>
      <c r="G24" s="214"/>
    </row>
    <row r="25" spans="1:7">
      <c r="A25" s="595" t="s">
        <v>354</v>
      </c>
      <c r="B25" s="522"/>
      <c r="C25" t="s">
        <v>2314</v>
      </c>
      <c r="E25" s="522"/>
      <c r="F25" s="2117">
        <v>4.3749999999999997E-2</v>
      </c>
      <c r="G25" s="214"/>
    </row>
    <row r="26" spans="1:7">
      <c r="A26" s="595" t="s">
        <v>355</v>
      </c>
      <c r="B26" s="522"/>
      <c r="C26" t="s">
        <v>3690</v>
      </c>
      <c r="E26" s="522"/>
      <c r="F26" s="2117"/>
      <c r="G26" s="214"/>
    </row>
    <row r="27" spans="1:7">
      <c r="A27" s="595" t="s">
        <v>356</v>
      </c>
      <c r="B27" s="522"/>
      <c r="C27" t="s">
        <v>3621</v>
      </c>
      <c r="E27" s="522"/>
      <c r="F27" s="2117">
        <v>3.7499999999999999E-2</v>
      </c>
      <c r="G27" s="214"/>
    </row>
    <row r="28" spans="1:7" ht="18">
      <c r="A28" s="83"/>
      <c r="B28" s="522"/>
      <c r="C28" s="1035" t="s">
        <v>3691</v>
      </c>
      <c r="D28" s="882"/>
      <c r="E28" s="522"/>
      <c r="F28" s="426"/>
      <c r="G28" s="214"/>
    </row>
    <row r="29" spans="1:7">
      <c r="A29" s="595" t="s">
        <v>357</v>
      </c>
      <c r="B29" s="522"/>
      <c r="C29" t="s">
        <v>3543</v>
      </c>
      <c r="E29" s="713" t="s">
        <v>3456</v>
      </c>
      <c r="F29" s="2119">
        <v>17631</v>
      </c>
      <c r="G29" s="214"/>
    </row>
    <row r="30" spans="1:7">
      <c r="A30" s="595" t="s">
        <v>358</v>
      </c>
      <c r="B30" s="522"/>
      <c r="C30" t="s">
        <v>3545</v>
      </c>
      <c r="E30" s="522"/>
      <c r="F30" s="2119">
        <v>27996</v>
      </c>
      <c r="G30" s="214"/>
    </row>
    <row r="31" spans="1:7">
      <c r="A31" s="595" t="s">
        <v>359</v>
      </c>
      <c r="B31" s="522"/>
      <c r="C31" t="s">
        <v>3692</v>
      </c>
      <c r="E31" s="522"/>
      <c r="F31" s="2119">
        <v>1018</v>
      </c>
      <c r="G31" s="214"/>
    </row>
    <row r="32" spans="1:7">
      <c r="A32" s="595" t="s">
        <v>360</v>
      </c>
      <c r="B32" s="522"/>
      <c r="C32" t="s">
        <v>158</v>
      </c>
      <c r="E32" s="522"/>
      <c r="F32" s="2119">
        <v>-1781</v>
      </c>
      <c r="G32" s="214"/>
    </row>
    <row r="33" spans="1:7">
      <c r="A33" s="595" t="s">
        <v>361</v>
      </c>
      <c r="B33" s="522"/>
      <c r="C33" t="s">
        <v>2746</v>
      </c>
      <c r="E33" s="522"/>
      <c r="F33" s="2119">
        <v>0</v>
      </c>
      <c r="G33" s="214"/>
    </row>
    <row r="34" spans="1:7">
      <c r="A34" s="595" t="s">
        <v>362</v>
      </c>
      <c r="B34" s="522"/>
      <c r="C34" t="s">
        <v>3507</v>
      </c>
      <c r="E34" s="522"/>
      <c r="F34" s="2119">
        <v>-18918</v>
      </c>
      <c r="G34" s="214"/>
    </row>
    <row r="35" spans="1:7">
      <c r="A35" s="595" t="s">
        <v>363</v>
      </c>
      <c r="B35" s="522"/>
      <c r="C35" t="s">
        <v>3693</v>
      </c>
      <c r="E35" s="522"/>
      <c r="F35" s="2119">
        <v>-10880</v>
      </c>
      <c r="G35" s="214"/>
    </row>
    <row r="36" spans="1:7">
      <c r="A36" s="595" t="s">
        <v>364</v>
      </c>
      <c r="B36" s="522"/>
      <c r="C36" t="s">
        <v>4090</v>
      </c>
      <c r="E36" s="522"/>
      <c r="F36" s="2119">
        <v>0</v>
      </c>
      <c r="G36" s="214"/>
    </row>
    <row r="37" spans="1:7" ht="18">
      <c r="A37" s="596" t="s">
        <v>3238</v>
      </c>
      <c r="B37" s="597"/>
      <c r="C37" s="1036" t="s">
        <v>3694</v>
      </c>
      <c r="D37" s="888"/>
      <c r="E37" s="914" t="s">
        <v>3456</v>
      </c>
      <c r="F37" s="2375">
        <v>15066</v>
      </c>
      <c r="G37" s="225"/>
    </row>
    <row r="38" spans="1:7" ht="18">
      <c r="A38" s="83"/>
      <c r="B38" s="522"/>
      <c r="C38" s="882"/>
      <c r="D38" s="882"/>
      <c r="G38" s="214"/>
    </row>
    <row r="39" spans="1:7" ht="18">
      <c r="A39" s="83"/>
      <c r="B39" s="522"/>
      <c r="C39" s="882"/>
      <c r="D39" s="882"/>
      <c r="G39" s="214"/>
    </row>
    <row r="40" spans="1:7" ht="18">
      <c r="A40" s="83"/>
      <c r="B40" s="522"/>
      <c r="C40" s="882"/>
      <c r="D40" s="882"/>
      <c r="G40" s="214"/>
    </row>
    <row r="41" spans="1:7" ht="18">
      <c r="A41" s="83"/>
      <c r="B41" s="522"/>
      <c r="C41" s="882"/>
      <c r="D41" s="882"/>
      <c r="G41" s="214"/>
    </row>
    <row r="42" spans="1:7" ht="18">
      <c r="A42" s="83"/>
      <c r="B42" s="522"/>
      <c r="C42" s="882"/>
      <c r="D42" s="882"/>
      <c r="G42" s="214"/>
    </row>
    <row r="43" spans="1:7" ht="18">
      <c r="A43" s="83"/>
      <c r="B43" s="522"/>
      <c r="C43" s="882"/>
      <c r="D43" s="882"/>
      <c r="G43" s="214"/>
    </row>
    <row r="44" spans="1:7" ht="18">
      <c r="A44" s="83"/>
      <c r="B44" s="522"/>
      <c r="C44" s="882"/>
      <c r="D44" s="882"/>
      <c r="G44" s="214"/>
    </row>
    <row r="45" spans="1:7" ht="18">
      <c r="A45" s="83"/>
      <c r="B45" s="522"/>
      <c r="C45" s="882"/>
      <c r="D45" s="882"/>
      <c r="G45" s="214"/>
    </row>
    <row r="46" spans="1:7" ht="18">
      <c r="A46" s="83"/>
      <c r="B46" s="522"/>
      <c r="C46" s="882"/>
      <c r="D46" s="882"/>
      <c r="G46" s="214"/>
    </row>
    <row r="47" spans="1:7" ht="18">
      <c r="A47" s="83"/>
      <c r="B47" s="522"/>
      <c r="C47" s="882"/>
      <c r="D47" s="882"/>
      <c r="G47" s="214"/>
    </row>
    <row r="48" spans="1:7" ht="18">
      <c r="A48" s="83"/>
      <c r="B48" s="522"/>
      <c r="C48" s="882"/>
      <c r="D48" s="882"/>
      <c r="G48" s="214"/>
    </row>
    <row r="49" spans="1:7" ht="18">
      <c r="A49" s="83"/>
      <c r="B49" s="522"/>
      <c r="C49" s="882"/>
      <c r="D49" s="882"/>
      <c r="G49" s="214"/>
    </row>
    <row r="50" spans="1:7" ht="18">
      <c r="A50" s="83"/>
      <c r="B50" s="522"/>
      <c r="C50" s="882"/>
      <c r="D50" s="882"/>
      <c r="G50" s="214"/>
    </row>
    <row r="51" spans="1:7" ht="18">
      <c r="A51" s="83"/>
      <c r="B51" s="522"/>
      <c r="C51" s="882"/>
      <c r="D51" s="882"/>
      <c r="G51" s="214"/>
    </row>
    <row r="52" spans="1:7" ht="18">
      <c r="A52" s="83"/>
      <c r="B52" s="522"/>
      <c r="C52" s="882"/>
      <c r="D52" s="882"/>
      <c r="G52" s="214"/>
    </row>
    <row r="53" spans="1:7" ht="18">
      <c r="A53" s="83"/>
      <c r="B53" s="522"/>
      <c r="C53" s="882"/>
      <c r="D53" s="882"/>
      <c r="G53" s="214"/>
    </row>
    <row r="54" spans="1:7" ht="18">
      <c r="A54" s="83"/>
      <c r="B54" s="522"/>
      <c r="C54" s="882"/>
      <c r="D54" s="882"/>
      <c r="G54" s="214"/>
    </row>
    <row r="55" spans="1:7" ht="18">
      <c r="A55" s="83"/>
      <c r="B55" s="522"/>
      <c r="C55" s="882"/>
      <c r="D55" s="882"/>
      <c r="G55" s="214"/>
    </row>
    <row r="56" spans="1:7" ht="18">
      <c r="A56" s="83"/>
      <c r="B56" s="522"/>
      <c r="C56" s="882"/>
      <c r="D56" s="882"/>
      <c r="G56" s="214"/>
    </row>
    <row r="57" spans="1:7" ht="18">
      <c r="A57" s="83"/>
      <c r="B57" s="522"/>
      <c r="C57" s="882"/>
      <c r="D57" s="882"/>
      <c r="G57" s="214"/>
    </row>
    <row r="58" spans="1:7" ht="18">
      <c r="A58" s="83"/>
      <c r="B58" s="522"/>
      <c r="C58" s="882"/>
      <c r="D58" s="882"/>
      <c r="G58" s="214"/>
    </row>
    <row r="59" spans="1:7" ht="18">
      <c r="A59" s="83"/>
      <c r="B59" s="522"/>
      <c r="C59" s="882"/>
      <c r="D59" s="882"/>
      <c r="G59" s="214"/>
    </row>
    <row r="60" spans="1:7" ht="18">
      <c r="A60" s="83"/>
      <c r="B60" s="522"/>
      <c r="C60" s="882"/>
      <c r="D60" s="882"/>
      <c r="G60" s="214"/>
    </row>
    <row r="61" spans="1:7" ht="18">
      <c r="A61" s="83"/>
      <c r="B61" s="522"/>
      <c r="C61" s="882"/>
      <c r="D61" s="882"/>
      <c r="G61" s="214"/>
    </row>
    <row r="62" spans="1:7" ht="18.75" thickBot="1">
      <c r="A62" s="124"/>
      <c r="B62" s="698"/>
      <c r="C62" s="890"/>
      <c r="D62" s="890"/>
      <c r="E62" s="125"/>
      <c r="F62" s="125"/>
      <c r="G62" s="217"/>
    </row>
    <row r="63" spans="1:7">
      <c r="A63" t="s">
        <v>2024</v>
      </c>
    </row>
    <row r="64" spans="1:7">
      <c r="A64" s="5" t="s">
        <v>4990</v>
      </c>
      <c r="B64" s="4"/>
      <c r="C64" s="4"/>
      <c r="D64" s="4"/>
      <c r="E64" s="4"/>
      <c r="F64" s="4"/>
      <c r="G64" s="4"/>
    </row>
    <row r="68" spans="3:3">
      <c r="C68" s="108"/>
    </row>
    <row r="71" spans="3:3">
      <c r="C71" s="108"/>
    </row>
    <row r="72" spans="3:3">
      <c r="C72" s="108"/>
    </row>
    <row r="73" spans="3:3">
      <c r="C73" s="108"/>
    </row>
    <row r="74" spans="3:3">
      <c r="C74" s="108"/>
    </row>
  </sheetData>
  <printOptions horizontalCentered="1" verticalCentered="1"/>
  <pageMargins left="0.4" right="0.4" top="0.3" bottom="0.3" header="0" footer="0"/>
  <pageSetup scale="72"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ransitionEvaluation="1" codeName="Sheet82"/>
  <dimension ref="A1:E69"/>
  <sheetViews>
    <sheetView defaultGridColor="0" colorId="22" zoomScaleNormal="100" workbookViewId="0">
      <selection activeCell="G24" sqref="G23:G24"/>
    </sheetView>
  </sheetViews>
  <sheetFormatPr defaultColWidth="9.77734375" defaultRowHeight="15"/>
  <cols>
    <col min="1" max="1" width="4.77734375" customWidth="1"/>
    <col min="2" max="2" width="1.77734375" customWidth="1"/>
    <col min="3" max="3" width="65.77734375" customWidth="1"/>
    <col min="5" max="5" width="18.77734375" customWidth="1"/>
  </cols>
  <sheetData>
    <row r="1" spans="1:5" ht="15.75" thickBot="1">
      <c r="A1" t="str">
        <f>'Data sheet'!A57</f>
        <v>Annual Report of Veolia Water New York, Inc.                                              Year Ended  December 31, 2023</v>
      </c>
    </row>
    <row r="2" spans="1:5" ht="15.75">
      <c r="A2" s="877" t="s">
        <v>5305</v>
      </c>
      <c r="B2" s="81"/>
      <c r="C2" s="81"/>
      <c r="D2" s="81"/>
      <c r="E2" s="82"/>
    </row>
    <row r="3" spans="1:5" ht="18">
      <c r="A3" s="118" t="s">
        <v>3696</v>
      </c>
      <c r="B3" s="4"/>
      <c r="C3" s="887"/>
      <c r="D3" s="887"/>
      <c r="E3" s="119"/>
    </row>
    <row r="4" spans="1:5">
      <c r="A4" s="83"/>
      <c r="E4" s="214"/>
    </row>
    <row r="5" spans="1:5" ht="30">
      <c r="A5" s="1037" t="s">
        <v>284</v>
      </c>
      <c r="C5" s="13" t="s">
        <v>1973</v>
      </c>
      <c r="D5" s="13"/>
      <c r="E5" s="214"/>
    </row>
    <row r="6" spans="1:5">
      <c r="A6" s="595" t="s">
        <v>1687</v>
      </c>
      <c r="C6" t="s">
        <v>307</v>
      </c>
      <c r="E6" s="214"/>
    </row>
    <row r="7" spans="1:5">
      <c r="A7" s="595" t="s">
        <v>3053</v>
      </c>
      <c r="C7" t="s">
        <v>3555</v>
      </c>
      <c r="E7" s="214"/>
    </row>
    <row r="8" spans="1:5">
      <c r="A8" s="83"/>
      <c r="E8" s="225"/>
    </row>
    <row r="9" spans="1:5">
      <c r="A9" s="580" t="s">
        <v>1727</v>
      </c>
      <c r="B9" s="242"/>
      <c r="C9" s="242"/>
      <c r="D9" s="242"/>
      <c r="E9" s="791" t="s">
        <v>1738</v>
      </c>
    </row>
    <row r="10" spans="1:5">
      <c r="A10" s="595" t="s">
        <v>1739</v>
      </c>
      <c r="B10" s="522"/>
      <c r="C10" s="600" t="s">
        <v>1290</v>
      </c>
      <c r="E10" s="796" t="s">
        <v>2318</v>
      </c>
    </row>
    <row r="11" spans="1:5">
      <c r="A11" s="123"/>
      <c r="B11" s="597"/>
      <c r="C11" s="797" t="s">
        <v>3279</v>
      </c>
      <c r="D11" s="224"/>
      <c r="E11" s="792" t="s">
        <v>3556</v>
      </c>
    </row>
    <row r="12" spans="1:5" ht="18">
      <c r="A12" s="83"/>
      <c r="B12" s="522"/>
      <c r="C12" s="1038" t="s">
        <v>3557</v>
      </c>
      <c r="D12" s="882"/>
      <c r="E12" s="523"/>
    </row>
    <row r="13" spans="1:5">
      <c r="A13" s="595" t="s">
        <v>340</v>
      </c>
      <c r="B13" s="522"/>
      <c r="C13" t="s">
        <v>548</v>
      </c>
      <c r="E13" s="2773">
        <v>161081</v>
      </c>
    </row>
    <row r="14" spans="1:5">
      <c r="A14" s="83"/>
      <c r="B14" s="522"/>
      <c r="C14" t="s">
        <v>549</v>
      </c>
      <c r="E14" s="2774"/>
    </row>
    <row r="15" spans="1:5">
      <c r="A15" s="595" t="s">
        <v>341</v>
      </c>
      <c r="B15" s="522"/>
      <c r="C15" t="s">
        <v>550</v>
      </c>
      <c r="E15" s="2774">
        <v>410000</v>
      </c>
    </row>
    <row r="16" spans="1:5">
      <c r="A16" s="595" t="s">
        <v>342</v>
      </c>
      <c r="B16" s="522"/>
      <c r="C16" t="s">
        <v>551</v>
      </c>
      <c r="E16" s="2774"/>
    </row>
    <row r="17" spans="1:5">
      <c r="A17" s="595" t="s">
        <v>343</v>
      </c>
      <c r="B17" s="522"/>
      <c r="C17" t="s">
        <v>552</v>
      </c>
      <c r="E17" s="2774">
        <v>3996</v>
      </c>
    </row>
    <row r="18" spans="1:5">
      <c r="A18" s="595" t="s">
        <v>344</v>
      </c>
      <c r="B18" s="522"/>
      <c r="C18" t="s">
        <v>2694</v>
      </c>
      <c r="E18" s="2774">
        <v>-35376</v>
      </c>
    </row>
    <row r="19" spans="1:5">
      <c r="A19" s="595" t="s">
        <v>345</v>
      </c>
      <c r="B19" s="522"/>
      <c r="C19" t="s">
        <v>2695</v>
      </c>
      <c r="E19" s="2774"/>
    </row>
    <row r="20" spans="1:5">
      <c r="A20" s="595" t="s">
        <v>346</v>
      </c>
      <c r="B20" s="522"/>
      <c r="C20" t="s">
        <v>2696</v>
      </c>
      <c r="E20" s="2774">
        <v>79955</v>
      </c>
    </row>
    <row r="21" spans="1:5">
      <c r="A21" s="595" t="s">
        <v>347</v>
      </c>
      <c r="B21" s="522"/>
      <c r="C21" t="s">
        <v>2697</v>
      </c>
      <c r="E21" s="2772"/>
    </row>
    <row r="22" spans="1:5" ht="15.75" thickBot="1">
      <c r="A22" s="595" t="s">
        <v>348</v>
      </c>
      <c r="B22" s="522"/>
      <c r="C22" t="s">
        <v>2698</v>
      </c>
      <c r="E22" s="2374">
        <v>459746</v>
      </c>
    </row>
    <row r="23" spans="1:5">
      <c r="A23" s="80"/>
      <c r="B23" s="81"/>
      <c r="C23" s="81"/>
      <c r="D23" s="81"/>
      <c r="E23" s="82"/>
    </row>
    <row r="24" spans="1:5">
      <c r="A24" s="83"/>
      <c r="C24" t="s">
        <v>1418</v>
      </c>
      <c r="E24" s="214"/>
    </row>
    <row r="25" spans="1:5">
      <c r="A25" s="83"/>
      <c r="C25" t="s">
        <v>4591</v>
      </c>
      <c r="E25" s="214"/>
    </row>
    <row r="26" spans="1:5">
      <c r="A26" s="83"/>
      <c r="E26" s="214"/>
    </row>
    <row r="27" spans="1:5">
      <c r="A27" s="871"/>
      <c r="B27" s="22"/>
      <c r="D27" s="22"/>
      <c r="E27" s="872"/>
    </row>
    <row r="28" spans="1:5">
      <c r="A28" s="871"/>
      <c r="B28" s="22"/>
      <c r="C28" s="2147"/>
      <c r="D28" s="22"/>
      <c r="E28" s="872"/>
    </row>
    <row r="29" spans="1:5">
      <c r="A29" s="871"/>
      <c r="B29" s="22"/>
      <c r="C29" s="22"/>
      <c r="D29" s="22"/>
      <c r="E29" s="872"/>
    </row>
    <row r="30" spans="1:5" ht="15.75">
      <c r="A30" s="871"/>
      <c r="B30" s="22"/>
      <c r="C30" s="1983"/>
      <c r="D30" s="22"/>
      <c r="E30" s="872"/>
    </row>
    <row r="31" spans="1:5">
      <c r="A31" s="871"/>
      <c r="B31" s="22"/>
      <c r="C31" t="s">
        <v>1419</v>
      </c>
      <c r="D31" s="22"/>
      <c r="E31" s="872"/>
    </row>
    <row r="32" spans="1:5">
      <c r="A32" s="871"/>
      <c r="B32" s="22"/>
      <c r="C32" s="22"/>
      <c r="D32" s="22"/>
      <c r="E32" s="872"/>
    </row>
    <row r="33" spans="1:5">
      <c r="A33" s="871"/>
      <c r="B33" s="22"/>
      <c r="C33" s="22"/>
      <c r="D33" s="22"/>
      <c r="E33" s="872"/>
    </row>
    <row r="34" spans="1:5">
      <c r="A34" s="871"/>
      <c r="B34" s="22"/>
      <c r="C34" s="22"/>
      <c r="D34" s="22"/>
      <c r="E34" s="872"/>
    </row>
    <row r="35" spans="1:5">
      <c r="A35" s="871"/>
      <c r="B35" s="22"/>
      <c r="C35" s="22"/>
      <c r="D35" s="22"/>
      <c r="E35" s="872"/>
    </row>
    <row r="36" spans="1:5">
      <c r="A36" s="871"/>
      <c r="B36" s="22"/>
      <c r="C36" s="22"/>
      <c r="D36" s="22"/>
      <c r="E36" s="872"/>
    </row>
    <row r="37" spans="1:5">
      <c r="A37" s="871"/>
      <c r="B37" s="22"/>
      <c r="C37" s="22"/>
      <c r="D37" s="22"/>
      <c r="E37" s="872"/>
    </row>
    <row r="38" spans="1:5">
      <c r="A38" s="871"/>
      <c r="B38" s="22"/>
      <c r="C38" s="22"/>
      <c r="D38" s="22"/>
      <c r="E38" s="872"/>
    </row>
    <row r="39" spans="1:5">
      <c r="A39" s="871"/>
      <c r="B39" s="22"/>
      <c r="C39" s="22"/>
      <c r="D39" s="22"/>
      <c r="E39" s="872"/>
    </row>
    <row r="40" spans="1:5">
      <c r="A40" s="871"/>
      <c r="B40" s="22"/>
      <c r="C40" s="22"/>
      <c r="D40" s="22"/>
      <c r="E40" s="872"/>
    </row>
    <row r="41" spans="1:5">
      <c r="A41" s="871"/>
      <c r="B41" s="22"/>
      <c r="C41" s="22"/>
      <c r="D41" s="22"/>
      <c r="E41" s="872"/>
    </row>
    <row r="42" spans="1:5">
      <c r="A42" s="871"/>
      <c r="B42" s="22"/>
      <c r="C42" s="22"/>
      <c r="D42" s="22"/>
      <c r="E42" s="872"/>
    </row>
    <row r="43" spans="1:5">
      <c r="A43" s="871"/>
      <c r="B43" s="22"/>
      <c r="C43" s="22"/>
      <c r="D43" s="22"/>
      <c r="E43" s="872"/>
    </row>
    <row r="44" spans="1:5">
      <c r="A44" s="871"/>
      <c r="B44" s="22"/>
      <c r="C44" s="22"/>
      <c r="D44" s="22"/>
      <c r="E44" s="872"/>
    </row>
    <row r="45" spans="1:5">
      <c r="A45" s="871"/>
      <c r="B45" s="22"/>
      <c r="C45" s="22"/>
      <c r="D45" s="22"/>
      <c r="E45" s="872"/>
    </row>
    <row r="46" spans="1:5">
      <c r="A46" s="871"/>
      <c r="B46" s="22"/>
      <c r="C46" s="22"/>
      <c r="D46" s="22"/>
      <c r="E46" s="872"/>
    </row>
    <row r="47" spans="1:5">
      <c r="A47" s="871"/>
      <c r="B47" s="22"/>
      <c r="C47" s="22"/>
      <c r="D47" s="22"/>
      <c r="E47" s="872"/>
    </row>
    <row r="48" spans="1:5">
      <c r="A48" s="871"/>
      <c r="B48" s="22"/>
      <c r="C48" s="22"/>
      <c r="D48" s="22"/>
      <c r="E48" s="872"/>
    </row>
    <row r="49" spans="1:5">
      <c r="A49" s="871"/>
      <c r="B49" s="22"/>
      <c r="C49" s="22"/>
      <c r="D49" s="22"/>
      <c r="E49" s="872"/>
    </row>
    <row r="50" spans="1:5">
      <c r="A50" s="871"/>
      <c r="B50" s="22"/>
      <c r="C50" s="22"/>
      <c r="D50" s="22"/>
      <c r="E50" s="872"/>
    </row>
    <row r="51" spans="1:5">
      <c r="A51" s="871"/>
      <c r="B51" s="22"/>
      <c r="C51" s="22"/>
      <c r="D51" s="22"/>
      <c r="E51" s="872"/>
    </row>
    <row r="52" spans="1:5">
      <c r="A52" s="871"/>
      <c r="B52" s="22"/>
      <c r="C52" s="22"/>
      <c r="D52" s="22"/>
      <c r="E52" s="872"/>
    </row>
    <row r="53" spans="1:5">
      <c r="A53" s="871"/>
      <c r="B53" s="22"/>
      <c r="C53" s="22"/>
      <c r="D53" s="22"/>
      <c r="E53" s="872"/>
    </row>
    <row r="54" spans="1:5">
      <c r="A54" s="871"/>
      <c r="B54" s="22"/>
      <c r="C54" s="22"/>
      <c r="D54" s="22"/>
      <c r="E54" s="872"/>
    </row>
    <row r="55" spans="1:5">
      <c r="A55" s="871"/>
      <c r="B55" s="22"/>
      <c r="C55" s="22"/>
      <c r="D55" s="22"/>
      <c r="E55" s="872"/>
    </row>
    <row r="56" spans="1:5" ht="15.75" thickBot="1">
      <c r="A56" s="873"/>
      <c r="B56" s="874"/>
      <c r="C56" s="874"/>
      <c r="D56" s="874"/>
      <c r="E56" s="875"/>
    </row>
    <row r="57" spans="1:5">
      <c r="E57" t="s">
        <v>2024</v>
      </c>
    </row>
    <row r="58" spans="1:5">
      <c r="A58" s="4" t="s">
        <v>1420</v>
      </c>
      <c r="B58" s="4"/>
      <c r="C58" s="4"/>
      <c r="D58" s="4"/>
      <c r="E58" s="4"/>
    </row>
    <row r="63" spans="1:5">
      <c r="C63" s="108"/>
    </row>
    <row r="66" spans="3:3">
      <c r="C66" s="108"/>
    </row>
    <row r="67" spans="3:3">
      <c r="C67" s="108"/>
    </row>
    <row r="68" spans="3:3">
      <c r="C68" s="108"/>
    </row>
    <row r="69" spans="3:3">
      <c r="C69" s="108"/>
    </row>
  </sheetData>
  <phoneticPr fontId="0" type="noConversion"/>
  <printOptions horizontalCentered="1" verticalCentered="1"/>
  <pageMargins left="0.4" right="0.4" top="0.3" bottom="0.3" header="0" footer="0"/>
  <pageSetup scale="80"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ransitionEvaluation="1" codeName="Sheet83"/>
  <dimension ref="A1:E69"/>
  <sheetViews>
    <sheetView defaultGridColor="0" colorId="22" zoomScaleNormal="100" workbookViewId="0">
      <selection activeCell="H24" sqref="H24"/>
    </sheetView>
  </sheetViews>
  <sheetFormatPr defaultColWidth="9.77734375" defaultRowHeight="15"/>
  <cols>
    <col min="1" max="1" width="4.77734375" customWidth="1"/>
    <col min="2" max="2" width="1.77734375" customWidth="1"/>
    <col min="3" max="3" width="65.77734375" customWidth="1"/>
    <col min="5" max="5" width="18.77734375" customWidth="1"/>
  </cols>
  <sheetData>
    <row r="1" spans="1:5" ht="15.75" thickBot="1">
      <c r="A1" t="str">
        <f>'Data sheet'!A57</f>
        <v>Annual Report of Veolia Water New York, Inc.                                              Year Ended  December 31, 2023</v>
      </c>
    </row>
    <row r="2" spans="1:5" ht="15.75">
      <c r="A2" s="877" t="s">
        <v>5306</v>
      </c>
      <c r="B2" s="81"/>
      <c r="C2" s="81"/>
      <c r="D2" s="81"/>
      <c r="E2" s="82"/>
    </row>
    <row r="3" spans="1:5" ht="18">
      <c r="A3" s="118" t="s">
        <v>3696</v>
      </c>
      <c r="B3" s="4"/>
      <c r="C3" s="887"/>
      <c r="D3" s="887"/>
      <c r="E3" s="119"/>
    </row>
    <row r="4" spans="1:5">
      <c r="A4" s="83"/>
      <c r="E4" s="214"/>
    </row>
    <row r="5" spans="1:5" ht="30">
      <c r="A5" s="1037" t="s">
        <v>284</v>
      </c>
      <c r="C5" s="13" t="s">
        <v>1973</v>
      </c>
      <c r="D5" s="13"/>
      <c r="E5" s="214"/>
    </row>
    <row r="6" spans="1:5">
      <c r="A6" s="595" t="s">
        <v>1687</v>
      </c>
      <c r="C6" t="s">
        <v>307</v>
      </c>
      <c r="E6" s="214"/>
    </row>
    <row r="7" spans="1:5">
      <c r="A7" s="595" t="s">
        <v>3053</v>
      </c>
      <c r="C7" t="s">
        <v>3555</v>
      </c>
      <c r="E7" s="214"/>
    </row>
    <row r="8" spans="1:5">
      <c r="A8" s="83"/>
      <c r="E8" s="225"/>
    </row>
    <row r="9" spans="1:5">
      <c r="A9" s="580" t="s">
        <v>1727</v>
      </c>
      <c r="B9" s="242"/>
      <c r="C9" s="242"/>
      <c r="D9" s="242"/>
      <c r="E9" s="791" t="s">
        <v>1738</v>
      </c>
    </row>
    <row r="10" spans="1:5">
      <c r="A10" s="595" t="s">
        <v>1739</v>
      </c>
      <c r="B10" s="522"/>
      <c r="C10" s="600" t="s">
        <v>1290</v>
      </c>
      <c r="E10" s="796" t="s">
        <v>2318</v>
      </c>
    </row>
    <row r="11" spans="1:5">
      <c r="A11" s="123"/>
      <c r="B11" s="597"/>
      <c r="C11" s="797" t="s">
        <v>3279</v>
      </c>
      <c r="D11" s="224"/>
      <c r="E11" s="792" t="s">
        <v>3556</v>
      </c>
    </row>
    <row r="12" spans="1:5" ht="18">
      <c r="A12" s="83"/>
      <c r="B12" s="522"/>
      <c r="C12" s="1038" t="s">
        <v>3557</v>
      </c>
      <c r="D12" s="882"/>
      <c r="E12" s="523"/>
    </row>
    <row r="13" spans="1:5">
      <c r="A13" s="595" t="s">
        <v>340</v>
      </c>
      <c r="B13" s="522"/>
      <c r="C13" t="s">
        <v>548</v>
      </c>
      <c r="E13" s="2773">
        <v>10057434</v>
      </c>
    </row>
    <row r="14" spans="1:5">
      <c r="A14" s="83"/>
      <c r="B14" s="522"/>
      <c r="C14" t="s">
        <v>549</v>
      </c>
      <c r="E14" s="2774"/>
    </row>
    <row r="15" spans="1:5">
      <c r="A15" s="595" t="s">
        <v>341</v>
      </c>
      <c r="B15" s="522"/>
      <c r="C15" t="s">
        <v>550</v>
      </c>
      <c r="E15" s="2774"/>
    </row>
    <row r="16" spans="1:5">
      <c r="A16" s="595" t="s">
        <v>342</v>
      </c>
      <c r="B16" s="522"/>
      <c r="C16" t="s">
        <v>551</v>
      </c>
      <c r="E16" s="2774"/>
    </row>
    <row r="17" spans="1:5">
      <c r="A17" s="595" t="s">
        <v>343</v>
      </c>
      <c r="B17" s="522"/>
      <c r="C17" t="s">
        <v>552</v>
      </c>
      <c r="E17" s="2774"/>
    </row>
    <row r="18" spans="1:5">
      <c r="A18" s="595" t="s">
        <v>344</v>
      </c>
      <c r="B18" s="522"/>
      <c r="C18" t="s">
        <v>2694</v>
      </c>
      <c r="E18" s="2774">
        <v>1695220</v>
      </c>
    </row>
    <row r="19" spans="1:5">
      <c r="A19" s="595" t="s">
        <v>345</v>
      </c>
      <c r="B19" s="522"/>
      <c r="C19" t="s">
        <v>2695</v>
      </c>
      <c r="E19" s="2774"/>
    </row>
    <row r="20" spans="1:5">
      <c r="A20" s="595" t="s">
        <v>346</v>
      </c>
      <c r="B20" s="522"/>
      <c r="C20" t="s">
        <v>2696</v>
      </c>
      <c r="E20" s="2774">
        <v>292273</v>
      </c>
    </row>
    <row r="21" spans="1:5">
      <c r="A21" s="595" t="s">
        <v>347</v>
      </c>
      <c r="B21" s="522"/>
      <c r="C21" t="s">
        <v>2697</v>
      </c>
      <c r="E21" s="2123"/>
    </row>
    <row r="22" spans="1:5" ht="15.75" thickBot="1">
      <c r="A22" s="595" t="s">
        <v>348</v>
      </c>
      <c r="B22" s="522"/>
      <c r="C22" t="s">
        <v>2698</v>
      </c>
      <c r="E22" s="2374">
        <v>11460381</v>
      </c>
    </row>
    <row r="23" spans="1:5">
      <c r="A23" s="80"/>
      <c r="B23" s="81"/>
      <c r="C23" s="81"/>
      <c r="D23" s="81"/>
      <c r="E23" s="82"/>
    </row>
    <row r="24" spans="1:5">
      <c r="A24" s="83"/>
      <c r="C24" t="s">
        <v>1418</v>
      </c>
      <c r="E24" s="214"/>
    </row>
    <row r="25" spans="1:5">
      <c r="A25" s="83"/>
      <c r="C25" t="s">
        <v>4591</v>
      </c>
      <c r="E25" s="214"/>
    </row>
    <row r="26" spans="1:5">
      <c r="A26" s="83"/>
      <c r="E26" s="214"/>
    </row>
    <row r="27" spans="1:5">
      <c r="A27" s="871"/>
      <c r="B27" s="22"/>
      <c r="D27" s="22"/>
      <c r="E27" s="872"/>
    </row>
    <row r="28" spans="1:5">
      <c r="A28" s="871"/>
      <c r="B28" s="22"/>
      <c r="C28" s="22"/>
      <c r="D28" s="22"/>
      <c r="E28" s="872"/>
    </row>
    <row r="29" spans="1:5" ht="15.75">
      <c r="A29" s="871"/>
      <c r="B29" s="22"/>
      <c r="C29" s="1983"/>
      <c r="D29" s="22"/>
      <c r="E29" s="872"/>
    </row>
    <row r="30" spans="1:5">
      <c r="A30" s="871"/>
      <c r="B30" s="22"/>
      <c r="C30" s="22"/>
      <c r="D30" s="22"/>
      <c r="E30" s="872"/>
    </row>
    <row r="31" spans="1:5">
      <c r="A31" s="871"/>
      <c r="B31" s="22"/>
      <c r="C31" t="s">
        <v>1419</v>
      </c>
      <c r="D31" s="22"/>
      <c r="E31" s="872"/>
    </row>
    <row r="32" spans="1:5">
      <c r="A32" s="871"/>
      <c r="B32" s="22"/>
      <c r="C32" s="22"/>
      <c r="D32" s="22"/>
      <c r="E32" s="872"/>
    </row>
    <row r="33" spans="1:5">
      <c r="A33" s="871"/>
      <c r="B33" s="22"/>
      <c r="C33" s="22"/>
      <c r="D33" s="22"/>
      <c r="E33" s="872"/>
    </row>
    <row r="34" spans="1:5">
      <c r="A34" s="871"/>
      <c r="B34" s="22"/>
      <c r="C34" s="22"/>
      <c r="D34" s="22"/>
      <c r="E34" s="872"/>
    </row>
    <row r="35" spans="1:5">
      <c r="A35" s="871"/>
      <c r="B35" s="22"/>
      <c r="C35" s="22"/>
      <c r="D35" s="22"/>
      <c r="E35" s="872"/>
    </row>
    <row r="36" spans="1:5">
      <c r="A36" s="871"/>
      <c r="B36" s="22"/>
      <c r="C36" s="22"/>
      <c r="D36" s="22"/>
      <c r="E36" s="872"/>
    </row>
    <row r="37" spans="1:5">
      <c r="A37" s="871"/>
      <c r="B37" s="22"/>
      <c r="C37" s="22"/>
      <c r="D37" s="22"/>
      <c r="E37" s="872"/>
    </row>
    <row r="38" spans="1:5">
      <c r="A38" s="871"/>
      <c r="B38" s="22"/>
      <c r="C38" s="22"/>
      <c r="D38" s="22"/>
      <c r="E38" s="872"/>
    </row>
    <row r="39" spans="1:5">
      <c r="A39" s="871"/>
      <c r="B39" s="22"/>
      <c r="C39" s="22"/>
      <c r="D39" s="22"/>
      <c r="E39" s="872"/>
    </row>
    <row r="40" spans="1:5">
      <c r="A40" s="871"/>
      <c r="B40" s="22"/>
      <c r="C40" s="22"/>
      <c r="D40" s="22"/>
      <c r="E40" s="872"/>
    </row>
    <row r="41" spans="1:5">
      <c r="A41" s="871"/>
      <c r="B41" s="22"/>
      <c r="C41" s="22"/>
      <c r="D41" s="22"/>
      <c r="E41" s="872"/>
    </row>
    <row r="42" spans="1:5">
      <c r="A42" s="871"/>
      <c r="B42" s="22"/>
      <c r="C42" s="22"/>
      <c r="D42" s="22"/>
      <c r="E42" s="872"/>
    </row>
    <row r="43" spans="1:5">
      <c r="A43" s="871"/>
      <c r="B43" s="22"/>
      <c r="C43" s="22"/>
      <c r="D43" s="22"/>
      <c r="E43" s="872"/>
    </row>
    <row r="44" spans="1:5">
      <c r="A44" s="871"/>
      <c r="B44" s="22"/>
      <c r="C44" s="22"/>
      <c r="D44" s="22"/>
      <c r="E44" s="872"/>
    </row>
    <row r="45" spans="1:5">
      <c r="A45" s="871"/>
      <c r="B45" s="22"/>
      <c r="C45" s="22"/>
      <c r="D45" s="22"/>
      <c r="E45" s="872"/>
    </row>
    <row r="46" spans="1:5">
      <c r="A46" s="871"/>
      <c r="B46" s="22"/>
      <c r="C46" s="22"/>
      <c r="D46" s="22"/>
      <c r="E46" s="872"/>
    </row>
    <row r="47" spans="1:5">
      <c r="A47" s="871"/>
      <c r="B47" s="22"/>
      <c r="C47" s="22"/>
      <c r="D47" s="22"/>
      <c r="E47" s="872"/>
    </row>
    <row r="48" spans="1:5">
      <c r="A48" s="871"/>
      <c r="B48" s="22"/>
      <c r="C48" s="22"/>
      <c r="D48" s="22"/>
      <c r="E48" s="872"/>
    </row>
    <row r="49" spans="1:5">
      <c r="A49" s="871"/>
      <c r="B49" s="22"/>
      <c r="C49" s="22"/>
      <c r="D49" s="22"/>
      <c r="E49" s="872"/>
    </row>
    <row r="50" spans="1:5">
      <c r="A50" s="871"/>
      <c r="B50" s="22"/>
      <c r="C50" s="22"/>
      <c r="D50" s="22"/>
      <c r="E50" s="872"/>
    </row>
    <row r="51" spans="1:5">
      <c r="A51" s="871"/>
      <c r="B51" s="22"/>
      <c r="C51" s="22"/>
      <c r="D51" s="22"/>
      <c r="E51" s="872"/>
    </row>
    <row r="52" spans="1:5">
      <c r="A52" s="871"/>
      <c r="B52" s="22"/>
      <c r="C52" s="22"/>
      <c r="D52" s="22"/>
      <c r="E52" s="872"/>
    </row>
    <row r="53" spans="1:5">
      <c r="A53" s="871"/>
      <c r="B53" s="22"/>
      <c r="C53" s="22"/>
      <c r="D53" s="22"/>
      <c r="E53" s="872"/>
    </row>
    <row r="54" spans="1:5">
      <c r="A54" s="871"/>
      <c r="B54" s="22"/>
      <c r="C54" s="22"/>
      <c r="D54" s="22"/>
      <c r="E54" s="872"/>
    </row>
    <row r="55" spans="1:5">
      <c r="A55" s="871"/>
      <c r="B55" s="22"/>
      <c r="C55" s="22"/>
      <c r="D55" s="22"/>
      <c r="E55" s="872"/>
    </row>
    <row r="56" spans="1:5" ht="15.75" thickBot="1">
      <c r="A56" s="873"/>
      <c r="B56" s="874"/>
      <c r="C56" s="874"/>
      <c r="D56" s="874"/>
      <c r="E56" s="875"/>
    </row>
    <row r="57" spans="1:5">
      <c r="E57" t="s">
        <v>2024</v>
      </c>
    </row>
    <row r="58" spans="1:5">
      <c r="A58" s="4" t="s">
        <v>2562</v>
      </c>
      <c r="B58" s="4"/>
      <c r="C58" s="4"/>
      <c r="D58" s="4"/>
      <c r="E58" s="4"/>
    </row>
    <row r="63" spans="1:5">
      <c r="C63" s="108"/>
    </row>
    <row r="66" spans="3:3">
      <c r="C66" s="108"/>
    </row>
    <row r="67" spans="3:3">
      <c r="C67" s="108"/>
    </row>
    <row r="68" spans="3:3">
      <c r="C68" s="108"/>
    </row>
    <row r="69" spans="3:3">
      <c r="C69" s="108"/>
    </row>
  </sheetData>
  <phoneticPr fontId="0" type="noConversion"/>
  <printOptions horizontalCentered="1" verticalCentered="1"/>
  <pageMargins left="0.4" right="0.4" top="0.3" bottom="0.3" header="0" footer="0"/>
  <pageSetup scale="80"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ransitionEvaluation="1"/>
  <dimension ref="A1:E69"/>
  <sheetViews>
    <sheetView defaultGridColor="0" colorId="22" zoomScaleNormal="100" workbookViewId="0">
      <selection activeCell="H20" sqref="H20"/>
    </sheetView>
  </sheetViews>
  <sheetFormatPr defaultColWidth="9.77734375" defaultRowHeight="15"/>
  <cols>
    <col min="1" max="1" width="4.77734375" customWidth="1"/>
    <col min="2" max="2" width="1.77734375" customWidth="1"/>
    <col min="3" max="3" width="65.77734375" customWidth="1"/>
    <col min="5" max="5" width="18.77734375" customWidth="1"/>
  </cols>
  <sheetData>
    <row r="1" spans="1:5" ht="15.75" thickBot="1">
      <c r="A1" s="86" t="s">
        <v>5234</v>
      </c>
      <c r="E1" s="405" t="str">
        <f>+'361b362b'!C1</f>
        <v xml:space="preserve">                                                        Year Ended  December 31, 2023</v>
      </c>
    </row>
    <row r="2" spans="1:5" ht="15.75">
      <c r="A2" s="877" t="s">
        <v>5304</v>
      </c>
      <c r="B2" s="81"/>
      <c r="C2" s="81"/>
      <c r="D2" s="81"/>
      <c r="E2" s="82"/>
    </row>
    <row r="3" spans="1:5" ht="18">
      <c r="A3" s="118" t="s">
        <v>3696</v>
      </c>
      <c r="B3" s="4"/>
      <c r="C3" s="887"/>
      <c r="D3" s="887"/>
      <c r="E3" s="119"/>
    </row>
    <row r="4" spans="1:5">
      <c r="A4" s="83"/>
      <c r="E4" s="214"/>
    </row>
    <row r="5" spans="1:5" ht="30">
      <c r="A5" s="1037" t="s">
        <v>284</v>
      </c>
      <c r="C5" s="13" t="s">
        <v>1973</v>
      </c>
      <c r="D5" s="13"/>
      <c r="E5" s="214"/>
    </row>
    <row r="6" spans="1:5">
      <c r="A6" s="595" t="s">
        <v>1687</v>
      </c>
      <c r="C6" t="s">
        <v>307</v>
      </c>
      <c r="E6" s="214"/>
    </row>
    <row r="7" spans="1:5">
      <c r="A7" s="595" t="s">
        <v>3053</v>
      </c>
      <c r="C7" t="s">
        <v>3555</v>
      </c>
      <c r="E7" s="214"/>
    </row>
    <row r="8" spans="1:5">
      <c r="A8" s="83"/>
      <c r="E8" s="225"/>
    </row>
    <row r="9" spans="1:5">
      <c r="A9" s="580" t="s">
        <v>1727</v>
      </c>
      <c r="B9" s="242"/>
      <c r="C9" s="242"/>
      <c r="D9" s="242"/>
      <c r="E9" s="791" t="s">
        <v>1738</v>
      </c>
    </row>
    <row r="10" spans="1:5">
      <c r="A10" s="595" t="s">
        <v>1739</v>
      </c>
      <c r="B10" s="522"/>
      <c r="C10" s="600" t="s">
        <v>1290</v>
      </c>
      <c r="E10" s="796" t="s">
        <v>2318</v>
      </c>
    </row>
    <row r="11" spans="1:5">
      <c r="A11" s="123"/>
      <c r="B11" s="597"/>
      <c r="C11" s="797" t="s">
        <v>3279</v>
      </c>
      <c r="D11" s="224"/>
      <c r="E11" s="792" t="s">
        <v>3556</v>
      </c>
    </row>
    <row r="12" spans="1:5" ht="18">
      <c r="A12" s="83"/>
      <c r="B12" s="522"/>
      <c r="C12" s="1038" t="s">
        <v>3557</v>
      </c>
      <c r="D12" s="882"/>
      <c r="E12" s="523"/>
    </row>
    <row r="13" spans="1:5">
      <c r="A13" s="595" t="s">
        <v>340</v>
      </c>
      <c r="B13" s="522"/>
      <c r="C13" t="s">
        <v>548</v>
      </c>
      <c r="E13" s="2773">
        <v>2110</v>
      </c>
    </row>
    <row r="14" spans="1:5">
      <c r="A14" s="83"/>
      <c r="B14" s="522"/>
      <c r="C14" t="s">
        <v>549</v>
      </c>
      <c r="E14" s="2774"/>
    </row>
    <row r="15" spans="1:5">
      <c r="A15" s="595" t="s">
        <v>341</v>
      </c>
      <c r="B15" s="522"/>
      <c r="C15" t="s">
        <v>550</v>
      </c>
      <c r="E15" s="2774">
        <v>54000</v>
      </c>
    </row>
    <row r="16" spans="1:5">
      <c r="A16" s="595" t="s">
        <v>342</v>
      </c>
      <c r="B16" s="522"/>
      <c r="C16" t="s">
        <v>551</v>
      </c>
      <c r="E16" s="2774">
        <v>0</v>
      </c>
    </row>
    <row r="17" spans="1:5">
      <c r="A17" s="595" t="s">
        <v>343</v>
      </c>
      <c r="B17" s="522"/>
      <c r="C17" t="s">
        <v>552</v>
      </c>
      <c r="E17" s="2774">
        <v>901</v>
      </c>
    </row>
    <row r="18" spans="1:5">
      <c r="A18" s="595" t="s">
        <v>344</v>
      </c>
      <c r="B18" s="522"/>
      <c r="C18" t="s">
        <v>2694</v>
      </c>
      <c r="E18" s="2774">
        <v>-1018</v>
      </c>
    </row>
    <row r="19" spans="1:5">
      <c r="A19" s="595" t="s">
        <v>345</v>
      </c>
      <c r="B19" s="522"/>
      <c r="C19" t="s">
        <v>2695</v>
      </c>
      <c r="E19" s="2774">
        <v>0</v>
      </c>
    </row>
    <row r="20" spans="1:5">
      <c r="A20" s="595" t="s">
        <v>346</v>
      </c>
      <c r="B20" s="522"/>
      <c r="C20" t="s">
        <v>2696</v>
      </c>
      <c r="E20" s="2774">
        <v>18570</v>
      </c>
    </row>
    <row r="21" spans="1:5">
      <c r="A21" s="595" t="s">
        <v>347</v>
      </c>
      <c r="B21" s="522"/>
      <c r="C21" t="s">
        <v>2697</v>
      </c>
      <c r="E21" s="2123"/>
    </row>
    <row r="22" spans="1:5" ht="15.75" thickBot="1">
      <c r="A22" s="595" t="s">
        <v>348</v>
      </c>
      <c r="B22" s="522"/>
      <c r="C22" t="s">
        <v>2698</v>
      </c>
      <c r="E22" s="2374">
        <v>37423</v>
      </c>
    </row>
    <row r="23" spans="1:5">
      <c r="A23" s="80"/>
      <c r="B23" s="81"/>
      <c r="C23" s="81"/>
      <c r="D23" s="81"/>
      <c r="E23" s="82"/>
    </row>
    <row r="24" spans="1:5">
      <c r="A24" s="83"/>
      <c r="C24" t="s">
        <v>1418</v>
      </c>
      <c r="E24" s="214"/>
    </row>
    <row r="25" spans="1:5">
      <c r="A25" s="83"/>
      <c r="C25" t="s">
        <v>4591</v>
      </c>
      <c r="E25" s="214"/>
    </row>
    <row r="26" spans="1:5">
      <c r="A26" s="83"/>
      <c r="E26" s="214"/>
    </row>
    <row r="27" spans="1:5">
      <c r="A27" s="871"/>
      <c r="B27" s="22"/>
      <c r="D27" s="22"/>
      <c r="E27" s="872"/>
    </row>
    <row r="28" spans="1:5">
      <c r="A28" s="871"/>
      <c r="B28" s="22"/>
      <c r="C28" s="22"/>
      <c r="D28" s="22"/>
      <c r="E28" s="872"/>
    </row>
    <row r="29" spans="1:5" ht="15.75">
      <c r="A29" s="871"/>
      <c r="B29" s="22"/>
      <c r="C29" s="1983"/>
      <c r="D29" s="22"/>
      <c r="E29" s="872"/>
    </row>
    <row r="30" spans="1:5">
      <c r="A30" s="871"/>
      <c r="B30" s="22"/>
      <c r="C30" s="22"/>
      <c r="D30" s="22"/>
      <c r="E30" s="872"/>
    </row>
    <row r="31" spans="1:5">
      <c r="A31" s="871"/>
      <c r="B31" s="22"/>
      <c r="C31" t="s">
        <v>1419</v>
      </c>
      <c r="D31" s="22"/>
      <c r="E31" s="872"/>
    </row>
    <row r="32" spans="1:5">
      <c r="A32" s="871"/>
      <c r="B32" s="22"/>
      <c r="C32" s="22"/>
      <c r="D32" s="22"/>
      <c r="E32" s="872"/>
    </row>
    <row r="33" spans="1:5">
      <c r="A33" s="871"/>
      <c r="B33" s="22"/>
      <c r="C33" s="22"/>
      <c r="D33" s="22"/>
      <c r="E33" s="872"/>
    </row>
    <row r="34" spans="1:5">
      <c r="A34" s="871"/>
      <c r="B34" s="22"/>
      <c r="C34" s="22"/>
      <c r="D34" s="22"/>
      <c r="E34" s="872"/>
    </row>
    <row r="35" spans="1:5">
      <c r="A35" s="871"/>
      <c r="B35" s="22"/>
      <c r="C35" s="22"/>
      <c r="D35" s="22"/>
      <c r="E35" s="872"/>
    </row>
    <row r="36" spans="1:5">
      <c r="A36" s="871"/>
      <c r="B36" s="22"/>
      <c r="C36" s="22"/>
      <c r="D36" s="22"/>
      <c r="E36" s="872"/>
    </row>
    <row r="37" spans="1:5">
      <c r="A37" s="871"/>
      <c r="B37" s="22"/>
      <c r="C37" s="22"/>
      <c r="D37" s="22"/>
      <c r="E37" s="872"/>
    </row>
    <row r="38" spans="1:5">
      <c r="A38" s="871"/>
      <c r="B38" s="22"/>
      <c r="C38" s="22"/>
      <c r="D38" s="22"/>
      <c r="E38" s="872"/>
    </row>
    <row r="39" spans="1:5">
      <c r="A39" s="871"/>
      <c r="B39" s="22"/>
      <c r="C39" s="22"/>
      <c r="D39" s="22"/>
      <c r="E39" s="872"/>
    </row>
    <row r="40" spans="1:5">
      <c r="A40" s="871"/>
      <c r="B40" s="22"/>
      <c r="C40" s="22"/>
      <c r="D40" s="22"/>
      <c r="E40" s="872"/>
    </row>
    <row r="41" spans="1:5">
      <c r="A41" s="871"/>
      <c r="B41" s="22"/>
      <c r="C41" s="22"/>
      <c r="D41" s="22"/>
      <c r="E41" s="872"/>
    </row>
    <row r="42" spans="1:5">
      <c r="A42" s="871"/>
      <c r="B42" s="22"/>
      <c r="C42" s="22"/>
      <c r="D42" s="22"/>
      <c r="E42" s="872"/>
    </row>
    <row r="43" spans="1:5">
      <c r="A43" s="871"/>
      <c r="B43" s="22"/>
      <c r="C43" s="22"/>
      <c r="D43" s="22"/>
      <c r="E43" s="872"/>
    </row>
    <row r="44" spans="1:5">
      <c r="A44" s="871"/>
      <c r="B44" s="22"/>
      <c r="C44" s="22"/>
      <c r="D44" s="22"/>
      <c r="E44" s="872"/>
    </row>
    <row r="45" spans="1:5">
      <c r="A45" s="871"/>
      <c r="B45" s="22"/>
      <c r="C45" s="22"/>
      <c r="D45" s="22"/>
      <c r="E45" s="872"/>
    </row>
    <row r="46" spans="1:5">
      <c r="A46" s="871"/>
      <c r="B46" s="22"/>
      <c r="C46" s="22"/>
      <c r="D46" s="22"/>
      <c r="E46" s="872"/>
    </row>
    <row r="47" spans="1:5">
      <c r="A47" s="871"/>
      <c r="B47" s="22"/>
      <c r="C47" s="22"/>
      <c r="D47" s="22"/>
      <c r="E47" s="872"/>
    </row>
    <row r="48" spans="1:5">
      <c r="A48" s="871"/>
      <c r="B48" s="22"/>
      <c r="C48" s="22"/>
      <c r="D48" s="22"/>
      <c r="E48" s="872"/>
    </row>
    <row r="49" spans="1:5">
      <c r="A49" s="871"/>
      <c r="B49" s="22"/>
      <c r="C49" s="22"/>
      <c r="D49" s="22"/>
      <c r="E49" s="872"/>
    </row>
    <row r="50" spans="1:5">
      <c r="A50" s="871"/>
      <c r="B50" s="22"/>
      <c r="C50" s="22"/>
      <c r="D50" s="22"/>
      <c r="E50" s="872"/>
    </row>
    <row r="51" spans="1:5">
      <c r="A51" s="871"/>
      <c r="B51" s="22"/>
      <c r="C51" s="22"/>
      <c r="D51" s="22"/>
      <c r="E51" s="872"/>
    </row>
    <row r="52" spans="1:5">
      <c r="A52" s="871"/>
      <c r="B52" s="22"/>
      <c r="C52" s="22"/>
      <c r="D52" s="22"/>
      <c r="E52" s="872"/>
    </row>
    <row r="53" spans="1:5">
      <c r="A53" s="871"/>
      <c r="B53" s="22"/>
      <c r="C53" s="22"/>
      <c r="D53" s="22"/>
      <c r="E53" s="872"/>
    </row>
    <row r="54" spans="1:5">
      <c r="A54" s="871"/>
      <c r="B54" s="22"/>
      <c r="C54" s="22"/>
      <c r="D54" s="22"/>
      <c r="E54" s="872"/>
    </row>
    <row r="55" spans="1:5">
      <c r="A55" s="871"/>
      <c r="B55" s="22"/>
      <c r="C55" s="22"/>
      <c r="D55" s="22"/>
      <c r="E55" s="872"/>
    </row>
    <row r="56" spans="1:5" ht="15.75" thickBot="1">
      <c r="A56" s="873"/>
      <c r="B56" s="874"/>
      <c r="C56" s="874"/>
      <c r="D56" s="874"/>
      <c r="E56" s="875"/>
    </row>
    <row r="57" spans="1:5">
      <c r="E57" t="s">
        <v>2024</v>
      </c>
    </row>
    <row r="58" spans="1:5">
      <c r="A58" s="5" t="s">
        <v>4992</v>
      </c>
      <c r="B58" s="4"/>
      <c r="C58" s="4"/>
      <c r="D58" s="4"/>
      <c r="E58" s="4"/>
    </row>
    <row r="63" spans="1:5">
      <c r="C63" s="108"/>
    </row>
    <row r="66" spans="3:3">
      <c r="C66" s="108"/>
    </row>
    <row r="67" spans="3:3">
      <c r="C67" s="108"/>
    </row>
    <row r="68" spans="3:3">
      <c r="C68" s="108"/>
    </row>
    <row r="69" spans="3:3">
      <c r="C69" s="108"/>
    </row>
  </sheetData>
  <printOptions horizontalCentered="1" verticalCentered="1"/>
  <pageMargins left="0.4" right="0.4" top="0.3" bottom="0.3" header="0" footer="0"/>
  <pageSetup scale="80"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transitionEvaluation="1" codeName="Sheet84"/>
  <dimension ref="A1:E73"/>
  <sheetViews>
    <sheetView defaultGridColor="0" colorId="22" zoomScaleNormal="100" workbookViewId="0">
      <selection activeCell="D26" sqref="D26"/>
    </sheetView>
  </sheetViews>
  <sheetFormatPr defaultColWidth="9.77734375" defaultRowHeight="15"/>
  <cols>
    <col min="1" max="1" width="3.77734375" customWidth="1"/>
    <col min="2" max="2" width="1.77734375" customWidth="1"/>
    <col min="3" max="3" width="76.77734375" customWidth="1"/>
    <col min="4" max="4" width="6.77734375" customWidth="1"/>
    <col min="5" max="5" width="28.33203125" customWidth="1"/>
  </cols>
  <sheetData>
    <row r="1" spans="1:5" ht="15.75" thickBot="1">
      <c r="A1" t="str">
        <f>'Data sheet'!A59</f>
        <v>Annual Report of Veolia Water New York, Inc.                                                             Year Ended  December 31, 2023</v>
      </c>
    </row>
    <row r="2" spans="1:5" ht="15.75">
      <c r="A2" s="699" t="s">
        <v>5305</v>
      </c>
      <c r="B2" s="81"/>
      <c r="C2" s="81"/>
      <c r="D2" s="81"/>
      <c r="E2" s="82"/>
    </row>
    <row r="3" spans="1:5" ht="15.75">
      <c r="A3" s="723" t="s">
        <v>3696</v>
      </c>
      <c r="B3" s="4"/>
      <c r="C3" s="4"/>
      <c r="D3" s="4"/>
      <c r="E3" s="119"/>
    </row>
    <row r="4" spans="1:5">
      <c r="A4" s="83"/>
      <c r="E4" s="214"/>
    </row>
    <row r="5" spans="1:5">
      <c r="A5" s="595" t="s">
        <v>284</v>
      </c>
      <c r="C5" t="s">
        <v>1670</v>
      </c>
      <c r="E5" s="214"/>
    </row>
    <row r="6" spans="1:5">
      <c r="A6" s="83"/>
      <c r="C6" t="s">
        <v>1671</v>
      </c>
      <c r="E6" s="214"/>
    </row>
    <row r="7" spans="1:5">
      <c r="A7" s="83"/>
      <c r="C7" t="s">
        <v>3355</v>
      </c>
      <c r="E7" s="214"/>
    </row>
    <row r="8" spans="1:5">
      <c r="A8" s="83"/>
      <c r="C8" t="s">
        <v>3356</v>
      </c>
      <c r="E8" s="214"/>
    </row>
    <row r="9" spans="1:5">
      <c r="A9" s="595" t="s">
        <v>1687</v>
      </c>
      <c r="C9" t="s">
        <v>3357</v>
      </c>
      <c r="E9" s="214"/>
    </row>
    <row r="10" spans="1:5">
      <c r="A10" s="83"/>
      <c r="C10" t="s">
        <v>3857</v>
      </c>
      <c r="E10" s="214"/>
    </row>
    <row r="11" spans="1:5">
      <c r="A11" s="83"/>
      <c r="C11" t="s">
        <v>3858</v>
      </c>
      <c r="E11" s="214"/>
    </row>
    <row r="12" spans="1:5">
      <c r="A12" s="595" t="s">
        <v>3053</v>
      </c>
      <c r="C12" t="s">
        <v>3859</v>
      </c>
      <c r="E12" s="214"/>
    </row>
    <row r="13" spans="1:5">
      <c r="A13" s="595" t="s">
        <v>2364</v>
      </c>
      <c r="C13" t="s">
        <v>1037</v>
      </c>
      <c r="E13" s="214"/>
    </row>
    <row r="14" spans="1:5">
      <c r="A14" s="83"/>
      <c r="C14" t="s">
        <v>1038</v>
      </c>
      <c r="E14" s="214"/>
    </row>
    <row r="15" spans="1:5">
      <c r="A15" s="83"/>
      <c r="C15" t="s">
        <v>1474</v>
      </c>
      <c r="E15" s="214"/>
    </row>
    <row r="16" spans="1:5">
      <c r="A16" s="595" t="s">
        <v>2366</v>
      </c>
      <c r="C16" t="s">
        <v>1475</v>
      </c>
      <c r="E16" s="214"/>
    </row>
    <row r="17" spans="1:5">
      <c r="A17" s="83"/>
      <c r="C17" t="s">
        <v>44</v>
      </c>
      <c r="E17" s="214"/>
    </row>
    <row r="18" spans="1:5">
      <c r="A18" s="83"/>
      <c r="C18" t="s">
        <v>914</v>
      </c>
      <c r="E18" s="214"/>
    </row>
    <row r="19" spans="1:5">
      <c r="A19" s="83"/>
      <c r="B19" s="224"/>
      <c r="C19" t="s">
        <v>915</v>
      </c>
      <c r="E19" s="214"/>
    </row>
    <row r="20" spans="1:5">
      <c r="A20" s="456"/>
      <c r="B20" s="522"/>
      <c r="C20" s="242"/>
      <c r="D20" s="605"/>
      <c r="E20" s="857" t="s">
        <v>916</v>
      </c>
    </row>
    <row r="21" spans="1:5">
      <c r="A21" s="595" t="s">
        <v>1727</v>
      </c>
      <c r="B21" s="522"/>
      <c r="C21" s="600" t="s">
        <v>1290</v>
      </c>
      <c r="D21" s="227"/>
      <c r="E21" s="727" t="s">
        <v>917</v>
      </c>
    </row>
    <row r="22" spans="1:5">
      <c r="A22" s="596" t="s">
        <v>1739</v>
      </c>
      <c r="B22" s="597"/>
      <c r="C22" s="797" t="s">
        <v>3279</v>
      </c>
      <c r="D22" s="228"/>
      <c r="E22" s="823" t="s">
        <v>918</v>
      </c>
    </row>
    <row r="23" spans="1:5">
      <c r="A23" s="83"/>
      <c r="B23" s="522"/>
      <c r="C23" t="s">
        <v>919</v>
      </c>
      <c r="D23" s="227"/>
      <c r="E23" s="214"/>
    </row>
    <row r="24" spans="1:5">
      <c r="A24" s="595" t="s">
        <v>340</v>
      </c>
      <c r="B24" s="522"/>
      <c r="C24" t="s">
        <v>920</v>
      </c>
      <c r="D24" s="227"/>
      <c r="E24" s="769"/>
    </row>
    <row r="25" spans="1:5">
      <c r="A25" s="595" t="s">
        <v>341</v>
      </c>
      <c r="B25" s="522"/>
      <c r="C25" t="s">
        <v>921</v>
      </c>
      <c r="D25" s="227"/>
      <c r="E25" s="760"/>
    </row>
    <row r="26" spans="1:5">
      <c r="A26" s="595" t="s">
        <v>342</v>
      </c>
      <c r="B26" s="522"/>
      <c r="C26" t="s">
        <v>922</v>
      </c>
      <c r="D26" s="227"/>
      <c r="E26" s="760"/>
    </row>
    <row r="27" spans="1:5">
      <c r="A27" s="595" t="s">
        <v>343</v>
      </c>
      <c r="B27" s="522"/>
      <c r="C27" t="s">
        <v>2624</v>
      </c>
      <c r="D27" s="227"/>
      <c r="E27" s="760"/>
    </row>
    <row r="28" spans="1:5">
      <c r="A28" s="83"/>
      <c r="B28" s="522"/>
      <c r="C28" t="s">
        <v>2625</v>
      </c>
      <c r="D28" s="227"/>
      <c r="E28" s="760"/>
    </row>
    <row r="29" spans="1:5">
      <c r="A29" s="595" t="s">
        <v>344</v>
      </c>
      <c r="B29" s="522"/>
      <c r="C29" t="s">
        <v>2626</v>
      </c>
      <c r="D29" s="227"/>
      <c r="E29" s="760"/>
    </row>
    <row r="30" spans="1:5">
      <c r="A30" s="595" t="s">
        <v>345</v>
      </c>
      <c r="B30" s="522"/>
      <c r="C30" t="s">
        <v>2627</v>
      </c>
      <c r="D30" s="227"/>
      <c r="E30" s="760"/>
    </row>
    <row r="31" spans="1:5">
      <c r="A31" s="595" t="s">
        <v>346</v>
      </c>
      <c r="B31" s="522"/>
      <c r="C31" t="s">
        <v>2628</v>
      </c>
      <c r="D31" s="227"/>
      <c r="E31" s="760"/>
    </row>
    <row r="32" spans="1:5">
      <c r="A32" s="595" t="s">
        <v>347</v>
      </c>
      <c r="B32" s="522"/>
      <c r="C32" t="s">
        <v>2629</v>
      </c>
      <c r="D32" s="227"/>
      <c r="E32" s="760"/>
    </row>
    <row r="33" spans="1:5">
      <c r="A33" s="595" t="s">
        <v>348</v>
      </c>
      <c r="B33" s="522"/>
      <c r="C33" t="s">
        <v>2630</v>
      </c>
      <c r="D33" s="227"/>
      <c r="E33" s="760"/>
    </row>
    <row r="34" spans="1:5">
      <c r="A34" s="595" t="s">
        <v>349</v>
      </c>
      <c r="B34" s="522"/>
      <c r="C34" t="s">
        <v>2514</v>
      </c>
      <c r="D34" s="227"/>
      <c r="E34" s="760"/>
    </row>
    <row r="35" spans="1:5">
      <c r="A35" s="595" t="s">
        <v>350</v>
      </c>
      <c r="B35" s="522"/>
      <c r="C35" t="s">
        <v>1365</v>
      </c>
      <c r="D35" s="891"/>
      <c r="E35" s="892"/>
    </row>
    <row r="36" spans="1:5">
      <c r="A36" s="595" t="s">
        <v>351</v>
      </c>
      <c r="B36" s="522"/>
      <c r="C36" t="s">
        <v>2107</v>
      </c>
      <c r="D36" s="227"/>
      <c r="E36" s="760"/>
    </row>
    <row r="37" spans="1:5">
      <c r="A37" s="83"/>
      <c r="B37" s="522"/>
      <c r="C37" t="s">
        <v>2744</v>
      </c>
      <c r="D37" s="227"/>
      <c r="E37" s="760"/>
    </row>
    <row r="38" spans="1:5">
      <c r="A38" s="595" t="s">
        <v>352</v>
      </c>
      <c r="B38" s="522"/>
      <c r="C38" t="s">
        <v>3119</v>
      </c>
      <c r="D38" s="227"/>
      <c r="E38" s="760"/>
    </row>
    <row r="39" spans="1:5">
      <c r="A39" s="595" t="s">
        <v>353</v>
      </c>
      <c r="B39" s="522"/>
      <c r="C39" t="s">
        <v>3120</v>
      </c>
      <c r="D39" s="227"/>
      <c r="E39" s="760"/>
    </row>
    <row r="40" spans="1:5">
      <c r="A40" s="595" t="s">
        <v>354</v>
      </c>
      <c r="B40" s="522"/>
      <c r="C40" t="s">
        <v>480</v>
      </c>
      <c r="D40" s="227"/>
      <c r="E40" s="760"/>
    </row>
    <row r="41" spans="1:5">
      <c r="A41" s="595" t="s">
        <v>355</v>
      </c>
      <c r="B41" s="522"/>
      <c r="C41" t="s">
        <v>481</v>
      </c>
      <c r="D41" s="227"/>
      <c r="E41" s="760"/>
    </row>
    <row r="42" spans="1:5">
      <c r="A42" s="595" t="s">
        <v>356</v>
      </c>
      <c r="B42" s="522"/>
      <c r="C42" t="s">
        <v>2810</v>
      </c>
      <c r="D42" s="227"/>
      <c r="E42" s="760"/>
    </row>
    <row r="43" spans="1:5">
      <c r="A43" s="83"/>
      <c r="B43" s="522"/>
      <c r="C43" t="s">
        <v>2811</v>
      </c>
      <c r="D43" s="227"/>
      <c r="E43" s="760"/>
    </row>
    <row r="44" spans="1:5">
      <c r="A44" s="83"/>
      <c r="B44" s="522"/>
      <c r="C44" s="22"/>
      <c r="D44" s="893"/>
      <c r="E44" s="760"/>
    </row>
    <row r="45" spans="1:5">
      <c r="A45" s="83"/>
      <c r="B45" s="522"/>
      <c r="C45" s="22"/>
      <c r="D45" s="893"/>
      <c r="E45" s="760"/>
    </row>
    <row r="46" spans="1:5">
      <c r="A46" s="83"/>
      <c r="B46" s="522"/>
      <c r="C46" s="22"/>
      <c r="D46" s="893"/>
      <c r="E46" s="760"/>
    </row>
    <row r="47" spans="1:5">
      <c r="A47" s="83"/>
      <c r="B47" s="522"/>
      <c r="C47" s="22"/>
      <c r="D47" s="893"/>
      <c r="E47" s="760"/>
    </row>
    <row r="48" spans="1:5">
      <c r="A48" s="83"/>
      <c r="B48" s="522"/>
      <c r="C48" s="22"/>
      <c r="D48" s="893"/>
      <c r="E48" s="760"/>
    </row>
    <row r="49" spans="1:5">
      <c r="A49" s="83"/>
      <c r="B49" s="522"/>
      <c r="C49" s="22"/>
      <c r="D49" s="893"/>
      <c r="E49" s="760"/>
    </row>
    <row r="50" spans="1:5">
      <c r="A50" s="83"/>
      <c r="B50" s="522"/>
      <c r="C50" s="22"/>
      <c r="D50" s="893"/>
      <c r="E50" s="760"/>
    </row>
    <row r="51" spans="1:5">
      <c r="A51" s="83"/>
      <c r="B51" s="522"/>
      <c r="C51" s="22"/>
      <c r="D51" s="893"/>
      <c r="E51" s="760"/>
    </row>
    <row r="52" spans="1:5">
      <c r="A52" s="83"/>
      <c r="B52" s="522"/>
      <c r="C52" s="22"/>
      <c r="D52" s="893"/>
      <c r="E52" s="760"/>
    </row>
    <row r="53" spans="1:5">
      <c r="A53" s="83"/>
      <c r="B53" s="522"/>
      <c r="C53" s="22"/>
      <c r="D53" s="893"/>
      <c r="E53" s="760"/>
    </row>
    <row r="54" spans="1:5">
      <c r="A54" s="83"/>
      <c r="B54" s="522"/>
      <c r="C54" s="22"/>
      <c r="D54" s="893"/>
      <c r="E54" s="760"/>
    </row>
    <row r="55" spans="1:5">
      <c r="A55" s="83"/>
      <c r="B55" s="522"/>
      <c r="C55" s="22"/>
      <c r="D55" s="893"/>
      <c r="E55" s="760"/>
    </row>
    <row r="56" spans="1:5">
      <c r="A56" s="83"/>
      <c r="B56" s="522"/>
      <c r="C56" s="22"/>
      <c r="D56" s="893"/>
      <c r="E56" s="760"/>
    </row>
    <row r="57" spans="1:5">
      <c r="A57" s="83"/>
      <c r="B57" s="522"/>
      <c r="C57" s="22"/>
      <c r="D57" s="893"/>
      <c r="E57" s="760"/>
    </row>
    <row r="58" spans="1:5" ht="15.75" thickBot="1">
      <c r="A58" s="124"/>
      <c r="B58" s="698"/>
      <c r="C58" s="874"/>
      <c r="D58" s="894"/>
      <c r="E58" s="895"/>
    </row>
    <row r="59" spans="1:5">
      <c r="A59" t="s">
        <v>2024</v>
      </c>
    </row>
    <row r="60" spans="1:5">
      <c r="A60" s="4" t="s">
        <v>2812</v>
      </c>
      <c r="B60" s="4"/>
      <c r="C60" s="4"/>
      <c r="D60" s="4"/>
      <c r="E60" s="4"/>
    </row>
    <row r="67" spans="3:3">
      <c r="C67" s="108"/>
    </row>
    <row r="70" spans="3:3">
      <c r="C70" s="108"/>
    </row>
    <row r="71" spans="3:3">
      <c r="C71" s="108"/>
    </row>
    <row r="72" spans="3:3">
      <c r="C72" s="108"/>
    </row>
    <row r="73" spans="3:3">
      <c r="C73" s="108"/>
    </row>
  </sheetData>
  <phoneticPr fontId="0" type="noConversion"/>
  <printOptions horizontalCentered="1" verticalCentered="1"/>
  <pageMargins left="0.4" right="0.4" top="0.3" bottom="0.3" header="0" footer="0"/>
  <pageSetup scale="70"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ransitionEvaluation="1" codeName="Sheet85"/>
  <dimension ref="A1:E73"/>
  <sheetViews>
    <sheetView defaultGridColor="0" topLeftCell="C1" colorId="22" zoomScaleNormal="100" workbookViewId="0">
      <selection activeCell="A2" sqref="A2"/>
    </sheetView>
  </sheetViews>
  <sheetFormatPr defaultColWidth="9.77734375" defaultRowHeight="15"/>
  <cols>
    <col min="1" max="1" width="3.77734375" customWidth="1"/>
    <col min="2" max="2" width="1.77734375" customWidth="1"/>
    <col min="3" max="3" width="76.77734375" customWidth="1"/>
    <col min="4" max="4" width="6.77734375" customWidth="1"/>
    <col min="5" max="5" width="28.33203125" customWidth="1"/>
  </cols>
  <sheetData>
    <row r="1" spans="1:5" ht="15.75" thickBot="1">
      <c r="A1" t="str">
        <f>'Data sheet'!A59</f>
        <v>Annual Report of Veolia Water New York, Inc.                                                             Year Ended  December 31, 2023</v>
      </c>
    </row>
    <row r="2" spans="1:5" ht="18">
      <c r="A2" s="883"/>
      <c r="B2" s="884"/>
      <c r="C2" s="700" t="s">
        <v>5306</v>
      </c>
      <c r="D2" s="81"/>
      <c r="E2" s="82"/>
    </row>
    <row r="3" spans="1:5" ht="15.75">
      <c r="A3" s="118"/>
      <c r="B3" s="4"/>
      <c r="C3" s="4"/>
      <c r="D3" s="4"/>
      <c r="E3" s="119"/>
    </row>
    <row r="4" spans="1:5">
      <c r="A4" s="83"/>
      <c r="E4" s="214"/>
    </row>
    <row r="5" spans="1:5">
      <c r="A5" s="595"/>
      <c r="B5" s="2869"/>
      <c r="C5" s="2869"/>
      <c r="E5" s="214"/>
    </row>
    <row r="6" spans="1:5">
      <c r="A6" s="83"/>
      <c r="B6" s="2869"/>
      <c r="C6" s="2869"/>
      <c r="E6" s="214"/>
    </row>
    <row r="7" spans="1:5">
      <c r="A7" s="83"/>
      <c r="B7" s="2869"/>
      <c r="C7" s="2869"/>
      <c r="E7" s="214"/>
    </row>
    <row r="8" spans="1:5">
      <c r="A8" s="83"/>
      <c r="B8" s="2869"/>
      <c r="C8" s="2869"/>
      <c r="E8" s="214"/>
    </row>
    <row r="9" spans="1:5">
      <c r="A9" s="83"/>
      <c r="B9" s="2869"/>
      <c r="C9" s="2869"/>
      <c r="E9" s="214"/>
    </row>
    <row r="10" spans="1:5">
      <c r="A10" s="83"/>
      <c r="E10" s="214"/>
    </row>
    <row r="11" spans="1:5">
      <c r="A11" s="83"/>
      <c r="E11" s="214"/>
    </row>
    <row r="12" spans="1:5">
      <c r="A12" s="83"/>
      <c r="B12" s="2869"/>
      <c r="C12" s="2869"/>
      <c r="E12" s="214"/>
    </row>
    <row r="13" spans="1:5">
      <c r="A13" s="83"/>
      <c r="B13" s="977"/>
      <c r="E13" s="214"/>
    </row>
    <row r="14" spans="1:5">
      <c r="A14" s="83"/>
      <c r="B14" s="2869"/>
      <c r="C14" s="2869"/>
      <c r="E14" s="214"/>
    </row>
    <row r="15" spans="1:5">
      <c r="A15" s="83"/>
      <c r="B15" s="2869"/>
      <c r="C15" s="2869"/>
      <c r="E15" s="214"/>
    </row>
    <row r="16" spans="1:5">
      <c r="A16" s="1131"/>
      <c r="B16" s="977"/>
      <c r="E16" s="214"/>
    </row>
    <row r="17" spans="1:5">
      <c r="A17" s="83"/>
      <c r="B17" s="2874" t="s">
        <v>1836</v>
      </c>
      <c r="C17" s="2875"/>
      <c r="E17" s="214"/>
    </row>
    <row r="18" spans="1:5">
      <c r="A18" s="83"/>
      <c r="B18" s="2874"/>
      <c r="C18" s="2875"/>
      <c r="E18" s="214"/>
    </row>
    <row r="19" spans="1:5">
      <c r="A19" s="83"/>
      <c r="B19" s="977"/>
      <c r="E19" s="214"/>
    </row>
    <row r="20" spans="1:5">
      <c r="A20" s="83"/>
      <c r="E20" s="727"/>
    </row>
    <row r="21" spans="1:5">
      <c r="A21" s="595"/>
      <c r="B21" s="2869"/>
      <c r="C21" s="2869"/>
      <c r="E21" s="727"/>
    </row>
    <row r="22" spans="1:5">
      <c r="A22" s="83"/>
      <c r="B22" s="977"/>
      <c r="E22" s="727"/>
    </row>
    <row r="23" spans="1:5">
      <c r="A23" s="83"/>
      <c r="E23" s="214"/>
    </row>
    <row r="24" spans="1:5">
      <c r="A24" s="595"/>
      <c r="B24" s="2869"/>
      <c r="C24" s="2869"/>
      <c r="E24" s="769"/>
    </row>
    <row r="25" spans="1:5">
      <c r="A25" s="83"/>
      <c r="B25" s="2869"/>
      <c r="C25" s="2869"/>
      <c r="E25" s="760"/>
    </row>
    <row r="26" spans="1:5">
      <c r="A26" s="83"/>
      <c r="B26" s="977"/>
      <c r="E26" s="760"/>
    </row>
    <row r="27" spans="1:5">
      <c r="A27" s="83"/>
      <c r="B27" s="4"/>
      <c r="E27" s="760"/>
    </row>
    <row r="28" spans="1:5">
      <c r="A28" s="595"/>
      <c r="B28" s="2875"/>
      <c r="C28" s="2875"/>
      <c r="E28" s="760"/>
    </row>
    <row r="29" spans="1:5">
      <c r="A29" s="83"/>
      <c r="B29" s="2875"/>
      <c r="C29" s="2875"/>
      <c r="E29" s="760"/>
    </row>
    <row r="30" spans="1:5">
      <c r="A30" s="83"/>
      <c r="B30" s="2875"/>
      <c r="C30" s="2875"/>
      <c r="E30" s="760"/>
    </row>
    <row r="31" spans="1:5">
      <c r="A31" s="83"/>
      <c r="E31" s="760"/>
    </row>
    <row r="32" spans="1:5">
      <c r="A32" s="595"/>
      <c r="B32" s="2869"/>
      <c r="C32" s="2869"/>
      <c r="E32" s="760"/>
    </row>
    <row r="33" spans="1:5">
      <c r="A33" s="83"/>
      <c r="B33" s="2869"/>
      <c r="C33" s="2869"/>
      <c r="E33" s="760"/>
    </row>
    <row r="34" spans="1:5">
      <c r="A34" s="595"/>
      <c r="B34" s="2869"/>
      <c r="C34" s="2869"/>
      <c r="E34" s="760"/>
    </row>
    <row r="35" spans="1:5">
      <c r="A35" s="83"/>
      <c r="B35" s="2869"/>
      <c r="C35" s="2869"/>
      <c r="D35" s="1571"/>
      <c r="E35" s="760"/>
    </row>
    <row r="36" spans="1:5">
      <c r="A36" s="83"/>
      <c r="E36" s="760"/>
    </row>
    <row r="37" spans="1:5">
      <c r="A37" s="595"/>
      <c r="B37" s="2869"/>
      <c r="C37" s="2869"/>
      <c r="E37" s="760"/>
    </row>
    <row r="38" spans="1:5">
      <c r="A38" s="83"/>
      <c r="B38" s="2869"/>
      <c r="C38" s="2869"/>
      <c r="E38" s="760"/>
    </row>
    <row r="39" spans="1:5">
      <c r="A39" s="83"/>
      <c r="B39" s="2869"/>
      <c r="C39" s="2869"/>
      <c r="E39" s="760"/>
    </row>
    <row r="40" spans="1:5">
      <c r="A40" s="83"/>
      <c r="B40" s="4"/>
      <c r="E40" s="760"/>
    </row>
    <row r="41" spans="1:5">
      <c r="A41" s="595"/>
      <c r="B41" s="2869"/>
      <c r="C41" s="2869"/>
      <c r="E41" s="760"/>
    </row>
    <row r="42" spans="1:5">
      <c r="A42" s="83"/>
      <c r="B42" s="977"/>
      <c r="E42" s="760"/>
    </row>
    <row r="43" spans="1:5">
      <c r="A43" s="83"/>
      <c r="E43" s="760"/>
    </row>
    <row r="44" spans="1:5">
      <c r="A44" s="595"/>
      <c r="B44" s="2869"/>
      <c r="C44" s="2869"/>
      <c r="D44" s="22"/>
      <c r="E44" s="760"/>
    </row>
    <row r="45" spans="1:5">
      <c r="A45" s="83"/>
      <c r="B45" s="2869"/>
      <c r="C45" s="2869"/>
      <c r="D45" s="22"/>
      <c r="E45" s="760"/>
    </row>
    <row r="46" spans="1:5">
      <c r="A46" s="83"/>
      <c r="B46" s="4"/>
      <c r="D46" s="22"/>
      <c r="E46" s="760"/>
    </row>
    <row r="47" spans="1:5">
      <c r="A47" s="83"/>
      <c r="B47" s="2869"/>
      <c r="C47" s="2869"/>
      <c r="D47" s="22"/>
      <c r="E47" s="760"/>
    </row>
    <row r="48" spans="1:5">
      <c r="A48" s="83"/>
      <c r="B48" s="2869"/>
      <c r="C48" s="2869"/>
      <c r="D48" s="22"/>
      <c r="E48" s="760"/>
    </row>
    <row r="49" spans="1:5">
      <c r="A49" s="83"/>
      <c r="B49" s="2869"/>
      <c r="C49" s="2869"/>
      <c r="D49" s="22"/>
      <c r="E49" s="760"/>
    </row>
    <row r="50" spans="1:5">
      <c r="A50" s="83"/>
      <c r="B50" s="2869"/>
      <c r="C50" s="2869"/>
      <c r="D50" s="22"/>
      <c r="E50" s="760"/>
    </row>
    <row r="51" spans="1:5">
      <c r="A51" s="83"/>
      <c r="D51" s="22"/>
      <c r="E51" s="760"/>
    </row>
    <row r="52" spans="1:5">
      <c r="A52" s="83"/>
      <c r="B52" s="4"/>
      <c r="D52" s="22"/>
      <c r="E52" s="760"/>
    </row>
    <row r="53" spans="1:5">
      <c r="A53" s="83"/>
      <c r="B53" s="4"/>
      <c r="D53" s="22"/>
      <c r="E53" s="760"/>
    </row>
    <row r="54" spans="1:5">
      <c r="A54" s="83"/>
      <c r="D54" s="22"/>
      <c r="E54" s="760"/>
    </row>
    <row r="55" spans="1:5">
      <c r="A55" s="83"/>
      <c r="D55" s="22"/>
      <c r="E55" s="760"/>
    </row>
    <row r="56" spans="1:5">
      <c r="A56" s="83"/>
      <c r="D56" s="22"/>
      <c r="E56" s="760"/>
    </row>
    <row r="57" spans="1:5">
      <c r="A57" s="83"/>
      <c r="D57" s="22"/>
      <c r="E57" s="760"/>
    </row>
    <row r="58" spans="1:5">
      <c r="A58" s="83"/>
      <c r="D58" s="22"/>
      <c r="E58" s="760"/>
    </row>
    <row r="59" spans="1:5" ht="15.75" thickBot="1">
      <c r="A59" s="124"/>
      <c r="B59" s="125"/>
      <c r="C59" s="125"/>
      <c r="D59" s="125"/>
      <c r="E59" s="217"/>
    </row>
    <row r="60" spans="1:5">
      <c r="A60" s="5" t="s">
        <v>1703</v>
      </c>
      <c r="B60" s="4"/>
      <c r="C60" s="4"/>
      <c r="D60" s="4"/>
      <c r="E60" s="4"/>
    </row>
    <row r="67" spans="3:3">
      <c r="C67" s="108"/>
    </row>
    <row r="70" spans="3:3">
      <c r="C70" s="108"/>
    </row>
    <row r="71" spans="3:3">
      <c r="C71" s="108"/>
    </row>
    <row r="72" spans="3:3">
      <c r="C72" s="108"/>
    </row>
    <row r="73" spans="3:3">
      <c r="C73" s="108"/>
    </row>
  </sheetData>
  <mergeCells count="30">
    <mergeCell ref="B9:C9"/>
    <mergeCell ref="B12:C12"/>
    <mergeCell ref="B14:C14"/>
    <mergeCell ref="B15:C15"/>
    <mergeCell ref="B5:C5"/>
    <mergeCell ref="B6:C6"/>
    <mergeCell ref="B7:C7"/>
    <mergeCell ref="B8:C8"/>
    <mergeCell ref="B25:C25"/>
    <mergeCell ref="B28:C28"/>
    <mergeCell ref="B29:C29"/>
    <mergeCell ref="B30:C30"/>
    <mergeCell ref="B17:C17"/>
    <mergeCell ref="B18:C18"/>
    <mergeCell ref="B21:C21"/>
    <mergeCell ref="B24:C24"/>
    <mergeCell ref="B37:C37"/>
    <mergeCell ref="B38:C38"/>
    <mergeCell ref="B39:C39"/>
    <mergeCell ref="B41:C41"/>
    <mergeCell ref="B32:C32"/>
    <mergeCell ref="B33:C33"/>
    <mergeCell ref="B34:C34"/>
    <mergeCell ref="B35:C35"/>
    <mergeCell ref="B49:C49"/>
    <mergeCell ref="B50:C50"/>
    <mergeCell ref="B44:C44"/>
    <mergeCell ref="B45:C45"/>
    <mergeCell ref="B47:C47"/>
    <mergeCell ref="B48:C48"/>
  </mergeCells>
  <phoneticPr fontId="0" type="noConversion"/>
  <printOptions horizontalCentered="1" verticalCentered="1"/>
  <pageMargins left="0.4" right="0.4" top="0.3" bottom="0.3" header="0" footer="0"/>
  <pageSetup scale="70"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ransitionEvaluation="1"/>
  <dimension ref="A1:E73"/>
  <sheetViews>
    <sheetView defaultGridColor="0" colorId="22" zoomScaleNormal="100" workbookViewId="0">
      <selection activeCell="I26" sqref="I26"/>
    </sheetView>
  </sheetViews>
  <sheetFormatPr defaultColWidth="9.77734375" defaultRowHeight="15"/>
  <cols>
    <col min="1" max="1" width="3.77734375" customWidth="1"/>
    <col min="2" max="2" width="1.77734375" customWidth="1"/>
    <col min="3" max="3" width="76.77734375" customWidth="1"/>
    <col min="4" max="4" width="6.77734375" customWidth="1"/>
    <col min="5" max="5" width="28.33203125" customWidth="1"/>
  </cols>
  <sheetData>
    <row r="1" spans="1:5" ht="15.75" thickBot="1">
      <c r="A1" t="str">
        <f>'Data sheet'!A67</f>
        <v>Annual Report of Veolia Water New York, Inc.                                                                                                         Year Ended  December 31, 2023</v>
      </c>
    </row>
    <row r="2" spans="1:5" ht="15.75">
      <c r="A2" s="699" t="s">
        <v>5304</v>
      </c>
      <c r="B2" s="81"/>
      <c r="C2" s="81"/>
      <c r="D2" s="81"/>
      <c r="E2" s="82"/>
    </row>
    <row r="3" spans="1:5" ht="15.75">
      <c r="A3" s="723" t="s">
        <v>3696</v>
      </c>
      <c r="B3" s="4"/>
      <c r="C3" s="4"/>
      <c r="D3" s="4"/>
      <c r="E3" s="119"/>
    </row>
    <row r="4" spans="1:5">
      <c r="A4" s="83"/>
      <c r="E4" s="214"/>
    </row>
    <row r="5" spans="1:5">
      <c r="A5" s="595" t="s">
        <v>284</v>
      </c>
      <c r="C5" t="s">
        <v>1670</v>
      </c>
      <c r="E5" s="214"/>
    </row>
    <row r="6" spans="1:5">
      <c r="A6" s="83"/>
      <c r="C6" t="s">
        <v>1671</v>
      </c>
      <c r="E6" s="214"/>
    </row>
    <row r="7" spans="1:5">
      <c r="A7" s="83"/>
      <c r="C7" t="s">
        <v>3355</v>
      </c>
      <c r="E7" s="214"/>
    </row>
    <row r="8" spans="1:5">
      <c r="A8" s="83"/>
      <c r="C8" t="s">
        <v>3356</v>
      </c>
      <c r="E8" s="214"/>
    </row>
    <row r="9" spans="1:5">
      <c r="A9" s="595" t="s">
        <v>1687</v>
      </c>
      <c r="C9" t="s">
        <v>3357</v>
      </c>
      <c r="E9" s="214"/>
    </row>
    <row r="10" spans="1:5">
      <c r="A10" s="83"/>
      <c r="C10" t="s">
        <v>3857</v>
      </c>
      <c r="E10" s="214"/>
    </row>
    <row r="11" spans="1:5">
      <c r="A11" s="83"/>
      <c r="C11" t="s">
        <v>3858</v>
      </c>
      <c r="E11" s="214"/>
    </row>
    <row r="12" spans="1:5">
      <c r="A12" s="595" t="s">
        <v>3053</v>
      </c>
      <c r="C12" t="s">
        <v>3859</v>
      </c>
      <c r="E12" s="214"/>
    </row>
    <row r="13" spans="1:5">
      <c r="A13" s="595" t="s">
        <v>2364</v>
      </c>
      <c r="C13" t="s">
        <v>1037</v>
      </c>
      <c r="E13" s="214"/>
    </row>
    <row r="14" spans="1:5">
      <c r="A14" s="83"/>
      <c r="C14" t="s">
        <v>1038</v>
      </c>
      <c r="E14" s="214"/>
    </row>
    <row r="15" spans="1:5">
      <c r="A15" s="83"/>
      <c r="C15" t="s">
        <v>1474</v>
      </c>
      <c r="E15" s="214"/>
    </row>
    <row r="16" spans="1:5">
      <c r="A16" s="595" t="s">
        <v>2366</v>
      </c>
      <c r="C16" t="s">
        <v>1475</v>
      </c>
      <c r="E16" s="214"/>
    </row>
    <row r="17" spans="1:5">
      <c r="A17" s="83"/>
      <c r="C17" t="s">
        <v>44</v>
      </c>
      <c r="E17" s="214"/>
    </row>
    <row r="18" spans="1:5">
      <c r="A18" s="83"/>
      <c r="C18" t="s">
        <v>914</v>
      </c>
      <c r="E18" s="214"/>
    </row>
    <row r="19" spans="1:5">
      <c r="A19" s="83"/>
      <c r="B19" s="224"/>
      <c r="C19" t="s">
        <v>915</v>
      </c>
      <c r="E19" s="214"/>
    </row>
    <row r="20" spans="1:5">
      <c r="A20" s="456"/>
      <c r="B20" s="522"/>
      <c r="C20" s="242"/>
      <c r="D20" s="605"/>
      <c r="E20" s="857" t="s">
        <v>916</v>
      </c>
    </row>
    <row r="21" spans="1:5">
      <c r="A21" s="595" t="s">
        <v>1727</v>
      </c>
      <c r="B21" s="522"/>
      <c r="C21" s="600" t="s">
        <v>1290</v>
      </c>
      <c r="D21" s="227"/>
      <c r="E21" s="727" t="s">
        <v>917</v>
      </c>
    </row>
    <row r="22" spans="1:5">
      <c r="A22" s="596" t="s">
        <v>1739</v>
      </c>
      <c r="B22" s="597"/>
      <c r="C22" s="797" t="s">
        <v>3279</v>
      </c>
      <c r="D22" s="228"/>
      <c r="E22" s="823" t="s">
        <v>918</v>
      </c>
    </row>
    <row r="23" spans="1:5">
      <c r="A23" s="83"/>
      <c r="B23" s="522"/>
      <c r="C23" t="s">
        <v>919</v>
      </c>
      <c r="D23" s="227"/>
      <c r="E23" s="214"/>
    </row>
    <row r="24" spans="1:5">
      <c r="A24" s="595" t="s">
        <v>340</v>
      </c>
      <c r="B24" s="522"/>
      <c r="C24" t="s">
        <v>920</v>
      </c>
      <c r="D24" s="227"/>
      <c r="E24" s="769"/>
    </row>
    <row r="25" spans="1:5">
      <c r="A25" s="595" t="s">
        <v>341</v>
      </c>
      <c r="B25" s="522"/>
      <c r="C25" t="s">
        <v>921</v>
      </c>
      <c r="D25" s="227"/>
      <c r="E25" s="760"/>
    </row>
    <row r="26" spans="1:5">
      <c r="A26" s="595" t="s">
        <v>342</v>
      </c>
      <c r="B26" s="522"/>
      <c r="C26" t="s">
        <v>922</v>
      </c>
      <c r="D26" s="227"/>
      <c r="E26" s="760"/>
    </row>
    <row r="27" spans="1:5">
      <c r="A27" s="595" t="s">
        <v>343</v>
      </c>
      <c r="B27" s="522"/>
      <c r="C27" t="s">
        <v>2624</v>
      </c>
      <c r="D27" s="227"/>
      <c r="E27" s="760"/>
    </row>
    <row r="28" spans="1:5">
      <c r="A28" s="83"/>
      <c r="B28" s="522"/>
      <c r="C28" t="s">
        <v>2625</v>
      </c>
      <c r="D28" s="227"/>
      <c r="E28" s="760"/>
    </row>
    <row r="29" spans="1:5">
      <c r="A29" s="595" t="s">
        <v>344</v>
      </c>
      <c r="B29" s="522"/>
      <c r="C29" t="s">
        <v>2626</v>
      </c>
      <c r="D29" s="227"/>
      <c r="E29" s="760"/>
    </row>
    <row r="30" spans="1:5">
      <c r="A30" s="595" t="s">
        <v>345</v>
      </c>
      <c r="B30" s="522"/>
      <c r="C30" t="s">
        <v>2627</v>
      </c>
      <c r="D30" s="227"/>
      <c r="E30" s="760"/>
    </row>
    <row r="31" spans="1:5">
      <c r="A31" s="595" t="s">
        <v>346</v>
      </c>
      <c r="B31" s="522"/>
      <c r="C31" t="s">
        <v>2628</v>
      </c>
      <c r="D31" s="227"/>
      <c r="E31" s="760"/>
    </row>
    <row r="32" spans="1:5">
      <c r="A32" s="595" t="s">
        <v>347</v>
      </c>
      <c r="B32" s="522"/>
      <c r="C32" t="s">
        <v>2629</v>
      </c>
      <c r="D32" s="227"/>
      <c r="E32" s="760"/>
    </row>
    <row r="33" spans="1:5">
      <c r="A33" s="595" t="s">
        <v>348</v>
      </c>
      <c r="B33" s="522"/>
      <c r="C33" t="s">
        <v>2630</v>
      </c>
      <c r="D33" s="227"/>
      <c r="E33" s="760"/>
    </row>
    <row r="34" spans="1:5">
      <c r="A34" s="595" t="s">
        <v>349</v>
      </c>
      <c r="B34" s="522"/>
      <c r="C34" t="s">
        <v>2514</v>
      </c>
      <c r="D34" s="227"/>
      <c r="E34" s="760"/>
    </row>
    <row r="35" spans="1:5">
      <c r="A35" s="595" t="s">
        <v>350</v>
      </c>
      <c r="B35" s="522"/>
      <c r="C35" t="s">
        <v>1365</v>
      </c>
      <c r="D35" s="891"/>
      <c r="E35" s="892"/>
    </row>
    <row r="36" spans="1:5">
      <c r="A36" s="595" t="s">
        <v>351</v>
      </c>
      <c r="B36" s="522"/>
      <c r="C36" t="s">
        <v>2107</v>
      </c>
      <c r="D36" s="227"/>
      <c r="E36" s="760"/>
    </row>
    <row r="37" spans="1:5">
      <c r="A37" s="83"/>
      <c r="B37" s="522"/>
      <c r="C37" t="s">
        <v>2744</v>
      </c>
      <c r="D37" s="227"/>
      <c r="E37" s="760"/>
    </row>
    <row r="38" spans="1:5">
      <c r="A38" s="595" t="s">
        <v>352</v>
      </c>
      <c r="B38" s="522"/>
      <c r="C38" t="s">
        <v>3119</v>
      </c>
      <c r="D38" s="227"/>
      <c r="E38" s="760"/>
    </row>
    <row r="39" spans="1:5">
      <c r="A39" s="595" t="s">
        <v>353</v>
      </c>
      <c r="B39" s="522"/>
      <c r="C39" t="s">
        <v>3120</v>
      </c>
      <c r="D39" s="227"/>
      <c r="E39" s="760"/>
    </row>
    <row r="40" spans="1:5">
      <c r="A40" s="595" t="s">
        <v>354</v>
      </c>
      <c r="B40" s="522"/>
      <c r="C40" t="s">
        <v>480</v>
      </c>
      <c r="D40" s="227"/>
      <c r="E40" s="760"/>
    </row>
    <row r="41" spans="1:5">
      <c r="A41" s="595" t="s">
        <v>355</v>
      </c>
      <c r="B41" s="522"/>
      <c r="C41" t="s">
        <v>481</v>
      </c>
      <c r="D41" s="227"/>
      <c r="E41" s="760"/>
    </row>
    <row r="42" spans="1:5">
      <c r="A42" s="595" t="s">
        <v>356</v>
      </c>
      <c r="B42" s="522"/>
      <c r="C42" t="s">
        <v>2810</v>
      </c>
      <c r="D42" s="227"/>
      <c r="E42" s="760"/>
    </row>
    <row r="43" spans="1:5">
      <c r="A43" s="83"/>
      <c r="B43" s="522"/>
      <c r="C43" t="s">
        <v>2811</v>
      </c>
      <c r="D43" s="227"/>
      <c r="E43" s="760"/>
    </row>
    <row r="44" spans="1:5">
      <c r="A44" s="83"/>
      <c r="B44" s="522"/>
      <c r="C44" s="22"/>
      <c r="D44" s="893"/>
      <c r="E44" s="760"/>
    </row>
    <row r="45" spans="1:5">
      <c r="A45" s="83"/>
      <c r="B45" s="522"/>
      <c r="C45" s="22"/>
      <c r="D45" s="893"/>
      <c r="E45" s="760"/>
    </row>
    <row r="46" spans="1:5">
      <c r="A46" s="83"/>
      <c r="B46" s="522"/>
      <c r="C46" s="22"/>
      <c r="D46" s="893"/>
      <c r="E46" s="760"/>
    </row>
    <row r="47" spans="1:5">
      <c r="A47" s="83"/>
      <c r="B47" s="522"/>
      <c r="C47" s="22"/>
      <c r="D47" s="893"/>
      <c r="E47" s="760"/>
    </row>
    <row r="48" spans="1:5">
      <c r="A48" s="83"/>
      <c r="B48" s="522"/>
      <c r="C48" s="22"/>
      <c r="D48" s="893"/>
      <c r="E48" s="760"/>
    </row>
    <row r="49" spans="1:5">
      <c r="A49" s="83"/>
      <c r="B49" s="522"/>
      <c r="C49" s="22"/>
      <c r="D49" s="893"/>
      <c r="E49" s="760"/>
    </row>
    <row r="50" spans="1:5">
      <c r="A50" s="83"/>
      <c r="B50" s="522"/>
      <c r="C50" s="22"/>
      <c r="D50" s="893"/>
      <c r="E50" s="760"/>
    </row>
    <row r="51" spans="1:5">
      <c r="A51" s="83"/>
      <c r="B51" s="522"/>
      <c r="C51" s="22"/>
      <c r="D51" s="893"/>
      <c r="E51" s="760"/>
    </row>
    <row r="52" spans="1:5">
      <c r="A52" s="83"/>
      <c r="B52" s="522"/>
      <c r="C52" s="22"/>
      <c r="D52" s="893"/>
      <c r="E52" s="760"/>
    </row>
    <row r="53" spans="1:5">
      <c r="A53" s="83"/>
      <c r="B53" s="522"/>
      <c r="C53" s="22"/>
      <c r="D53" s="893"/>
      <c r="E53" s="760"/>
    </row>
    <row r="54" spans="1:5">
      <c r="A54" s="83"/>
      <c r="B54" s="522"/>
      <c r="C54" s="22"/>
      <c r="D54" s="893"/>
      <c r="E54" s="760"/>
    </row>
    <row r="55" spans="1:5">
      <c r="A55" s="83"/>
      <c r="B55" s="522"/>
      <c r="C55" s="22"/>
      <c r="D55" s="893"/>
      <c r="E55" s="760"/>
    </row>
    <row r="56" spans="1:5">
      <c r="A56" s="83"/>
      <c r="B56" s="522"/>
      <c r="C56" s="22"/>
      <c r="D56" s="893"/>
      <c r="E56" s="760"/>
    </row>
    <row r="57" spans="1:5">
      <c r="A57" s="83"/>
      <c r="B57" s="522"/>
      <c r="C57" s="22"/>
      <c r="D57" s="893"/>
      <c r="E57" s="760"/>
    </row>
    <row r="58" spans="1:5" ht="15.75" thickBot="1">
      <c r="A58" s="124"/>
      <c r="B58" s="698"/>
      <c r="C58" s="874"/>
      <c r="D58" s="894"/>
      <c r="E58" s="895"/>
    </row>
    <row r="59" spans="1:5">
      <c r="A59" t="s">
        <v>2024</v>
      </c>
    </row>
    <row r="60" spans="1:5">
      <c r="A60" s="4" t="s">
        <v>2812</v>
      </c>
      <c r="B60" s="4"/>
      <c r="C60" s="4"/>
      <c r="D60" s="4"/>
      <c r="E60" s="4"/>
    </row>
    <row r="67" spans="3:3">
      <c r="C67" s="108"/>
    </row>
    <row r="70" spans="3:3">
      <c r="C70" s="108"/>
    </row>
    <row r="71" spans="3:3">
      <c r="C71" s="108"/>
    </row>
    <row r="72" spans="3:3">
      <c r="C72" s="108"/>
    </row>
    <row r="73" spans="3:3">
      <c r="C73" s="108"/>
    </row>
  </sheetData>
  <printOptions horizontalCentered="1" verticalCentered="1"/>
  <pageMargins left="0.4" right="0.4" top="0.3" bottom="0.3" header="0" footer="0"/>
  <pageSetup scale="70"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ransitionEvaluation="1" codeName="Sheet86"/>
  <dimension ref="A1:D88"/>
  <sheetViews>
    <sheetView defaultGridColor="0" colorId="22" zoomScaleNormal="100" workbookViewId="0">
      <selection activeCell="C22" sqref="C22"/>
    </sheetView>
  </sheetViews>
  <sheetFormatPr defaultColWidth="9.77734375" defaultRowHeight="15"/>
  <cols>
    <col min="1" max="1" width="4.77734375" customWidth="1"/>
    <col min="2" max="2" width="2.77734375" customWidth="1"/>
    <col min="3" max="3" width="80.77734375" customWidth="1"/>
    <col min="4" max="4" width="20.77734375" customWidth="1"/>
  </cols>
  <sheetData>
    <row r="1" spans="1:4" ht="15.75" thickBot="1">
      <c r="A1" t="str">
        <f>'Data sheet'!A59</f>
        <v>Annual Report of Veolia Water New York, Inc.                                                             Year Ended  December 31, 2023</v>
      </c>
      <c r="B1" s="86"/>
      <c r="C1" s="86"/>
      <c r="D1" s="86"/>
    </row>
    <row r="2" spans="1:4" ht="18">
      <c r="A2" s="896"/>
      <c r="B2" s="897"/>
      <c r="C2" s="897"/>
      <c r="D2" s="898"/>
    </row>
    <row r="3" spans="1:4" ht="18">
      <c r="A3" s="899" t="s">
        <v>2813</v>
      </c>
      <c r="B3" s="900"/>
      <c r="C3" s="900"/>
      <c r="D3" s="901"/>
    </row>
    <row r="4" spans="1:4" ht="18">
      <c r="A4" s="902"/>
      <c r="B4" s="695"/>
      <c r="C4" s="695"/>
      <c r="D4" s="903"/>
    </row>
    <row r="5" spans="1:4" ht="16.5">
      <c r="A5" s="595">
        <v>1</v>
      </c>
      <c r="C5" s="86" t="s">
        <v>4393</v>
      </c>
      <c r="D5" s="905"/>
    </row>
    <row r="6" spans="1:4" ht="16.5">
      <c r="A6" s="83"/>
      <c r="C6" s="86" t="s">
        <v>4394</v>
      </c>
      <c r="D6" s="905"/>
    </row>
    <row r="7" spans="1:4" ht="16.5">
      <c r="A7" s="83"/>
      <c r="C7" s="86" t="s">
        <v>4395</v>
      </c>
      <c r="D7" s="905"/>
    </row>
    <row r="8" spans="1:4" ht="16.5">
      <c r="A8" s="83"/>
      <c r="C8" s="86" t="s">
        <v>4396</v>
      </c>
      <c r="D8" s="905"/>
    </row>
    <row r="9" spans="1:4" ht="16.5">
      <c r="A9" s="595"/>
      <c r="C9" s="86" t="s">
        <v>4397</v>
      </c>
      <c r="D9" s="905"/>
    </row>
    <row r="10" spans="1:4" ht="16.5">
      <c r="A10" s="595">
        <v>2</v>
      </c>
      <c r="C10" s="86" t="s">
        <v>4398</v>
      </c>
      <c r="D10" s="905"/>
    </row>
    <row r="11" spans="1:4" ht="16.5">
      <c r="A11" s="595"/>
      <c r="C11" s="86" t="s">
        <v>4399</v>
      </c>
      <c r="D11" s="905"/>
    </row>
    <row r="12" spans="1:4" ht="16.5">
      <c r="A12" s="83"/>
      <c r="C12" s="86" t="s">
        <v>4400</v>
      </c>
      <c r="D12" s="905"/>
    </row>
    <row r="13" spans="1:4" ht="16.5">
      <c r="A13" s="83"/>
      <c r="C13" s="86" t="s">
        <v>4401</v>
      </c>
      <c r="D13" s="905"/>
    </row>
    <row r="14" spans="1:4" ht="16.5">
      <c r="A14" s="595"/>
      <c r="C14" s="86" t="s">
        <v>4402</v>
      </c>
      <c r="D14" s="905"/>
    </row>
    <row r="15" spans="1:4" ht="16.5">
      <c r="A15" s="83"/>
      <c r="C15" s="86" t="s">
        <v>4403</v>
      </c>
      <c r="D15" s="905"/>
    </row>
    <row r="16" spans="1:4" ht="16.5">
      <c r="A16" s="83"/>
      <c r="C16" s="86" t="s">
        <v>4404</v>
      </c>
      <c r="D16" s="905"/>
    </row>
    <row r="17" spans="1:4" ht="16.5">
      <c r="A17" s="595">
        <v>3</v>
      </c>
      <c r="C17" s="86" t="s">
        <v>4405</v>
      </c>
      <c r="D17" s="905"/>
    </row>
    <row r="18" spans="1:4" ht="16.5">
      <c r="A18" s="83"/>
      <c r="C18" s="86" t="s">
        <v>4406</v>
      </c>
      <c r="D18" s="905"/>
    </row>
    <row r="19" spans="1:4" ht="16.5">
      <c r="A19" s="595">
        <v>4</v>
      </c>
      <c r="C19" s="86" t="s">
        <v>4407</v>
      </c>
      <c r="D19" s="905"/>
    </row>
    <row r="20" spans="1:4" ht="16.5">
      <c r="A20" s="595"/>
      <c r="C20" s="86" t="s">
        <v>4408</v>
      </c>
      <c r="D20" s="905"/>
    </row>
    <row r="21" spans="1:4" ht="16.5">
      <c r="A21" s="595"/>
      <c r="D21" s="905"/>
    </row>
    <row r="22" spans="1:4" ht="18">
      <c r="A22" s="902"/>
      <c r="B22" s="695"/>
      <c r="C22" s="904"/>
      <c r="D22" s="905"/>
    </row>
    <row r="23" spans="1:4" ht="18">
      <c r="A23" s="902"/>
      <c r="B23" s="695"/>
      <c r="C23" s="904"/>
      <c r="D23" s="905"/>
    </row>
    <row r="24" spans="1:4" ht="18">
      <c r="A24" s="902"/>
      <c r="B24" s="906"/>
      <c r="C24" s="907"/>
      <c r="D24" s="908"/>
    </row>
    <row r="25" spans="1:4">
      <c r="A25" s="909"/>
      <c r="B25" s="86"/>
      <c r="C25" s="96"/>
      <c r="D25" s="681"/>
    </row>
    <row r="26" spans="1:4">
      <c r="A26" s="351"/>
      <c r="B26" s="86"/>
      <c r="C26" s="96"/>
      <c r="D26" s="681"/>
    </row>
    <row r="27" spans="1:4">
      <c r="A27" s="910" t="s">
        <v>3963</v>
      </c>
      <c r="B27" s="5"/>
      <c r="C27" s="109" t="s">
        <v>4301</v>
      </c>
      <c r="D27" s="352" t="s">
        <v>1291</v>
      </c>
    </row>
    <row r="28" spans="1:4">
      <c r="A28" s="911" t="s">
        <v>1690</v>
      </c>
      <c r="B28" s="133"/>
      <c r="C28" s="997" t="s">
        <v>3279</v>
      </c>
      <c r="D28" s="1028" t="s">
        <v>3280</v>
      </c>
    </row>
    <row r="29" spans="1:4">
      <c r="A29" s="351">
        <v>1</v>
      </c>
      <c r="B29" s="86"/>
      <c r="C29" s="96"/>
      <c r="D29" s="687"/>
    </row>
    <row r="30" spans="1:4">
      <c r="A30" s="351">
        <v>2</v>
      </c>
      <c r="B30" s="86"/>
      <c r="C30" s="96"/>
      <c r="D30" s="1553" t="s">
        <v>2289</v>
      </c>
    </row>
    <row r="31" spans="1:4">
      <c r="A31" s="351">
        <v>3</v>
      </c>
      <c r="B31" s="86"/>
      <c r="C31" s="96"/>
      <c r="D31" s="694"/>
    </row>
    <row r="32" spans="1:4">
      <c r="A32" s="351">
        <v>4</v>
      </c>
      <c r="B32" s="86"/>
      <c r="C32" s="554"/>
      <c r="D32" s="694"/>
    </row>
    <row r="33" spans="1:4">
      <c r="A33" s="351">
        <v>5</v>
      </c>
      <c r="B33" s="86"/>
      <c r="C33" s="96"/>
      <c r="D33" s="694"/>
    </row>
    <row r="34" spans="1:4">
      <c r="A34" s="351">
        <v>6</v>
      </c>
      <c r="B34" s="86"/>
      <c r="C34" s="96"/>
      <c r="D34" s="694"/>
    </row>
    <row r="35" spans="1:4">
      <c r="A35" s="351">
        <v>7</v>
      </c>
      <c r="B35" s="86"/>
      <c r="C35" s="96"/>
      <c r="D35" s="694"/>
    </row>
    <row r="36" spans="1:4">
      <c r="A36" s="351">
        <v>8</v>
      </c>
      <c r="B36" s="86"/>
      <c r="C36" s="96"/>
      <c r="D36" s="694"/>
    </row>
    <row r="37" spans="1:4">
      <c r="A37" s="351">
        <v>9</v>
      </c>
      <c r="B37" s="86"/>
      <c r="C37" s="96"/>
      <c r="D37" s="694"/>
    </row>
    <row r="38" spans="1:4">
      <c r="A38" s="351">
        <v>10</v>
      </c>
      <c r="B38" s="86"/>
      <c r="C38" s="96"/>
      <c r="D38" s="694"/>
    </row>
    <row r="39" spans="1:4">
      <c r="A39" s="351">
        <v>11</v>
      </c>
      <c r="B39" s="86"/>
      <c r="C39" s="96"/>
      <c r="D39" s="694"/>
    </row>
    <row r="40" spans="1:4">
      <c r="A40" s="351">
        <v>12</v>
      </c>
      <c r="B40" s="86"/>
      <c r="C40" s="96"/>
      <c r="D40" s="694"/>
    </row>
    <row r="41" spans="1:4">
      <c r="A41" s="351">
        <v>13</v>
      </c>
      <c r="B41" s="86"/>
      <c r="C41" s="96"/>
      <c r="D41" s="694"/>
    </row>
    <row r="42" spans="1:4">
      <c r="A42" s="351">
        <v>14</v>
      </c>
      <c r="B42" s="86"/>
      <c r="C42" s="96"/>
      <c r="D42" s="694"/>
    </row>
    <row r="43" spans="1:4">
      <c r="A43" s="351">
        <v>15</v>
      </c>
      <c r="B43" s="86"/>
      <c r="C43" s="96"/>
      <c r="D43" s="694"/>
    </row>
    <row r="44" spans="1:4">
      <c r="A44" s="351">
        <v>16</v>
      </c>
      <c r="B44" s="86"/>
      <c r="C44" s="96"/>
      <c r="D44" s="694"/>
    </row>
    <row r="45" spans="1:4">
      <c r="A45" s="351">
        <v>17</v>
      </c>
      <c r="B45" s="86"/>
      <c r="C45" s="96"/>
      <c r="D45" s="694"/>
    </row>
    <row r="46" spans="1:4">
      <c r="A46" s="351">
        <v>18</v>
      </c>
      <c r="B46" s="86"/>
      <c r="C46" s="96"/>
      <c r="D46" s="694"/>
    </row>
    <row r="47" spans="1:4">
      <c r="A47" s="351">
        <v>19</v>
      </c>
      <c r="B47" s="86"/>
      <c r="C47" s="96"/>
      <c r="D47" s="694"/>
    </row>
    <row r="48" spans="1:4">
      <c r="A48" s="351">
        <v>20</v>
      </c>
      <c r="B48" s="86"/>
      <c r="C48" s="96"/>
      <c r="D48" s="694"/>
    </row>
    <row r="49" spans="1:4">
      <c r="A49" s="351">
        <v>21</v>
      </c>
      <c r="B49" s="86"/>
      <c r="C49" s="96"/>
      <c r="D49" s="694"/>
    </row>
    <row r="50" spans="1:4">
      <c r="A50" s="351">
        <v>22</v>
      </c>
      <c r="B50" s="86"/>
      <c r="C50" s="96"/>
      <c r="D50" s="694"/>
    </row>
    <row r="51" spans="1:4">
      <c r="A51" s="351">
        <v>23</v>
      </c>
      <c r="B51" s="86"/>
      <c r="C51" s="96"/>
      <c r="D51" s="694"/>
    </row>
    <row r="52" spans="1:4">
      <c r="A52" s="351">
        <v>24</v>
      </c>
      <c r="B52" s="86"/>
      <c r="C52" s="96"/>
      <c r="D52" s="694"/>
    </row>
    <row r="53" spans="1:4">
      <c r="A53" s="351">
        <v>25</v>
      </c>
      <c r="B53" s="86"/>
      <c r="C53" s="96"/>
      <c r="D53" s="694"/>
    </row>
    <row r="54" spans="1:4">
      <c r="A54" s="351">
        <v>26</v>
      </c>
      <c r="B54" s="86"/>
      <c r="C54" s="96"/>
      <c r="D54" s="694"/>
    </row>
    <row r="55" spans="1:4">
      <c r="A55" s="351">
        <v>27</v>
      </c>
      <c r="B55" s="86"/>
      <c r="C55" s="96"/>
      <c r="D55" s="694"/>
    </row>
    <row r="56" spans="1:4">
      <c r="A56" s="351">
        <v>28</v>
      </c>
      <c r="B56" s="86"/>
      <c r="C56" s="96"/>
      <c r="D56" s="694"/>
    </row>
    <row r="57" spans="1:4">
      <c r="A57" s="351">
        <v>29</v>
      </c>
      <c r="B57" s="86"/>
      <c r="C57" s="96"/>
      <c r="D57" s="694"/>
    </row>
    <row r="58" spans="1:4">
      <c r="A58" s="351">
        <v>30</v>
      </c>
      <c r="B58" s="86"/>
      <c r="C58" s="96"/>
      <c r="D58" s="694"/>
    </row>
    <row r="59" spans="1:4">
      <c r="A59" s="351">
        <v>31</v>
      </c>
      <c r="B59" s="86"/>
      <c r="C59" s="96"/>
      <c r="D59" s="694"/>
    </row>
    <row r="60" spans="1:4">
      <c r="A60" s="351">
        <v>32</v>
      </c>
      <c r="B60" s="86"/>
      <c r="C60" s="96"/>
      <c r="D60" s="694"/>
    </row>
    <row r="61" spans="1:4">
      <c r="A61" s="351">
        <v>33</v>
      </c>
      <c r="B61" s="86"/>
      <c r="C61" s="96"/>
      <c r="D61" s="427"/>
    </row>
    <row r="62" spans="1:4" ht="15.75" thickBot="1">
      <c r="A62" s="154">
        <v>34</v>
      </c>
      <c r="B62" s="912"/>
      <c r="C62" s="1039" t="s">
        <v>1738</v>
      </c>
      <c r="D62" s="401">
        <f>SUM(D29:D61)</f>
        <v>0</v>
      </c>
    </row>
    <row r="63" spans="1:4">
      <c r="B63" s="86"/>
      <c r="C63" s="86"/>
      <c r="D63" s="86" t="s">
        <v>2024</v>
      </c>
    </row>
    <row r="64" spans="1:4">
      <c r="A64" s="5" t="s">
        <v>4302</v>
      </c>
      <c r="B64" s="5"/>
      <c r="C64" s="4"/>
      <c r="D64" s="5"/>
    </row>
    <row r="65" spans="1:4" ht="18">
      <c r="A65" s="695"/>
      <c r="B65" s="695"/>
      <c r="C65" s="695"/>
      <c r="D65" s="695"/>
    </row>
    <row r="66" spans="1:4" ht="18">
      <c r="A66" s="695"/>
      <c r="B66" s="695"/>
      <c r="C66" s="695"/>
      <c r="D66" s="695"/>
    </row>
    <row r="67" spans="1:4" ht="18">
      <c r="A67" s="695"/>
      <c r="B67" s="695"/>
      <c r="C67" s="695"/>
      <c r="D67" s="695"/>
    </row>
    <row r="68" spans="1:4" ht="18">
      <c r="A68" s="695"/>
      <c r="B68" s="695"/>
      <c r="C68" s="695"/>
      <c r="D68" s="695"/>
    </row>
    <row r="69" spans="1:4" ht="18">
      <c r="A69" s="695"/>
      <c r="B69" s="695"/>
      <c r="C69" s="695"/>
      <c r="D69" s="695"/>
    </row>
    <row r="70" spans="1:4" ht="18">
      <c r="A70" s="695"/>
      <c r="B70" s="695"/>
      <c r="C70" s="108"/>
      <c r="D70" s="695"/>
    </row>
    <row r="71" spans="1:4" ht="18">
      <c r="A71" s="695"/>
      <c r="B71" s="695"/>
      <c r="D71" s="695"/>
    </row>
    <row r="72" spans="1:4" ht="18">
      <c r="A72" s="695"/>
      <c r="B72" s="695"/>
      <c r="C72" s="695"/>
      <c r="D72" s="695"/>
    </row>
    <row r="73" spans="1:4" ht="18">
      <c r="A73" s="695"/>
      <c r="B73" s="695"/>
      <c r="C73" s="108"/>
      <c r="D73" s="695"/>
    </row>
    <row r="74" spans="1:4" ht="18">
      <c r="A74" s="695"/>
      <c r="B74" s="695"/>
      <c r="C74" s="108"/>
    </row>
    <row r="75" spans="1:4" ht="18">
      <c r="A75" s="695"/>
      <c r="B75" s="695"/>
      <c r="C75" s="108"/>
    </row>
    <row r="76" spans="1:4" ht="18">
      <c r="A76" s="695"/>
      <c r="B76" s="695"/>
      <c r="C76" s="108"/>
    </row>
    <row r="77" spans="1:4" ht="18">
      <c r="A77" s="695"/>
      <c r="B77" s="695"/>
    </row>
    <row r="78" spans="1:4" ht="18">
      <c r="A78" s="695"/>
      <c r="B78" s="695"/>
    </row>
    <row r="79" spans="1:4" ht="18">
      <c r="A79" s="695"/>
      <c r="B79" s="695"/>
      <c r="C79" s="695"/>
    </row>
    <row r="80" spans="1:4" ht="18">
      <c r="A80" s="695"/>
      <c r="B80" s="695"/>
      <c r="C80" s="695"/>
    </row>
    <row r="81" spans="1:4" ht="18">
      <c r="A81" s="695"/>
      <c r="B81" s="695"/>
      <c r="C81" s="695"/>
    </row>
    <row r="82" spans="1:4" ht="18">
      <c r="A82" s="695"/>
      <c r="B82" s="695"/>
      <c r="C82" s="695"/>
    </row>
    <row r="83" spans="1:4" ht="18">
      <c r="A83" s="695"/>
      <c r="B83" s="695"/>
      <c r="C83" s="695"/>
      <c r="D83" s="695"/>
    </row>
    <row r="84" spans="1:4" ht="18">
      <c r="A84" s="695"/>
      <c r="B84" s="695"/>
      <c r="C84" s="695"/>
      <c r="D84" s="695"/>
    </row>
    <row r="85" spans="1:4" ht="18">
      <c r="A85" s="695"/>
      <c r="B85" s="695"/>
      <c r="C85" s="695"/>
      <c r="D85" s="695"/>
    </row>
    <row r="86" spans="1:4" ht="18">
      <c r="A86" s="695"/>
      <c r="B86" s="695"/>
      <c r="C86" s="695"/>
      <c r="D86" s="695"/>
    </row>
    <row r="87" spans="1:4" ht="18">
      <c r="A87" s="695"/>
      <c r="B87" s="695"/>
      <c r="C87" s="695"/>
      <c r="D87" s="695"/>
    </row>
    <row r="88" spans="1:4" ht="18">
      <c r="A88" s="695"/>
      <c r="B88" s="695"/>
      <c r="C88" s="695"/>
      <c r="D88" s="695"/>
    </row>
  </sheetData>
  <phoneticPr fontId="0" type="noConversion"/>
  <printOptions horizontalCentered="1" verticalCentered="1"/>
  <pageMargins left="0.4" right="0.4" top="0.3" bottom="0.3" header="0" footer="0"/>
  <pageSetup scale="68" orientation="portrait" r:id="rId1"/>
  <headerFooter alignWithMargins="0"/>
  <rowBreaks count="1" manualBreakCount="1">
    <brk id="65"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ransitionEvaluation="1" codeName="Sheet87"/>
  <dimension ref="A1:E73"/>
  <sheetViews>
    <sheetView defaultGridColor="0" colorId="22" zoomScaleNormal="100" workbookViewId="0">
      <selection activeCell="H4" sqref="H4"/>
    </sheetView>
  </sheetViews>
  <sheetFormatPr defaultColWidth="9.77734375" defaultRowHeight="15"/>
  <cols>
    <col min="1" max="1" width="3.77734375" customWidth="1"/>
    <col min="2" max="2" width="1.77734375" customWidth="1"/>
    <col min="3" max="3" width="76.77734375" customWidth="1"/>
    <col min="4" max="4" width="6.77734375" customWidth="1"/>
    <col min="5" max="5" width="28.33203125" customWidth="1"/>
  </cols>
  <sheetData>
    <row r="1" spans="1:5" ht="15.75" thickBot="1">
      <c r="A1" t="str">
        <f>'Data sheet'!A59</f>
        <v>Annual Report of Veolia Water New York, Inc.                                                             Year Ended  December 31, 2023</v>
      </c>
    </row>
    <row r="2" spans="1:5" ht="18">
      <c r="A2" s="883"/>
      <c r="B2" s="884"/>
      <c r="C2" s="81"/>
      <c r="D2" s="81"/>
      <c r="E2" s="82"/>
    </row>
    <row r="3" spans="1:5" ht="15.75">
      <c r="A3" s="118"/>
      <c r="B3" s="4"/>
      <c r="C3" s="4"/>
      <c r="D3" s="4"/>
      <c r="E3" s="119"/>
    </row>
    <row r="4" spans="1:5">
      <c r="A4" s="83"/>
      <c r="E4" s="214"/>
    </row>
    <row r="5" spans="1:5">
      <c r="A5" s="595"/>
      <c r="B5" s="2869"/>
      <c r="C5" s="2869"/>
      <c r="E5" s="214"/>
    </row>
    <row r="6" spans="1:5">
      <c r="A6" s="83"/>
      <c r="B6" s="2869"/>
      <c r="C6" s="2869"/>
      <c r="E6" s="214"/>
    </row>
    <row r="7" spans="1:5">
      <c r="A7" s="83"/>
      <c r="B7" s="2869"/>
      <c r="C7" s="2869"/>
      <c r="E7" s="214"/>
    </row>
    <row r="8" spans="1:5">
      <c r="A8" s="83"/>
      <c r="B8" s="2869"/>
      <c r="C8" s="2869"/>
      <c r="E8" s="214"/>
    </row>
    <row r="9" spans="1:5">
      <c r="A9" s="83"/>
      <c r="B9" s="2869"/>
      <c r="C9" s="2869"/>
      <c r="E9" s="214"/>
    </row>
    <row r="10" spans="1:5">
      <c r="A10" s="83"/>
      <c r="E10" s="214"/>
    </row>
    <row r="11" spans="1:5">
      <c r="A11" s="83"/>
      <c r="E11" s="214"/>
    </row>
    <row r="12" spans="1:5">
      <c r="A12" s="83"/>
      <c r="B12" s="2869"/>
      <c r="C12" s="2869"/>
      <c r="E12" s="214"/>
    </row>
    <row r="13" spans="1:5">
      <c r="A13" s="83"/>
      <c r="B13" s="977"/>
      <c r="E13" s="214"/>
    </row>
    <row r="14" spans="1:5">
      <c r="A14" s="83"/>
      <c r="B14" s="2869"/>
      <c r="C14" s="2869"/>
      <c r="E14" s="214"/>
    </row>
    <row r="15" spans="1:5">
      <c r="A15" s="83"/>
      <c r="B15" s="2869"/>
      <c r="C15" s="2869"/>
      <c r="E15" s="214"/>
    </row>
    <row r="16" spans="1:5">
      <c r="A16" s="1131"/>
      <c r="B16" s="977"/>
      <c r="E16" s="214"/>
    </row>
    <row r="17" spans="1:5">
      <c r="A17" s="83"/>
      <c r="B17" s="2874" t="s">
        <v>1836</v>
      </c>
      <c r="C17" s="2875"/>
      <c r="E17" s="214"/>
    </row>
    <row r="18" spans="1:5">
      <c r="A18" s="83"/>
      <c r="B18" s="2874"/>
      <c r="C18" s="2875"/>
      <c r="E18" s="214"/>
    </row>
    <row r="19" spans="1:5">
      <c r="A19" s="83"/>
      <c r="B19" s="977"/>
      <c r="E19" s="214"/>
    </row>
    <row r="20" spans="1:5">
      <c r="A20" s="83"/>
      <c r="E20" s="727"/>
    </row>
    <row r="21" spans="1:5">
      <c r="A21" s="595"/>
      <c r="B21" s="2869"/>
      <c r="C21" s="2869"/>
      <c r="E21" s="727"/>
    </row>
    <row r="22" spans="1:5">
      <c r="A22" s="83"/>
      <c r="B22" s="977"/>
      <c r="E22" s="727"/>
    </row>
    <row r="23" spans="1:5">
      <c r="A23" s="83"/>
      <c r="E23" s="214"/>
    </row>
    <row r="24" spans="1:5">
      <c r="A24" s="595"/>
      <c r="B24" s="2869"/>
      <c r="C24" s="2869"/>
      <c r="E24" s="769"/>
    </row>
    <row r="25" spans="1:5">
      <c r="A25" s="83"/>
      <c r="B25" s="2869"/>
      <c r="C25" s="2869"/>
      <c r="E25" s="760"/>
    </row>
    <row r="26" spans="1:5">
      <c r="A26" s="83"/>
      <c r="B26" s="977"/>
      <c r="E26" s="760"/>
    </row>
    <row r="27" spans="1:5">
      <c r="A27" s="83"/>
      <c r="B27" s="4"/>
      <c r="E27" s="760"/>
    </row>
    <row r="28" spans="1:5">
      <c r="A28" s="595"/>
      <c r="B28" s="2875"/>
      <c r="C28" s="2875"/>
      <c r="E28" s="760"/>
    </row>
    <row r="29" spans="1:5">
      <c r="A29" s="83"/>
      <c r="B29" s="2875"/>
      <c r="C29" s="2875"/>
      <c r="E29" s="760"/>
    </row>
    <row r="30" spans="1:5">
      <c r="A30" s="83"/>
      <c r="B30" s="2875"/>
      <c r="C30" s="2875"/>
      <c r="E30" s="760"/>
    </row>
    <row r="31" spans="1:5">
      <c r="A31" s="83"/>
      <c r="E31" s="760"/>
    </row>
    <row r="32" spans="1:5">
      <c r="A32" s="595"/>
      <c r="B32" s="2869"/>
      <c r="C32" s="2869"/>
      <c r="E32" s="760"/>
    </row>
    <row r="33" spans="1:5">
      <c r="A33" s="83"/>
      <c r="B33" s="2869"/>
      <c r="C33" s="2869"/>
      <c r="E33" s="760"/>
    </row>
    <row r="34" spans="1:5">
      <c r="A34" s="595"/>
      <c r="B34" s="2869"/>
      <c r="C34" s="2869"/>
      <c r="E34" s="760"/>
    </row>
    <row r="35" spans="1:5">
      <c r="A35" s="83"/>
      <c r="B35" s="2869"/>
      <c r="C35" s="2869"/>
      <c r="D35" s="1571"/>
      <c r="E35" s="760"/>
    </row>
    <row r="36" spans="1:5">
      <c r="A36" s="83"/>
      <c r="E36" s="760"/>
    </row>
    <row r="37" spans="1:5">
      <c r="A37" s="595"/>
      <c r="B37" s="2869"/>
      <c r="C37" s="2869"/>
      <c r="E37" s="760"/>
    </row>
    <row r="38" spans="1:5">
      <c r="A38" s="83"/>
      <c r="B38" s="2869"/>
      <c r="C38" s="2869"/>
      <c r="E38" s="760"/>
    </row>
    <row r="39" spans="1:5">
      <c r="A39" s="83"/>
      <c r="B39" s="2869"/>
      <c r="C39" s="2869"/>
      <c r="E39" s="760"/>
    </row>
    <row r="40" spans="1:5">
      <c r="A40" s="83"/>
      <c r="B40" s="4"/>
      <c r="E40" s="760"/>
    </row>
    <row r="41" spans="1:5">
      <c r="A41" s="595"/>
      <c r="B41" s="2869"/>
      <c r="C41" s="2869"/>
      <c r="E41" s="760"/>
    </row>
    <row r="42" spans="1:5">
      <c r="A42" s="83"/>
      <c r="B42" s="977"/>
      <c r="E42" s="760"/>
    </row>
    <row r="43" spans="1:5">
      <c r="A43" s="83"/>
      <c r="E43" s="760"/>
    </row>
    <row r="44" spans="1:5">
      <c r="A44" s="595"/>
      <c r="B44" s="2869"/>
      <c r="C44" s="2869"/>
      <c r="D44" s="22"/>
      <c r="E44" s="760"/>
    </row>
    <row r="45" spans="1:5">
      <c r="A45" s="83"/>
      <c r="B45" s="2869"/>
      <c r="C45" s="2869"/>
      <c r="D45" s="22"/>
      <c r="E45" s="760"/>
    </row>
    <row r="46" spans="1:5">
      <c r="A46" s="83"/>
      <c r="B46" s="4"/>
      <c r="D46" s="22"/>
      <c r="E46" s="760"/>
    </row>
    <row r="47" spans="1:5">
      <c r="A47" s="83"/>
      <c r="B47" s="2869"/>
      <c r="C47" s="2869"/>
      <c r="D47" s="22"/>
      <c r="E47" s="760"/>
    </row>
    <row r="48" spans="1:5">
      <c r="A48" s="83"/>
      <c r="B48" s="2869"/>
      <c r="C48" s="2869"/>
      <c r="D48" s="22"/>
      <c r="E48" s="760"/>
    </row>
    <row r="49" spans="1:5">
      <c r="A49" s="83"/>
      <c r="B49" s="2869"/>
      <c r="C49" s="2869"/>
      <c r="D49" s="22"/>
      <c r="E49" s="760"/>
    </row>
    <row r="50" spans="1:5">
      <c r="A50" s="83"/>
      <c r="B50" s="2869"/>
      <c r="C50" s="2869"/>
      <c r="D50" s="22"/>
      <c r="E50" s="760"/>
    </row>
    <row r="51" spans="1:5">
      <c r="A51" s="83"/>
      <c r="D51" s="22"/>
      <c r="E51" s="760"/>
    </row>
    <row r="52" spans="1:5">
      <c r="A52" s="83"/>
      <c r="B52" s="4"/>
      <c r="D52" s="22"/>
      <c r="E52" s="760"/>
    </row>
    <row r="53" spans="1:5">
      <c r="A53" s="83"/>
      <c r="B53" s="4"/>
      <c r="D53" s="22"/>
      <c r="E53" s="760"/>
    </row>
    <row r="54" spans="1:5">
      <c r="A54" s="83"/>
      <c r="D54" s="22"/>
      <c r="E54" s="760"/>
    </row>
    <row r="55" spans="1:5">
      <c r="A55" s="83"/>
      <c r="D55" s="22"/>
      <c r="E55" s="760"/>
    </row>
    <row r="56" spans="1:5">
      <c r="A56" s="83"/>
      <c r="D56" s="22"/>
      <c r="E56" s="760"/>
    </row>
    <row r="57" spans="1:5">
      <c r="A57" s="83"/>
      <c r="D57" s="22"/>
      <c r="E57" s="760"/>
    </row>
    <row r="58" spans="1:5">
      <c r="A58" s="83"/>
      <c r="D58" s="22"/>
      <c r="E58" s="760"/>
    </row>
    <row r="59" spans="1:5" ht="15.75" thickBot="1">
      <c r="A59" s="124"/>
      <c r="B59" s="125"/>
      <c r="C59" s="125"/>
      <c r="D59" s="125"/>
      <c r="E59" s="217"/>
    </row>
    <row r="60" spans="1:5">
      <c r="A60" t="s">
        <v>2024</v>
      </c>
      <c r="B60" s="4"/>
      <c r="C60" s="4"/>
      <c r="D60" s="4"/>
      <c r="E60" s="4"/>
    </row>
    <row r="61" spans="1:5">
      <c r="A61" s="4" t="s">
        <v>1704</v>
      </c>
      <c r="B61" s="4"/>
      <c r="C61" s="4"/>
      <c r="D61" s="4"/>
      <c r="E61" s="4"/>
    </row>
    <row r="67" spans="3:3">
      <c r="C67" s="108"/>
    </row>
    <row r="70" spans="3:3">
      <c r="C70" s="108"/>
    </row>
    <row r="71" spans="3:3">
      <c r="C71" s="108"/>
    </row>
    <row r="72" spans="3:3">
      <c r="C72" s="108"/>
    </row>
    <row r="73" spans="3:3">
      <c r="C73" s="108"/>
    </row>
  </sheetData>
  <mergeCells count="30">
    <mergeCell ref="B49:C49"/>
    <mergeCell ref="B50:C50"/>
    <mergeCell ref="B44:C44"/>
    <mergeCell ref="B45:C45"/>
    <mergeCell ref="B47:C47"/>
    <mergeCell ref="B48:C48"/>
    <mergeCell ref="B41:C41"/>
    <mergeCell ref="B25:C25"/>
    <mergeCell ref="B28:C28"/>
    <mergeCell ref="B29:C29"/>
    <mergeCell ref="B30:C30"/>
    <mergeCell ref="B32:C32"/>
    <mergeCell ref="B33:C33"/>
    <mergeCell ref="B34:C34"/>
    <mergeCell ref="B35:C35"/>
    <mergeCell ref="B37:C37"/>
    <mergeCell ref="B38:C38"/>
    <mergeCell ref="B39:C39"/>
    <mergeCell ref="B24:C24"/>
    <mergeCell ref="B5:C5"/>
    <mergeCell ref="B6:C6"/>
    <mergeCell ref="B7:C7"/>
    <mergeCell ref="B8:C8"/>
    <mergeCell ref="B9:C9"/>
    <mergeCell ref="B12:C12"/>
    <mergeCell ref="B14:C14"/>
    <mergeCell ref="B15:C15"/>
    <mergeCell ref="B17:C17"/>
    <mergeCell ref="B18:C18"/>
    <mergeCell ref="B21:C21"/>
  </mergeCells>
  <phoneticPr fontId="0" type="noConversion"/>
  <printOptions horizontalCentered="1" verticalCentered="1"/>
  <pageMargins left="0.4" right="0.4" top="0.3" bottom="0.3" header="0" footer="0"/>
  <pageSetup scale="7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codeName="Sheet9"/>
  <dimension ref="A1:F129"/>
  <sheetViews>
    <sheetView defaultGridColor="0" topLeftCell="A3" colorId="22" zoomScaleNormal="100" workbookViewId="0">
      <selection activeCell="A114" sqref="A114"/>
    </sheetView>
  </sheetViews>
  <sheetFormatPr defaultColWidth="9.77734375" defaultRowHeight="15"/>
  <cols>
    <col min="1" max="1" width="4.77734375" customWidth="1"/>
    <col min="2" max="2" width="36.77734375" customWidth="1"/>
    <col min="3" max="3" width="13.77734375" customWidth="1"/>
    <col min="4" max="4" width="13.5546875" customWidth="1"/>
    <col min="5" max="5" width="31.77734375" customWidth="1"/>
    <col min="6" max="6" width="18.77734375" customWidth="1"/>
  </cols>
  <sheetData>
    <row r="1" spans="1:6" ht="15.75" thickBot="1">
      <c r="A1" s="86" t="str">
        <f>'Data sheet'!A65</f>
        <v>Annual Report of Veolia Water New York, Inc.                                                                                          Year Ended  December 31, 2023</v>
      </c>
      <c r="B1" s="86"/>
      <c r="C1" s="86"/>
      <c r="D1" s="86"/>
      <c r="E1" s="86"/>
      <c r="F1" s="86"/>
    </row>
    <row r="2" spans="1:6">
      <c r="A2" s="155"/>
      <c r="B2" s="156"/>
      <c r="C2" s="156"/>
      <c r="D2" s="156"/>
      <c r="E2" s="156"/>
      <c r="F2" s="157"/>
    </row>
    <row r="3" spans="1:6" ht="15.75">
      <c r="A3" s="158" t="s">
        <v>372</v>
      </c>
      <c r="B3" s="159"/>
      <c r="C3" s="159"/>
      <c r="D3" s="159"/>
      <c r="E3" s="159"/>
      <c r="F3" s="160"/>
    </row>
    <row r="4" spans="1:6">
      <c r="A4" s="161"/>
      <c r="B4" s="162"/>
      <c r="C4" s="162"/>
      <c r="D4" s="162"/>
      <c r="E4" s="162"/>
      <c r="F4" s="163"/>
    </row>
    <row r="5" spans="1:6" ht="17.25" customHeight="1">
      <c r="A5" s="164"/>
      <c r="B5" s="159"/>
      <c r="C5" s="159"/>
      <c r="D5" s="159"/>
      <c r="E5" s="159"/>
      <c r="F5" s="160"/>
    </row>
    <row r="6" spans="1:6">
      <c r="A6" s="165"/>
      <c r="B6" s="1043" t="s">
        <v>2899</v>
      </c>
      <c r="C6" s="1044"/>
      <c r="D6" s="1045" t="s">
        <v>2900</v>
      </c>
      <c r="E6" s="1044"/>
      <c r="F6" s="167"/>
    </row>
    <row r="7" spans="1:6">
      <c r="A7" s="165"/>
      <c r="B7" s="1043" t="s">
        <v>1633</v>
      </c>
      <c r="C7" s="1043"/>
      <c r="D7" s="1045" t="s">
        <v>1634</v>
      </c>
      <c r="E7" s="1044"/>
      <c r="F7" s="167"/>
    </row>
    <row r="8" spans="1:6">
      <c r="A8" s="165"/>
      <c r="B8" s="1043" t="s">
        <v>2513</v>
      </c>
      <c r="C8" s="1043"/>
      <c r="D8" s="1045" t="s">
        <v>2805</v>
      </c>
      <c r="E8" s="1044"/>
      <c r="F8" s="167"/>
    </row>
    <row r="9" spans="1:6">
      <c r="A9" s="165"/>
      <c r="B9" s="1043" t="s">
        <v>2806</v>
      </c>
      <c r="C9" s="1043"/>
      <c r="D9" s="1045" t="s">
        <v>2768</v>
      </c>
      <c r="E9" s="1044"/>
      <c r="F9" s="167"/>
    </row>
    <row r="10" spans="1:6">
      <c r="A10" s="165"/>
      <c r="B10" s="1043" t="s">
        <v>2769</v>
      </c>
      <c r="C10" s="1043"/>
      <c r="D10" s="1045" t="s">
        <v>2770</v>
      </c>
      <c r="E10" s="1044"/>
      <c r="F10" s="167"/>
    </row>
    <row r="11" spans="1:6">
      <c r="A11" s="165"/>
      <c r="B11" s="1043" t="s">
        <v>1235</v>
      </c>
      <c r="C11" s="1043"/>
      <c r="D11" s="1045" t="s">
        <v>1236</v>
      </c>
      <c r="E11" s="1044"/>
      <c r="F11" s="167"/>
    </row>
    <row r="12" spans="1:6">
      <c r="A12" s="165"/>
      <c r="B12" s="1043" t="s">
        <v>1164</v>
      </c>
      <c r="C12" s="1043"/>
      <c r="D12" s="1045" t="s">
        <v>4345</v>
      </c>
      <c r="E12" s="1044"/>
      <c r="F12" s="167"/>
    </row>
    <row r="13" spans="1:6">
      <c r="A13" s="165"/>
      <c r="B13" s="1043" t="s">
        <v>3895</v>
      </c>
      <c r="C13" s="1043"/>
      <c r="D13" s="1045" t="s">
        <v>3896</v>
      </c>
      <c r="E13" s="1044"/>
      <c r="F13" s="167"/>
    </row>
    <row r="14" spans="1:6">
      <c r="A14" s="165"/>
      <c r="B14" s="1043" t="s">
        <v>3897</v>
      </c>
      <c r="C14" s="1043"/>
      <c r="D14" s="1045" t="s">
        <v>3898</v>
      </c>
      <c r="E14" s="1044"/>
      <c r="F14" s="167"/>
    </row>
    <row r="15" spans="1:6">
      <c r="A15" s="165"/>
      <c r="B15" s="1043" t="s">
        <v>2844</v>
      </c>
      <c r="C15" s="1043"/>
      <c r="D15" s="1045" t="s">
        <v>2845</v>
      </c>
      <c r="E15" s="1044"/>
      <c r="F15" s="167"/>
    </row>
    <row r="16" spans="1:6">
      <c r="A16" s="165"/>
      <c r="B16" s="1043" t="s">
        <v>1655</v>
      </c>
      <c r="C16" s="1043"/>
      <c r="D16" s="1045" t="s">
        <v>1656</v>
      </c>
      <c r="E16" s="1044"/>
      <c r="F16" s="167"/>
    </row>
    <row r="17" spans="1:6">
      <c r="A17" s="164"/>
      <c r="B17" s="1043" t="s">
        <v>1657</v>
      </c>
      <c r="C17" s="1043"/>
      <c r="D17" s="1045" t="s">
        <v>1658</v>
      </c>
      <c r="E17" s="1044"/>
      <c r="F17" s="167"/>
    </row>
    <row r="18" spans="1:6">
      <c r="A18" s="164"/>
      <c r="B18" s="1043" t="s">
        <v>2030</v>
      </c>
      <c r="C18" s="1043"/>
      <c r="D18" s="1045" t="s">
        <v>3602</v>
      </c>
      <c r="E18" s="1044"/>
      <c r="F18" s="167"/>
    </row>
    <row r="19" spans="1:6">
      <c r="A19" s="164"/>
      <c r="B19" s="1043" t="s">
        <v>4103</v>
      </c>
      <c r="C19" s="1043"/>
      <c r="D19" s="1045" t="s">
        <v>4104</v>
      </c>
      <c r="E19" s="1044"/>
      <c r="F19" s="167"/>
    </row>
    <row r="20" spans="1:6">
      <c r="A20" s="165"/>
      <c r="B20" s="1043" t="s">
        <v>4105</v>
      </c>
      <c r="C20" s="1043"/>
      <c r="D20" s="1045" t="s">
        <v>2064</v>
      </c>
      <c r="E20" s="1044"/>
      <c r="F20" s="167"/>
    </row>
    <row r="21" spans="1:6">
      <c r="A21" s="165"/>
      <c r="B21" s="1043" t="s">
        <v>2065</v>
      </c>
      <c r="C21" s="1043"/>
      <c r="D21" s="1045" t="s">
        <v>2066</v>
      </c>
      <c r="E21" s="1044"/>
      <c r="F21" s="167"/>
    </row>
    <row r="22" spans="1:6">
      <c r="A22" s="165"/>
      <c r="B22" s="1043" t="s">
        <v>2067</v>
      </c>
      <c r="C22" s="1043"/>
      <c r="D22" s="1045" t="s">
        <v>2068</v>
      </c>
      <c r="E22" s="1044"/>
      <c r="F22" s="167"/>
    </row>
    <row r="23" spans="1:6">
      <c r="A23" s="165"/>
      <c r="B23" s="1043" t="s">
        <v>2</v>
      </c>
      <c r="C23" s="1043"/>
      <c r="D23" s="1045" t="s">
        <v>3</v>
      </c>
      <c r="E23" s="1044"/>
      <c r="F23" s="167"/>
    </row>
    <row r="24" spans="1:6">
      <c r="A24" s="165"/>
      <c r="B24" s="1043" t="s">
        <v>3342</v>
      </c>
      <c r="C24" s="1043"/>
      <c r="D24" s="1045" t="s">
        <v>1216</v>
      </c>
      <c r="E24" s="1044"/>
      <c r="F24" s="167"/>
    </row>
    <row r="25" spans="1:6">
      <c r="A25" s="165"/>
      <c r="B25" s="1043" t="s">
        <v>2099</v>
      </c>
      <c r="C25" s="1043"/>
      <c r="D25" s="1045" t="s">
        <v>2100</v>
      </c>
      <c r="E25" s="1044"/>
      <c r="F25" s="167"/>
    </row>
    <row r="26" spans="1:6">
      <c r="A26" s="165"/>
      <c r="B26" s="1043" t="s">
        <v>2101</v>
      </c>
      <c r="C26" s="1043"/>
      <c r="D26" s="1045" t="s">
        <v>2135</v>
      </c>
      <c r="E26" s="1044"/>
      <c r="F26" s="167"/>
    </row>
    <row r="27" spans="1:6">
      <c r="A27" s="169"/>
      <c r="B27" s="1046"/>
      <c r="C27" s="1047"/>
      <c r="D27" s="1048"/>
      <c r="E27" s="1048"/>
      <c r="F27" s="172"/>
    </row>
    <row r="28" spans="1:6">
      <c r="A28" s="165"/>
      <c r="B28" s="1045" t="s">
        <v>4130</v>
      </c>
      <c r="C28" s="1049"/>
      <c r="D28" s="1045" t="s">
        <v>3610</v>
      </c>
      <c r="E28" s="1050"/>
      <c r="F28" s="1051" t="s">
        <v>3611</v>
      </c>
    </row>
    <row r="29" spans="1:6">
      <c r="A29" s="165"/>
      <c r="B29" s="1045" t="s">
        <v>3612</v>
      </c>
      <c r="C29" s="1049"/>
      <c r="D29" s="1045" t="s">
        <v>3613</v>
      </c>
      <c r="E29" s="1050"/>
      <c r="F29" s="1051" t="s">
        <v>3614</v>
      </c>
    </row>
    <row r="30" spans="1:6">
      <c r="A30" s="165"/>
      <c r="B30" s="1045"/>
      <c r="C30" s="1049"/>
      <c r="D30" s="1045" t="s">
        <v>3615</v>
      </c>
      <c r="E30" s="1050"/>
      <c r="F30" s="1051"/>
    </row>
    <row r="31" spans="1:6">
      <c r="A31" s="165"/>
      <c r="B31" s="1045"/>
      <c r="C31" s="1049"/>
      <c r="D31" s="1045" t="s">
        <v>2145</v>
      </c>
      <c r="E31" s="1050"/>
      <c r="F31" s="1051"/>
    </row>
    <row r="32" spans="1:6">
      <c r="A32" s="165"/>
      <c r="B32" s="1045"/>
      <c r="C32" s="1049"/>
      <c r="D32" s="1045" t="s">
        <v>2146</v>
      </c>
      <c r="E32" s="1049"/>
      <c r="F32" s="1562">
        <v>44466</v>
      </c>
    </row>
    <row r="33" spans="1:6">
      <c r="A33" s="165"/>
      <c r="B33" s="1045"/>
      <c r="C33" s="1049"/>
      <c r="D33" s="1045" t="s">
        <v>2147</v>
      </c>
      <c r="E33" s="2408" t="s">
        <v>1572</v>
      </c>
      <c r="F33" s="1052"/>
    </row>
    <row r="34" spans="1:6">
      <c r="A34" s="169"/>
      <c r="B34" s="1048"/>
      <c r="C34" s="1053"/>
      <c r="D34" s="1047" t="s">
        <v>2148</v>
      </c>
      <c r="E34" s="1561"/>
      <c r="F34" s="1054"/>
    </row>
    <row r="35" spans="1:6">
      <c r="A35" s="173"/>
      <c r="B35" s="159"/>
      <c r="C35" s="174" t="s">
        <v>2149</v>
      </c>
      <c r="D35" s="159"/>
      <c r="E35" s="159"/>
      <c r="F35" s="160"/>
    </row>
    <row r="36" spans="1:6">
      <c r="A36" s="247" t="s">
        <v>1727</v>
      </c>
      <c r="B36" s="191"/>
      <c r="C36" s="1042" t="s">
        <v>2150</v>
      </c>
      <c r="D36" s="175"/>
      <c r="E36" s="175"/>
      <c r="F36" s="176"/>
    </row>
    <row r="37" spans="1:6">
      <c r="A37" s="247" t="s">
        <v>1739</v>
      </c>
      <c r="B37" s="191" t="s">
        <v>2151</v>
      </c>
      <c r="C37" s="314" t="s">
        <v>1738</v>
      </c>
      <c r="D37" s="999" t="s">
        <v>2152</v>
      </c>
      <c r="E37" s="269" t="s">
        <v>2153</v>
      </c>
      <c r="F37" s="285"/>
    </row>
    <row r="38" spans="1:6">
      <c r="A38" s="173"/>
      <c r="B38" s="191" t="s">
        <v>2154</v>
      </c>
      <c r="C38" s="314" t="s">
        <v>2155</v>
      </c>
      <c r="D38" s="999" t="s">
        <v>1735</v>
      </c>
      <c r="E38" s="269" t="s">
        <v>1735</v>
      </c>
      <c r="F38" s="285" t="s">
        <v>1737</v>
      </c>
    </row>
    <row r="39" spans="1:6">
      <c r="A39" s="181"/>
      <c r="B39" s="1041" t="s">
        <v>2156</v>
      </c>
      <c r="C39" s="316" t="s">
        <v>3280</v>
      </c>
      <c r="D39" s="1005" t="s">
        <v>3281</v>
      </c>
      <c r="E39" s="326" t="s">
        <v>3282</v>
      </c>
      <c r="F39" s="283" t="s">
        <v>721</v>
      </c>
    </row>
    <row r="40" spans="1:6">
      <c r="A40" s="248" t="s">
        <v>343</v>
      </c>
      <c r="B40" s="1041" t="s">
        <v>2157</v>
      </c>
      <c r="C40" s="1295"/>
      <c r="D40" s="1296">
        <v>47781</v>
      </c>
      <c r="E40" s="175"/>
      <c r="F40" s="186"/>
    </row>
    <row r="41" spans="1:6">
      <c r="A41" s="248" t="s">
        <v>344</v>
      </c>
      <c r="B41" s="1041" t="s">
        <v>1458</v>
      </c>
      <c r="C41" s="316"/>
      <c r="D41" s="1005"/>
      <c r="E41" s="175"/>
      <c r="F41" s="186"/>
    </row>
    <row r="42" spans="1:6">
      <c r="A42" s="247" t="s">
        <v>345</v>
      </c>
      <c r="B42" s="191" t="s">
        <v>1414</v>
      </c>
      <c r="C42" s="314"/>
      <c r="D42" s="179"/>
      <c r="E42" s="177"/>
      <c r="F42" s="180"/>
    </row>
    <row r="43" spans="1:6">
      <c r="A43" s="187"/>
      <c r="B43" s="175" t="s">
        <v>3235</v>
      </c>
      <c r="C43" s="184"/>
      <c r="D43" s="185"/>
      <c r="E43" s="175"/>
      <c r="F43" s="186"/>
    </row>
    <row r="44" spans="1:6" ht="20.100000000000001" customHeight="1">
      <c r="A44" s="247" t="s">
        <v>346</v>
      </c>
      <c r="B44" s="177"/>
      <c r="C44" s="178"/>
      <c r="D44" s="179"/>
      <c r="E44" s="177"/>
      <c r="F44" s="180"/>
    </row>
    <row r="45" spans="1:6" ht="20.100000000000001" customHeight="1">
      <c r="A45" s="247" t="s">
        <v>347</v>
      </c>
      <c r="B45" s="177" t="s">
        <v>5124</v>
      </c>
      <c r="C45" s="178"/>
      <c r="D45" s="2372">
        <v>47781</v>
      </c>
      <c r="E45" s="177"/>
      <c r="F45" s="180"/>
    </row>
    <row r="46" spans="1:6" ht="20.100000000000001" customHeight="1">
      <c r="A46" s="247" t="s">
        <v>348</v>
      </c>
      <c r="B46" s="177"/>
      <c r="C46" s="178"/>
      <c r="D46" s="179"/>
      <c r="E46" s="177"/>
      <c r="F46" s="180"/>
    </row>
    <row r="47" spans="1:6" ht="20.100000000000001" customHeight="1">
      <c r="A47" s="247" t="s">
        <v>349</v>
      </c>
      <c r="B47" s="177"/>
      <c r="C47" s="178"/>
      <c r="D47" s="179"/>
      <c r="E47" s="177"/>
      <c r="F47" s="180"/>
    </row>
    <row r="48" spans="1:6" ht="20.100000000000001" customHeight="1">
      <c r="A48" s="247" t="s">
        <v>350</v>
      </c>
      <c r="B48" s="177" t="s">
        <v>5125</v>
      </c>
      <c r="C48" s="188"/>
      <c r="D48" s="189"/>
      <c r="E48" s="159"/>
      <c r="F48" s="190"/>
    </row>
    <row r="49" spans="1:6" ht="20.100000000000001" customHeight="1">
      <c r="A49" s="247" t="s">
        <v>351</v>
      </c>
      <c r="B49" s="177" t="s">
        <v>4894</v>
      </c>
      <c r="C49" s="178"/>
      <c r="D49" s="179"/>
      <c r="E49" s="177"/>
      <c r="F49" s="180"/>
    </row>
    <row r="50" spans="1:6" ht="20.100000000000001" customHeight="1">
      <c r="A50" s="247" t="s">
        <v>352</v>
      </c>
      <c r="B50" s="177" t="s">
        <v>4895</v>
      </c>
      <c r="C50" s="178"/>
      <c r="D50" s="179"/>
      <c r="E50" s="177"/>
      <c r="F50" s="180"/>
    </row>
    <row r="51" spans="1:6" ht="20.100000000000001" customHeight="1">
      <c r="A51" s="247" t="s">
        <v>353</v>
      </c>
      <c r="B51" s="177"/>
      <c r="C51" s="178"/>
      <c r="D51" s="179"/>
      <c r="E51" s="177"/>
      <c r="F51" s="180"/>
    </row>
    <row r="52" spans="1:6" ht="20.100000000000001" customHeight="1">
      <c r="A52" s="247" t="s">
        <v>354</v>
      </c>
      <c r="B52" s="177"/>
      <c r="C52" s="178"/>
      <c r="D52" s="179"/>
      <c r="E52" s="177"/>
      <c r="F52" s="180"/>
    </row>
    <row r="53" spans="1:6" ht="20.100000000000001" customHeight="1">
      <c r="A53" s="247" t="s">
        <v>355</v>
      </c>
      <c r="B53" s="191"/>
      <c r="C53" s="178"/>
      <c r="D53" s="179"/>
      <c r="E53" s="177"/>
      <c r="F53" s="180"/>
    </row>
    <row r="54" spans="1:6" ht="20.100000000000001" customHeight="1">
      <c r="A54" s="247" t="s">
        <v>356</v>
      </c>
      <c r="B54" s="191"/>
      <c r="C54" s="178"/>
      <c r="D54" s="179"/>
      <c r="E54" s="177"/>
      <c r="F54" s="180"/>
    </row>
    <row r="55" spans="1:6" ht="20.100000000000001" customHeight="1" thickBot="1">
      <c r="A55" s="262" t="s">
        <v>357</v>
      </c>
      <c r="B55" s="193"/>
      <c r="C55" s="194"/>
      <c r="D55" s="195"/>
      <c r="E55" s="196"/>
      <c r="F55" s="197"/>
    </row>
    <row r="56" spans="1:6">
      <c r="A56" s="86" t="s">
        <v>2024</v>
      </c>
      <c r="B56" s="191"/>
      <c r="C56" s="177"/>
      <c r="D56" s="177"/>
      <c r="E56" s="177"/>
      <c r="F56" s="177"/>
    </row>
    <row r="57" spans="1:6">
      <c r="A57" s="159" t="s">
        <v>3236</v>
      </c>
      <c r="B57" s="159"/>
      <c r="C57" s="159"/>
      <c r="D57" s="159"/>
      <c r="E57" s="159"/>
      <c r="F57" s="159"/>
    </row>
    <row r="58" spans="1:6">
      <c r="A58" s="159"/>
      <c r="B58" s="159"/>
      <c r="C58" s="159"/>
      <c r="D58" s="159"/>
      <c r="E58" s="159"/>
      <c r="F58" s="159"/>
    </row>
    <row r="59" spans="1:6">
      <c r="A59" s="159"/>
      <c r="B59" s="159"/>
      <c r="C59" s="159"/>
      <c r="D59" s="159"/>
      <c r="E59" s="159"/>
      <c r="F59" s="159"/>
    </row>
    <row r="60" spans="1:6" ht="15.75" thickBot="1">
      <c r="A60" s="159" t="str">
        <f>'Data sheet'!A63</f>
        <v>Annual Report of Veolia Water New York, Inc.                                                                             Year Ended  December 31, 2023</v>
      </c>
      <c r="B60" s="159"/>
      <c r="C60" s="159"/>
      <c r="D60" s="159"/>
      <c r="E60" s="159"/>
      <c r="F60" s="159"/>
    </row>
    <row r="61" spans="1:6">
      <c r="A61" s="155"/>
      <c r="B61" s="156"/>
      <c r="C61" s="156"/>
      <c r="D61" s="156"/>
      <c r="E61" s="156"/>
      <c r="F61" s="157"/>
    </row>
    <row r="62" spans="1:6" ht="15.75">
      <c r="A62" s="158" t="s">
        <v>3237</v>
      </c>
      <c r="B62" s="159"/>
      <c r="C62" s="159"/>
      <c r="D62" s="159"/>
      <c r="E62" s="159"/>
      <c r="F62" s="160"/>
    </row>
    <row r="63" spans="1:6">
      <c r="A63" s="161"/>
      <c r="B63" s="162"/>
      <c r="C63" s="162"/>
      <c r="D63" s="162"/>
      <c r="E63" s="162"/>
      <c r="F63" s="163"/>
    </row>
    <row r="64" spans="1:6">
      <c r="A64" s="247" t="s">
        <v>1727</v>
      </c>
      <c r="B64" s="269" t="s">
        <v>2151</v>
      </c>
      <c r="C64" s="314" t="s">
        <v>1738</v>
      </c>
      <c r="D64" s="999" t="s">
        <v>2152</v>
      </c>
      <c r="E64" s="269" t="s">
        <v>2153</v>
      </c>
      <c r="F64" s="285"/>
    </row>
    <row r="65" spans="1:6">
      <c r="A65" s="247" t="s">
        <v>1739</v>
      </c>
      <c r="B65" s="269" t="s">
        <v>2154</v>
      </c>
      <c r="C65" s="314" t="s">
        <v>2155</v>
      </c>
      <c r="D65" s="999" t="s">
        <v>1735</v>
      </c>
      <c r="E65" s="269" t="s">
        <v>1735</v>
      </c>
      <c r="F65" s="285" t="s">
        <v>1737</v>
      </c>
    </row>
    <row r="66" spans="1:6">
      <c r="A66" s="181"/>
      <c r="B66" s="326" t="s">
        <v>2156</v>
      </c>
      <c r="C66" s="316" t="s">
        <v>3280</v>
      </c>
      <c r="D66" s="1005" t="s">
        <v>3281</v>
      </c>
      <c r="E66" s="326" t="s">
        <v>3282</v>
      </c>
      <c r="F66" s="283" t="s">
        <v>721</v>
      </c>
    </row>
    <row r="67" spans="1:6" ht="20.100000000000001" customHeight="1">
      <c r="A67" s="247" t="s">
        <v>358</v>
      </c>
      <c r="B67" s="177"/>
      <c r="C67" s="178"/>
      <c r="D67" s="179"/>
      <c r="E67" s="177"/>
      <c r="F67" s="180"/>
    </row>
    <row r="68" spans="1:6" ht="20.100000000000001" customHeight="1">
      <c r="A68" s="247" t="s">
        <v>359</v>
      </c>
      <c r="B68" s="177"/>
      <c r="C68" s="178"/>
      <c r="D68" s="179"/>
      <c r="E68" s="177"/>
      <c r="F68" s="180"/>
    </row>
    <row r="69" spans="1:6" ht="20.100000000000001" customHeight="1">
      <c r="A69" s="247" t="s">
        <v>360</v>
      </c>
      <c r="B69" s="177"/>
      <c r="C69" s="178"/>
      <c r="D69" s="179"/>
      <c r="E69" s="177"/>
      <c r="F69" s="180"/>
    </row>
    <row r="70" spans="1:6" ht="20.100000000000001" customHeight="1">
      <c r="A70" s="247" t="s">
        <v>361</v>
      </c>
      <c r="B70" s="177"/>
      <c r="C70" s="178"/>
      <c r="D70" s="179"/>
      <c r="E70" s="177"/>
      <c r="F70" s="180"/>
    </row>
    <row r="71" spans="1:6" ht="20.100000000000001" customHeight="1">
      <c r="A71" s="247" t="s">
        <v>362</v>
      </c>
      <c r="B71" s="177"/>
      <c r="C71" s="178"/>
      <c r="D71" s="179"/>
      <c r="E71" s="177"/>
      <c r="F71" s="180"/>
    </row>
    <row r="72" spans="1:6" ht="20.100000000000001" customHeight="1">
      <c r="A72" s="247" t="s">
        <v>363</v>
      </c>
      <c r="B72" s="177"/>
      <c r="C72" s="178"/>
      <c r="D72" s="179"/>
      <c r="E72" s="177"/>
      <c r="F72" s="180"/>
    </row>
    <row r="73" spans="1:6" ht="20.100000000000001" customHeight="1">
      <c r="A73" s="247" t="s">
        <v>364</v>
      </c>
      <c r="B73" s="177"/>
      <c r="C73" s="178"/>
      <c r="D73" s="179"/>
      <c r="E73" s="177"/>
      <c r="F73" s="180"/>
    </row>
    <row r="74" spans="1:6" ht="20.100000000000001" customHeight="1">
      <c r="A74" s="247" t="s">
        <v>3238</v>
      </c>
      <c r="B74" s="177"/>
      <c r="C74" s="178"/>
      <c r="D74" s="179"/>
      <c r="E74" s="177"/>
      <c r="F74" s="180"/>
    </row>
    <row r="75" spans="1:6" ht="20.100000000000001" customHeight="1">
      <c r="A75" s="247" t="s">
        <v>3239</v>
      </c>
      <c r="B75" s="177"/>
      <c r="C75" s="188"/>
      <c r="D75" s="189"/>
      <c r="E75" s="159"/>
      <c r="F75" s="190"/>
    </row>
    <row r="76" spans="1:6" ht="20.100000000000001" customHeight="1">
      <c r="A76" s="247" t="s">
        <v>3240</v>
      </c>
      <c r="B76" s="177"/>
      <c r="C76" s="178"/>
      <c r="D76" s="179"/>
      <c r="E76" s="177"/>
      <c r="F76" s="180"/>
    </row>
    <row r="77" spans="1:6" ht="20.100000000000001" customHeight="1">
      <c r="A77" s="247" t="s">
        <v>3241</v>
      </c>
      <c r="B77" s="177"/>
      <c r="C77" s="178"/>
      <c r="D77" s="179"/>
      <c r="E77" s="177"/>
      <c r="F77" s="180"/>
    </row>
    <row r="78" spans="1:6" ht="20.100000000000001" customHeight="1">
      <c r="A78" s="247" t="s">
        <v>3242</v>
      </c>
      <c r="B78" s="177"/>
      <c r="C78" s="178"/>
      <c r="D78" s="179"/>
      <c r="E78" s="177"/>
      <c r="F78" s="180"/>
    </row>
    <row r="79" spans="1:6" ht="20.100000000000001" customHeight="1">
      <c r="A79" s="247" t="s">
        <v>3243</v>
      </c>
      <c r="B79" s="177"/>
      <c r="C79" s="178"/>
      <c r="D79" s="179"/>
      <c r="E79" s="177"/>
      <c r="F79" s="180"/>
    </row>
    <row r="80" spans="1:6" ht="20.100000000000001" customHeight="1">
      <c r="A80" s="247" t="s">
        <v>3244</v>
      </c>
      <c r="B80" s="177"/>
      <c r="C80" s="178"/>
      <c r="D80" s="179"/>
      <c r="E80" s="177"/>
      <c r="F80" s="180"/>
    </row>
    <row r="81" spans="1:6" ht="20.100000000000001" customHeight="1">
      <c r="A81" s="247" t="s">
        <v>3245</v>
      </c>
      <c r="B81" s="177"/>
      <c r="C81" s="178"/>
      <c r="D81" s="179"/>
      <c r="E81" s="177"/>
      <c r="F81" s="180"/>
    </row>
    <row r="82" spans="1:6" ht="20.100000000000001" customHeight="1">
      <c r="A82" s="247" t="s">
        <v>3246</v>
      </c>
      <c r="B82" s="177"/>
      <c r="C82" s="178"/>
      <c r="D82" s="179"/>
      <c r="E82" s="177"/>
      <c r="F82" s="180"/>
    </row>
    <row r="83" spans="1:6" ht="20.100000000000001" customHeight="1">
      <c r="A83" s="247" t="s">
        <v>3247</v>
      </c>
      <c r="B83" s="177"/>
      <c r="C83" s="178"/>
      <c r="D83" s="179"/>
      <c r="E83" s="177"/>
      <c r="F83" s="180"/>
    </row>
    <row r="84" spans="1:6" ht="20.100000000000001" customHeight="1">
      <c r="A84" s="247" t="s">
        <v>3248</v>
      </c>
      <c r="B84" s="177"/>
      <c r="C84" s="178"/>
      <c r="D84" s="179"/>
      <c r="E84" s="177"/>
      <c r="F84" s="180"/>
    </row>
    <row r="85" spans="1:6" ht="20.100000000000001" customHeight="1">
      <c r="A85" s="247" t="s">
        <v>3249</v>
      </c>
      <c r="B85" s="177"/>
      <c r="C85" s="178"/>
      <c r="D85" s="179"/>
      <c r="E85" s="177"/>
      <c r="F85" s="180"/>
    </row>
    <row r="86" spans="1:6" ht="20.100000000000001" customHeight="1">
      <c r="A86" s="247" t="s">
        <v>3250</v>
      </c>
      <c r="B86" s="177"/>
      <c r="C86" s="178"/>
      <c r="D86" s="179"/>
      <c r="E86" s="177"/>
      <c r="F86" s="180"/>
    </row>
    <row r="87" spans="1:6" ht="20.100000000000001" customHeight="1">
      <c r="A87" s="247" t="s">
        <v>3251</v>
      </c>
      <c r="B87" s="177"/>
      <c r="C87" s="178"/>
      <c r="D87" s="179"/>
      <c r="E87" s="177"/>
      <c r="F87" s="180"/>
    </row>
    <row r="88" spans="1:6" ht="20.100000000000001" customHeight="1">
      <c r="A88" s="247" t="s">
        <v>3252</v>
      </c>
      <c r="B88" s="177"/>
      <c r="C88" s="178"/>
      <c r="D88" s="179"/>
      <c r="E88" s="177"/>
      <c r="F88" s="180"/>
    </row>
    <row r="89" spans="1:6" ht="20.100000000000001" customHeight="1">
      <c r="A89" s="247" t="s">
        <v>3253</v>
      </c>
      <c r="B89" s="177"/>
      <c r="C89" s="178"/>
      <c r="D89" s="179"/>
      <c r="E89" s="177"/>
      <c r="F89" s="180"/>
    </row>
    <row r="90" spans="1:6" ht="20.100000000000001" customHeight="1">
      <c r="A90" s="247" t="s">
        <v>3254</v>
      </c>
      <c r="B90" s="177"/>
      <c r="C90" s="178"/>
      <c r="D90" s="179"/>
      <c r="E90" s="177"/>
      <c r="F90" s="180"/>
    </row>
    <row r="91" spans="1:6" ht="20.100000000000001" customHeight="1">
      <c r="A91" s="247" t="s">
        <v>3255</v>
      </c>
      <c r="B91" s="177"/>
      <c r="C91" s="178"/>
      <c r="D91" s="179"/>
      <c r="E91" s="177"/>
      <c r="F91" s="180"/>
    </row>
    <row r="92" spans="1:6" ht="20.100000000000001" customHeight="1">
      <c r="A92" s="247" t="s">
        <v>3256</v>
      </c>
      <c r="B92" s="177"/>
      <c r="C92" s="178"/>
      <c r="D92" s="179"/>
      <c r="E92" s="177"/>
      <c r="F92" s="180"/>
    </row>
    <row r="93" spans="1:6" ht="20.100000000000001" customHeight="1">
      <c r="A93" s="247" t="s">
        <v>3257</v>
      </c>
      <c r="B93" s="177"/>
      <c r="C93" s="178"/>
      <c r="D93" s="179"/>
      <c r="E93" s="177"/>
      <c r="F93" s="180"/>
    </row>
    <row r="94" spans="1:6" ht="20.100000000000001" customHeight="1">
      <c r="A94" s="247" t="s">
        <v>3258</v>
      </c>
      <c r="B94" s="177"/>
      <c r="C94" s="178"/>
      <c r="D94" s="179"/>
      <c r="E94" s="177"/>
      <c r="F94" s="180"/>
    </row>
    <row r="95" spans="1:6" ht="20.100000000000001" customHeight="1">
      <c r="A95" s="247" t="s">
        <v>3259</v>
      </c>
      <c r="B95" s="177"/>
      <c r="C95" s="178"/>
      <c r="D95" s="179"/>
      <c r="E95" s="177"/>
      <c r="F95" s="180"/>
    </row>
    <row r="96" spans="1:6" ht="20.100000000000001" customHeight="1">
      <c r="A96" s="247" t="s">
        <v>3260</v>
      </c>
      <c r="B96" s="177"/>
      <c r="C96" s="178"/>
      <c r="D96" s="179"/>
      <c r="E96" s="177"/>
      <c r="F96" s="180"/>
    </row>
    <row r="97" spans="1:6" ht="20.100000000000001" customHeight="1">
      <c r="A97" s="247" t="s">
        <v>3261</v>
      </c>
      <c r="B97" s="177"/>
      <c r="C97" s="178"/>
      <c r="D97" s="179"/>
      <c r="E97" s="177"/>
      <c r="F97" s="180"/>
    </row>
    <row r="98" spans="1:6" ht="20.100000000000001" customHeight="1">
      <c r="A98" s="247" t="s">
        <v>3262</v>
      </c>
      <c r="B98" s="177"/>
      <c r="C98" s="178"/>
      <c r="D98" s="179"/>
      <c r="E98" s="177"/>
      <c r="F98" s="180"/>
    </row>
    <row r="99" spans="1:6" ht="20.100000000000001" customHeight="1">
      <c r="A99" s="247" t="s">
        <v>3263</v>
      </c>
      <c r="B99" s="177"/>
      <c r="C99" s="178"/>
      <c r="D99" s="179"/>
      <c r="E99" s="177"/>
      <c r="F99" s="180"/>
    </row>
    <row r="100" spans="1:6" ht="20.100000000000001" customHeight="1">
      <c r="A100" s="247" t="s">
        <v>3264</v>
      </c>
      <c r="B100" s="177"/>
      <c r="C100" s="178"/>
      <c r="D100" s="179"/>
      <c r="E100" s="177"/>
      <c r="F100" s="180"/>
    </row>
    <row r="101" spans="1:6" ht="20.100000000000001" customHeight="1">
      <c r="A101" s="248" t="s">
        <v>3265</v>
      </c>
      <c r="B101" s="175"/>
      <c r="C101" s="184"/>
      <c r="D101" s="185"/>
      <c r="E101" s="175"/>
      <c r="F101" s="186"/>
    </row>
    <row r="102" spans="1:6">
      <c r="A102" s="85"/>
      <c r="B102" s="86"/>
      <c r="C102" s="86"/>
      <c r="D102" s="86"/>
      <c r="E102" s="86"/>
      <c r="F102" s="87"/>
    </row>
    <row r="103" spans="1:6">
      <c r="A103" s="85"/>
      <c r="B103" s="86"/>
      <c r="C103" s="86"/>
      <c r="D103" s="86"/>
      <c r="E103" s="86"/>
      <c r="F103" s="87"/>
    </row>
    <row r="104" spans="1:6">
      <c r="A104" s="85"/>
      <c r="B104" s="86"/>
      <c r="C104" s="86"/>
      <c r="D104" s="86"/>
      <c r="E104" s="86"/>
      <c r="F104" s="87"/>
    </row>
    <row r="105" spans="1:6">
      <c r="A105" s="85"/>
      <c r="B105" s="86"/>
      <c r="C105" s="86"/>
      <c r="D105" s="86"/>
      <c r="E105" s="86"/>
      <c r="F105" s="87"/>
    </row>
    <row r="106" spans="1:6">
      <c r="A106" s="85"/>
      <c r="B106" s="86"/>
      <c r="C106" s="86"/>
      <c r="D106" s="86"/>
      <c r="E106" s="86"/>
      <c r="F106" s="87"/>
    </row>
    <row r="107" spans="1:6">
      <c r="A107" s="85"/>
      <c r="B107" s="86"/>
      <c r="C107" s="86"/>
      <c r="D107" s="86"/>
      <c r="E107" s="86"/>
      <c r="F107" s="87"/>
    </row>
    <row r="108" spans="1:6">
      <c r="A108" s="85"/>
      <c r="B108" s="86"/>
      <c r="C108" s="86"/>
      <c r="D108" s="86"/>
      <c r="E108" s="86"/>
      <c r="F108" s="87"/>
    </row>
    <row r="109" spans="1:6">
      <c r="A109" s="85"/>
      <c r="B109" s="86"/>
      <c r="C109" s="86"/>
      <c r="D109" s="86"/>
      <c r="E109" s="86"/>
      <c r="F109" s="87"/>
    </row>
    <row r="110" spans="1:6">
      <c r="A110" s="85"/>
      <c r="B110" s="86"/>
      <c r="C110" s="86"/>
      <c r="D110" s="86"/>
      <c r="E110" s="86"/>
      <c r="F110" s="87"/>
    </row>
    <row r="111" spans="1:6">
      <c r="A111" s="85"/>
      <c r="B111" s="86"/>
      <c r="C111" s="86"/>
      <c r="D111" s="86"/>
      <c r="E111" s="86"/>
      <c r="F111" s="87"/>
    </row>
    <row r="112" spans="1:6">
      <c r="A112" s="85"/>
      <c r="B112" s="86"/>
      <c r="C112" s="86"/>
      <c r="D112" s="86"/>
      <c r="E112" s="86"/>
      <c r="F112" s="87"/>
    </row>
    <row r="113" spans="1:6" ht="15.75" thickBot="1">
      <c r="A113" s="154"/>
      <c r="B113" s="113"/>
      <c r="C113" s="113"/>
      <c r="D113" s="113"/>
      <c r="E113" s="113"/>
      <c r="F113" s="116"/>
    </row>
    <row r="114" spans="1:6">
      <c r="A114" s="86" t="s">
        <v>2024</v>
      </c>
      <c r="B114" s="86"/>
      <c r="C114" s="86"/>
      <c r="D114" s="86"/>
      <c r="E114" s="86"/>
    </row>
    <row r="115" spans="1:6">
      <c r="A115" s="5" t="s">
        <v>3266</v>
      </c>
      <c r="B115" s="5"/>
      <c r="C115" s="5"/>
      <c r="D115" s="5"/>
      <c r="E115" s="5"/>
      <c r="F115" s="5"/>
    </row>
    <row r="116" spans="1:6">
      <c r="A116" s="5"/>
      <c r="B116" s="5"/>
      <c r="C116" s="5"/>
      <c r="D116" s="5"/>
      <c r="E116" s="5"/>
      <c r="F116" s="5"/>
    </row>
    <row r="117" spans="1:6">
      <c r="A117" s="5"/>
      <c r="B117" s="5"/>
      <c r="C117" s="5"/>
      <c r="D117" s="5"/>
      <c r="E117" s="5"/>
      <c r="F117" s="5"/>
    </row>
    <row r="118" spans="1:6">
      <c r="A118" s="5"/>
      <c r="B118" s="5"/>
      <c r="C118" s="5"/>
      <c r="D118" s="5"/>
      <c r="E118" s="5"/>
      <c r="F118" s="5"/>
    </row>
    <row r="119" spans="1:6">
      <c r="A119" s="86"/>
      <c r="B119" s="86"/>
      <c r="C119" s="86"/>
      <c r="D119" s="86"/>
      <c r="E119" s="86"/>
      <c r="F119" s="86"/>
    </row>
    <row r="120" spans="1:6">
      <c r="A120" s="86"/>
      <c r="B120" s="86"/>
      <c r="C120" s="86"/>
      <c r="D120" s="86"/>
      <c r="E120" s="86"/>
      <c r="F120" s="86"/>
    </row>
    <row r="121" spans="1:6">
      <c r="A121" s="86"/>
      <c r="B121" s="86"/>
      <c r="C121" s="177"/>
      <c r="D121" s="177"/>
      <c r="E121" s="177"/>
      <c r="F121" s="177"/>
    </row>
    <row r="122" spans="1:6">
      <c r="A122" s="86"/>
      <c r="B122" s="86"/>
      <c r="C122" s="177"/>
      <c r="D122" s="177"/>
      <c r="E122" s="177"/>
      <c r="F122" s="177"/>
    </row>
    <row r="123" spans="1:6">
      <c r="A123" s="86"/>
      <c r="B123" s="86"/>
      <c r="C123" s="177"/>
      <c r="D123" s="177"/>
      <c r="E123" s="177"/>
      <c r="F123" s="177"/>
    </row>
    <row r="124" spans="1:6">
      <c r="A124" s="86"/>
      <c r="B124" s="86"/>
      <c r="C124" s="177"/>
      <c r="D124" s="177"/>
      <c r="E124" s="177"/>
      <c r="F124" s="177"/>
    </row>
    <row r="125" spans="1:6">
      <c r="A125" s="86"/>
      <c r="B125" s="86"/>
      <c r="C125" s="177"/>
      <c r="D125" s="177"/>
      <c r="E125" s="177"/>
      <c r="F125" s="177"/>
    </row>
    <row r="126" spans="1:6">
      <c r="A126" s="86"/>
      <c r="B126" s="86"/>
      <c r="C126" s="177"/>
      <c r="D126" s="177"/>
      <c r="E126" s="177"/>
      <c r="F126" s="177"/>
    </row>
    <row r="127" spans="1:6">
      <c r="A127" s="86"/>
      <c r="B127" s="86"/>
      <c r="C127" s="177"/>
      <c r="D127" s="177"/>
      <c r="E127" s="177"/>
      <c r="F127" s="177"/>
    </row>
    <row r="128" spans="1:6">
      <c r="A128" s="86"/>
      <c r="B128" s="86"/>
      <c r="C128" s="177"/>
      <c r="D128" s="177"/>
      <c r="E128" s="177"/>
      <c r="F128" s="177"/>
    </row>
    <row r="129" spans="1:6">
      <c r="A129" s="86"/>
      <c r="B129" s="86"/>
      <c r="C129" s="177"/>
      <c r="D129" s="177"/>
      <c r="E129" s="177"/>
      <c r="F129" s="177"/>
    </row>
  </sheetData>
  <phoneticPr fontId="0" type="noConversion"/>
  <printOptions horizontalCentered="1" verticalCentered="1"/>
  <pageMargins left="0.4" right="0.4" top="0.3" bottom="0.3" header="0" footer="0"/>
  <pageSetup scale="67" orientation="portrait" r:id="rId1"/>
  <headerFooter alignWithMargins="0"/>
  <rowBreaks count="1" manualBreakCount="1">
    <brk id="59" max="1638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ransitionEvaluation="1" codeName="Sheet88">
    <pageSetUpPr fitToPage="1"/>
  </sheetPr>
  <dimension ref="A1:Q54"/>
  <sheetViews>
    <sheetView defaultGridColor="0" colorId="22" zoomScaleNormal="100" workbookViewId="0">
      <pane xSplit="2" ySplit="18" topLeftCell="C19" activePane="bottomRight" state="frozen"/>
      <selection activeCell="S32" sqref="S32"/>
      <selection pane="topRight" activeCell="S32" sqref="S32"/>
      <selection pane="bottomLeft" activeCell="S32" sqref="S32"/>
      <selection pane="bottomRight"/>
    </sheetView>
  </sheetViews>
  <sheetFormatPr defaultColWidth="9.77734375" defaultRowHeight="15"/>
  <cols>
    <col min="1" max="2" width="7.77734375" customWidth="1"/>
    <col min="3" max="3" width="10.77734375" customWidth="1"/>
    <col min="4" max="4" width="12.77734375" customWidth="1"/>
    <col min="5" max="5" width="11.44140625" customWidth="1"/>
    <col min="6" max="6" width="13.88671875" bestFit="1" customWidth="1"/>
    <col min="7" max="7" width="8.33203125" customWidth="1"/>
    <col min="10" max="10" width="10.77734375" customWidth="1"/>
    <col min="16" max="16" width="10.6640625" bestFit="1" customWidth="1"/>
    <col min="17" max="17" width="3.109375" bestFit="1" customWidth="1"/>
    <col min="18" max="18" width="4.109375" customWidth="1"/>
    <col min="19" max="19" width="11" bestFit="1" customWidth="1"/>
    <col min="20" max="20" width="5.5546875" bestFit="1" customWidth="1"/>
  </cols>
  <sheetData>
    <row r="1" spans="1:16" ht="16.5" thickBot="1">
      <c r="A1" t="str">
        <f>'Data sheet'!A69</f>
        <v>Annual Report of Veolia Water New York, Inc.                                                                                                                   Year Ended  December 31, 2023</v>
      </c>
      <c r="E1" s="16"/>
      <c r="F1" s="16"/>
      <c r="G1" s="16"/>
      <c r="H1" s="16"/>
      <c r="I1" s="16"/>
      <c r="J1" s="16"/>
      <c r="K1" s="16"/>
      <c r="L1" s="16"/>
      <c r="M1" s="16"/>
      <c r="N1" s="16"/>
      <c r="O1" s="3"/>
    </row>
    <row r="2" spans="1:16">
      <c r="A2" s="80"/>
      <c r="B2" s="81"/>
      <c r="C2" s="81"/>
      <c r="D2" s="81"/>
      <c r="E2" s="81"/>
      <c r="F2" s="81"/>
      <c r="G2" s="81"/>
      <c r="H2" s="81"/>
      <c r="I2" s="81"/>
      <c r="J2" s="81"/>
      <c r="K2" s="81"/>
      <c r="L2" s="81"/>
      <c r="M2" s="81"/>
      <c r="N2" s="81"/>
      <c r="O2" s="81"/>
      <c r="P2" s="82"/>
    </row>
    <row r="3" spans="1:16" ht="15.75">
      <c r="A3" s="118" t="s">
        <v>546</v>
      </c>
      <c r="B3" s="4"/>
      <c r="C3" s="4"/>
      <c r="D3" s="4"/>
      <c r="E3" s="4"/>
      <c r="F3" s="4"/>
      <c r="G3" s="4"/>
      <c r="H3" s="4"/>
      <c r="I3" s="4"/>
      <c r="J3" s="4"/>
      <c r="K3" s="4"/>
      <c r="L3" s="4"/>
      <c r="M3" s="4"/>
      <c r="N3" s="4"/>
      <c r="O3" s="4"/>
      <c r="P3" s="119"/>
    </row>
    <row r="4" spans="1:16">
      <c r="A4" s="83"/>
      <c r="P4" s="214"/>
    </row>
    <row r="5" spans="1:16">
      <c r="A5" s="2865" t="s">
        <v>547</v>
      </c>
      <c r="B5" s="2869"/>
      <c r="C5" s="2869"/>
      <c r="D5" s="2869"/>
      <c r="E5" s="2869"/>
      <c r="F5" s="2869"/>
      <c r="G5" s="2869"/>
      <c r="J5" s="977" t="s">
        <v>1076</v>
      </c>
      <c r="P5" s="214"/>
    </row>
    <row r="6" spans="1:16">
      <c r="A6" s="2865" t="s">
        <v>1077</v>
      </c>
      <c r="B6" s="2869"/>
      <c r="C6" s="2869"/>
      <c r="D6" s="2869"/>
      <c r="E6" s="2869"/>
      <c r="F6" s="2869"/>
      <c r="G6" s="2869"/>
      <c r="J6" s="977"/>
      <c r="P6" s="214"/>
    </row>
    <row r="7" spans="1:16">
      <c r="A7" s="2865" t="s">
        <v>1078</v>
      </c>
      <c r="B7" s="2869"/>
      <c r="C7" s="2869"/>
      <c r="D7" s="2869"/>
      <c r="E7" s="2869"/>
      <c r="F7" s="2869"/>
      <c r="G7" s="2869"/>
      <c r="J7" s="977" t="s">
        <v>4118</v>
      </c>
      <c r="P7" s="214"/>
    </row>
    <row r="8" spans="1:16" ht="15.75">
      <c r="A8" s="1167"/>
      <c r="B8" s="977"/>
      <c r="C8" s="977"/>
      <c r="D8" s="977"/>
      <c r="E8" s="977"/>
      <c r="F8" s="977"/>
      <c r="G8" s="977"/>
      <c r="J8" s="977" t="s">
        <v>4119</v>
      </c>
      <c r="P8" s="214"/>
    </row>
    <row r="9" spans="1:16">
      <c r="A9" s="2865" t="s">
        <v>4120</v>
      </c>
      <c r="B9" s="2869"/>
      <c r="C9" s="2869"/>
      <c r="D9" s="2869"/>
      <c r="E9" s="2869"/>
      <c r="F9" s="2869"/>
      <c r="G9" s="2869"/>
      <c r="J9" s="977" t="s">
        <v>4121</v>
      </c>
      <c r="P9" s="214"/>
    </row>
    <row r="10" spans="1:16">
      <c r="A10" s="123"/>
      <c r="B10" s="224"/>
      <c r="C10" s="224"/>
      <c r="D10" s="224"/>
      <c r="E10" s="224"/>
      <c r="F10" s="224"/>
      <c r="G10" s="224"/>
      <c r="H10" s="224"/>
      <c r="I10" s="224"/>
      <c r="J10" s="224"/>
      <c r="K10" s="224"/>
      <c r="L10" s="224"/>
      <c r="M10" s="224"/>
      <c r="N10" s="224"/>
      <c r="O10" s="224"/>
      <c r="P10" s="225"/>
    </row>
    <row r="11" spans="1:16">
      <c r="A11" s="123"/>
      <c r="B11" s="224"/>
      <c r="C11" s="224"/>
      <c r="D11" s="224"/>
      <c r="E11" s="563"/>
      <c r="F11" s="563"/>
      <c r="G11" s="563"/>
      <c r="H11" s="563"/>
      <c r="I11" s="563"/>
      <c r="J11" s="563"/>
      <c r="K11" s="864"/>
      <c r="L11" s="224"/>
      <c r="M11" s="224"/>
      <c r="N11" s="224"/>
      <c r="O11" s="224"/>
      <c r="P11" s="225"/>
    </row>
    <row r="12" spans="1:16">
      <c r="A12" s="479"/>
      <c r="B12" s="227"/>
      <c r="C12" s="913" t="s">
        <v>3305</v>
      </c>
      <c r="E12" s="2885" t="s">
        <v>2772</v>
      </c>
      <c r="F12" s="2886"/>
      <c r="G12" s="2886"/>
      <c r="H12" s="2886"/>
      <c r="I12" s="2886"/>
      <c r="J12" s="1248"/>
      <c r="K12" s="864"/>
      <c r="L12" s="2887" t="s">
        <v>1616</v>
      </c>
      <c r="M12" s="2888"/>
      <c r="N12" s="2888"/>
      <c r="O12" s="2889"/>
      <c r="P12" s="214" t="s">
        <v>3900</v>
      </c>
    </row>
    <row r="13" spans="1:16">
      <c r="A13" s="479"/>
      <c r="B13" s="227"/>
      <c r="C13" s="914"/>
      <c r="D13" s="861"/>
      <c r="E13" s="457"/>
      <c r="F13" t="s">
        <v>3901</v>
      </c>
      <c r="G13" s="864"/>
      <c r="H13" t="s">
        <v>3902</v>
      </c>
      <c r="I13" s="864"/>
      <c r="J13" t="s">
        <v>3903</v>
      </c>
      <c r="K13" s="864"/>
      <c r="L13" s="797"/>
      <c r="M13" s="797"/>
      <c r="N13" s="797"/>
      <c r="O13" s="861"/>
      <c r="P13" s="727" t="s">
        <v>3904</v>
      </c>
    </row>
    <row r="14" spans="1:16" ht="18">
      <c r="A14" s="479"/>
      <c r="B14" s="227"/>
      <c r="C14" s="227"/>
      <c r="D14" s="227"/>
      <c r="E14" s="712" t="s">
        <v>1008</v>
      </c>
      <c r="F14" s="856"/>
      <c r="G14" s="856" t="s">
        <v>3904</v>
      </c>
      <c r="H14" s="856"/>
      <c r="I14" s="2217" t="s">
        <v>3904</v>
      </c>
      <c r="J14" s="2217"/>
      <c r="K14" s="2217" t="s">
        <v>3904</v>
      </c>
      <c r="L14" s="2218" t="s">
        <v>3905</v>
      </c>
      <c r="M14" s="2218" t="s">
        <v>3906</v>
      </c>
      <c r="N14" s="2218" t="s">
        <v>3907</v>
      </c>
      <c r="O14" s="2218" t="s">
        <v>4593</v>
      </c>
      <c r="P14" s="727" t="s">
        <v>3908</v>
      </c>
    </row>
    <row r="15" spans="1:16" ht="18">
      <c r="A15" s="479" t="s">
        <v>2048</v>
      </c>
      <c r="B15" s="726" t="s">
        <v>135</v>
      </c>
      <c r="C15" s="726" t="s">
        <v>136</v>
      </c>
      <c r="D15" s="726" t="s">
        <v>137</v>
      </c>
      <c r="E15" s="714" t="s">
        <v>1003</v>
      </c>
      <c r="F15" s="726" t="s">
        <v>1604</v>
      </c>
      <c r="G15" s="726" t="s">
        <v>1604</v>
      </c>
      <c r="H15" s="726" t="s">
        <v>1604</v>
      </c>
      <c r="I15" s="2218" t="s">
        <v>4594</v>
      </c>
      <c r="J15" s="2218" t="s">
        <v>4595</v>
      </c>
      <c r="K15" s="2218" t="s">
        <v>4659</v>
      </c>
      <c r="L15" s="2218" t="s">
        <v>1605</v>
      </c>
      <c r="M15" s="2218" t="s">
        <v>1606</v>
      </c>
      <c r="N15" s="2218" t="s">
        <v>4660</v>
      </c>
      <c r="O15" s="2218"/>
      <c r="P15" s="727" t="s">
        <v>1607</v>
      </c>
    </row>
    <row r="16" spans="1:16">
      <c r="A16" s="479"/>
      <c r="B16" s="227"/>
      <c r="C16" s="227"/>
      <c r="D16" s="227"/>
      <c r="E16" s="726"/>
      <c r="F16" s="726"/>
      <c r="G16" s="726"/>
      <c r="H16" s="726"/>
      <c r="I16" s="726"/>
      <c r="J16" s="726"/>
      <c r="K16" s="726"/>
      <c r="L16" s="726"/>
      <c r="M16" s="726"/>
      <c r="N16" s="726"/>
      <c r="O16" s="726"/>
      <c r="P16" s="214"/>
    </row>
    <row r="17" spans="1:17">
      <c r="A17" s="479" t="s">
        <v>2051</v>
      </c>
      <c r="B17" s="227"/>
      <c r="C17" s="726" t="s">
        <v>1608</v>
      </c>
      <c r="D17" s="726" t="s">
        <v>1609</v>
      </c>
      <c r="E17" s="726" t="s">
        <v>1610</v>
      </c>
      <c r="F17" s="726" t="s">
        <v>1608</v>
      </c>
      <c r="G17" s="726" t="s">
        <v>1608</v>
      </c>
      <c r="H17" s="726" t="s">
        <v>1608</v>
      </c>
      <c r="I17" s="726" t="s">
        <v>1608</v>
      </c>
      <c r="J17" s="726" t="s">
        <v>1608</v>
      </c>
      <c r="K17" s="726" t="s">
        <v>1608</v>
      </c>
      <c r="L17" s="726" t="s">
        <v>1608</v>
      </c>
      <c r="M17" s="726" t="s">
        <v>1608</v>
      </c>
      <c r="N17" s="726" t="s">
        <v>1608</v>
      </c>
      <c r="O17" s="726" t="s">
        <v>1608</v>
      </c>
      <c r="P17" s="727" t="s">
        <v>1608</v>
      </c>
    </row>
    <row r="18" spans="1:17">
      <c r="A18" s="567"/>
      <c r="B18" s="861" t="s">
        <v>3279</v>
      </c>
      <c r="C18" s="861" t="s">
        <v>1611</v>
      </c>
      <c r="D18" s="861" t="s">
        <v>1612</v>
      </c>
      <c r="E18" s="861" t="s">
        <v>1613</v>
      </c>
      <c r="F18" s="861" t="s">
        <v>721</v>
      </c>
      <c r="G18" s="861" t="s">
        <v>722</v>
      </c>
      <c r="H18" s="861" t="s">
        <v>723</v>
      </c>
      <c r="I18" s="861" t="s">
        <v>335</v>
      </c>
      <c r="J18" s="861" t="s">
        <v>336</v>
      </c>
      <c r="K18" s="861" t="s">
        <v>337</v>
      </c>
      <c r="L18" s="861" t="s">
        <v>338</v>
      </c>
      <c r="M18" s="861" t="s">
        <v>339</v>
      </c>
      <c r="N18" s="861" t="s">
        <v>778</v>
      </c>
      <c r="O18" s="861" t="s">
        <v>779</v>
      </c>
      <c r="P18" s="792" t="s">
        <v>780</v>
      </c>
    </row>
    <row r="19" spans="1:17">
      <c r="A19" s="479">
        <v>1</v>
      </c>
      <c r="B19" s="227" t="s">
        <v>4539</v>
      </c>
      <c r="C19" s="577"/>
      <c r="D19" s="577">
        <v>788598.49999999988</v>
      </c>
      <c r="E19" s="577"/>
      <c r="F19" s="577">
        <v>624368</v>
      </c>
      <c r="G19" s="577"/>
      <c r="H19" s="577"/>
      <c r="I19" s="577">
        <v>9774.8562499999989</v>
      </c>
      <c r="J19" s="577">
        <v>476.48036000000002</v>
      </c>
      <c r="K19" s="577">
        <v>667.5</v>
      </c>
      <c r="L19" s="577"/>
      <c r="M19" s="577"/>
      <c r="N19" s="577">
        <v>2553.2181818181821</v>
      </c>
      <c r="O19" s="577"/>
      <c r="P19" s="427">
        <f>D19+E19-F19-I19-J19-K19-N19</f>
        <v>150758.44520818171</v>
      </c>
    </row>
    <row r="20" spans="1:17">
      <c r="A20" s="479">
        <v>2</v>
      </c>
      <c r="B20" s="227" t="s">
        <v>4540</v>
      </c>
      <c r="C20" s="1774"/>
      <c r="D20" s="577">
        <v>725329.7</v>
      </c>
      <c r="E20" s="577"/>
      <c r="F20" s="577">
        <v>603019.99999999988</v>
      </c>
      <c r="G20" s="577"/>
      <c r="H20" s="577"/>
      <c r="I20" s="577">
        <v>8969.6837500000001</v>
      </c>
      <c r="J20" s="577">
        <v>510.08499999999998</v>
      </c>
      <c r="K20" s="577">
        <v>621.04999999999995</v>
      </c>
      <c r="L20" s="577"/>
      <c r="M20" s="577"/>
      <c r="N20" s="577">
        <v>2942.9636363636369</v>
      </c>
      <c r="O20" s="577"/>
      <c r="P20" s="427">
        <f t="shared" ref="P20:P30" si="0">D20+E20-F20-I20-J20-K20-N20</f>
        <v>109265.91761363643</v>
      </c>
    </row>
    <row r="21" spans="1:17">
      <c r="A21" s="479">
        <v>3</v>
      </c>
      <c r="B21" s="227" t="s">
        <v>4541</v>
      </c>
      <c r="C21" s="1278"/>
      <c r="D21" s="577">
        <v>797247.90000000014</v>
      </c>
      <c r="E21" s="1985"/>
      <c r="F21" s="1985">
        <v>551903</v>
      </c>
      <c r="G21" s="1985"/>
      <c r="H21" s="1985"/>
      <c r="I21" s="1985">
        <v>9780.6462500000016</v>
      </c>
      <c r="J21" s="1985">
        <v>511.27528000000001</v>
      </c>
      <c r="K21" s="1985">
        <v>779.29</v>
      </c>
      <c r="L21" s="1985"/>
      <c r="M21" s="1985"/>
      <c r="N21" s="1985">
        <v>5391.4666666666662</v>
      </c>
      <c r="O21" s="1985"/>
      <c r="P21" s="427">
        <f t="shared" si="0"/>
        <v>228882.22180333346</v>
      </c>
    </row>
    <row r="22" spans="1:17">
      <c r="A22" s="479">
        <v>4</v>
      </c>
      <c r="B22" s="227" t="s">
        <v>4542</v>
      </c>
      <c r="C22" s="1278"/>
      <c r="D22" s="577">
        <v>806064.10000000009</v>
      </c>
      <c r="E22" s="1985"/>
      <c r="F22" s="1985">
        <v>599852</v>
      </c>
      <c r="G22" s="1985"/>
      <c r="H22" s="1985"/>
      <c r="I22" s="1985">
        <v>9789.3037500000009</v>
      </c>
      <c r="J22" s="1985">
        <v>504.34204</v>
      </c>
      <c r="K22" s="1985">
        <v>850.01</v>
      </c>
      <c r="L22" s="1985"/>
      <c r="M22" s="1985"/>
      <c r="N22" s="1985">
        <v>2532.48</v>
      </c>
      <c r="O22" s="1985"/>
      <c r="P22" s="427">
        <f t="shared" si="0"/>
        <v>192535.96421000009</v>
      </c>
    </row>
    <row r="23" spans="1:17">
      <c r="A23" s="479">
        <v>5</v>
      </c>
      <c r="B23" s="227" t="s">
        <v>4543</v>
      </c>
      <c r="C23" s="1278"/>
      <c r="D23" s="577">
        <v>965619.6</v>
      </c>
      <c r="E23" s="1985"/>
      <c r="F23" s="1985">
        <v>618585</v>
      </c>
      <c r="G23" s="1985"/>
      <c r="H23" s="1985"/>
      <c r="I23" s="1985">
        <v>11100.477500000003</v>
      </c>
      <c r="J23" s="1985">
        <v>506.82952</v>
      </c>
      <c r="K23" s="1985">
        <v>1541.0050000000001</v>
      </c>
      <c r="L23" s="1985"/>
      <c r="M23" s="1985"/>
      <c r="N23" s="1985">
        <v>9536.64</v>
      </c>
      <c r="O23" s="1985"/>
      <c r="P23" s="427">
        <f t="shared" si="0"/>
        <v>324349.64797999995</v>
      </c>
    </row>
    <row r="24" spans="1:17">
      <c r="A24" s="479">
        <v>6</v>
      </c>
      <c r="B24" s="227" t="s">
        <v>4544</v>
      </c>
      <c r="C24" s="1278"/>
      <c r="D24" s="577">
        <v>1014488.6000000001</v>
      </c>
      <c r="E24" s="1985"/>
      <c r="F24" s="1985">
        <v>775071.00000000012</v>
      </c>
      <c r="G24" s="1985"/>
      <c r="H24" s="1985"/>
      <c r="I24" s="1985">
        <v>11196.192500000001</v>
      </c>
      <c r="J24" s="1985">
        <v>516.66607999999997</v>
      </c>
      <c r="K24" s="1985">
        <v>1990.915</v>
      </c>
      <c r="L24" s="1985"/>
      <c r="M24" s="1985"/>
      <c r="N24" s="1985">
        <v>1961.916666666667</v>
      </c>
      <c r="O24" s="1985"/>
      <c r="P24" s="427">
        <f t="shared" si="0"/>
        <v>223751.90975333331</v>
      </c>
    </row>
    <row r="25" spans="1:17">
      <c r="A25" s="479">
        <v>7</v>
      </c>
      <c r="B25" t="s">
        <v>4545</v>
      </c>
      <c r="C25" s="582"/>
      <c r="D25" s="508">
        <v>990133.20000000019</v>
      </c>
      <c r="E25" s="1985"/>
      <c r="F25" s="1985">
        <v>823619</v>
      </c>
      <c r="G25" s="1985"/>
      <c r="H25" s="1985"/>
      <c r="I25" s="1985">
        <v>10851.928500000004</v>
      </c>
      <c r="J25" s="1985">
        <v>538.68579999999997</v>
      </c>
      <c r="K25" s="1985">
        <v>2056.3490000000002</v>
      </c>
      <c r="L25" s="1985"/>
      <c r="M25" s="1985"/>
      <c r="N25" s="1985">
        <v>3316.4249999999993</v>
      </c>
      <c r="O25" s="1985"/>
      <c r="P25" s="427">
        <f t="shared" si="0"/>
        <v>149750.81170000019</v>
      </c>
    </row>
    <row r="26" spans="1:17">
      <c r="A26" s="479">
        <v>8</v>
      </c>
      <c r="B26" s="227" t="s">
        <v>4546</v>
      </c>
      <c r="C26" s="1278"/>
      <c r="D26" s="577">
        <v>985491.3</v>
      </c>
      <c r="E26" s="577"/>
      <c r="F26" s="577">
        <v>800233</v>
      </c>
      <c r="G26" s="577"/>
      <c r="H26" s="577"/>
      <c r="I26" s="577">
        <v>11109.732750000001</v>
      </c>
      <c r="J26" s="577">
        <v>515.05948000000001</v>
      </c>
      <c r="K26" s="577">
        <v>1748.0710000000001</v>
      </c>
      <c r="L26" s="577"/>
      <c r="M26" s="577"/>
      <c r="N26" s="577">
        <v>10215.299999999999</v>
      </c>
      <c r="O26" s="577"/>
      <c r="P26" s="427">
        <f t="shared" si="0"/>
        <v>161670.13677000007</v>
      </c>
    </row>
    <row r="27" spans="1:17">
      <c r="A27" s="479">
        <v>9</v>
      </c>
      <c r="B27" s="227" t="s">
        <v>4547</v>
      </c>
      <c r="C27" s="1278"/>
      <c r="D27" s="577">
        <v>898210.3</v>
      </c>
      <c r="E27" s="577"/>
      <c r="F27" s="577">
        <v>762278</v>
      </c>
      <c r="G27" s="577"/>
      <c r="H27" s="577"/>
      <c r="I27" s="577">
        <v>10537.98875</v>
      </c>
      <c r="J27" s="577">
        <v>508.77427999999998</v>
      </c>
      <c r="K27" s="577">
        <v>1213.5650000000001</v>
      </c>
      <c r="L27" s="577"/>
      <c r="M27" s="577"/>
      <c r="N27" s="577">
        <v>4545.833333333333</v>
      </c>
      <c r="O27" s="577"/>
      <c r="P27" s="427">
        <f t="shared" si="0"/>
        <v>119126.13863666671</v>
      </c>
    </row>
    <row r="28" spans="1:17">
      <c r="A28" s="479">
        <v>10</v>
      </c>
      <c r="B28" s="227" t="s">
        <v>4548</v>
      </c>
      <c r="C28" s="1278"/>
      <c r="D28" s="577">
        <v>832388.2</v>
      </c>
      <c r="E28" s="1985"/>
      <c r="F28" s="1985">
        <v>739890</v>
      </c>
      <c r="G28" s="1985"/>
      <c r="H28" s="1985"/>
      <c r="I28" s="1985">
        <v>9719.4745000000021</v>
      </c>
      <c r="J28" s="1985">
        <v>506.20859999999999</v>
      </c>
      <c r="K28" s="1985">
        <v>1253.1280000000002</v>
      </c>
      <c r="L28" s="1985"/>
      <c r="M28" s="1985"/>
      <c r="N28" s="1985">
        <v>1870.9600000000003</v>
      </c>
      <c r="O28" s="1985"/>
      <c r="P28" s="427">
        <f t="shared" si="0"/>
        <v>79148.428899999955</v>
      </c>
    </row>
    <row r="29" spans="1:17">
      <c r="A29" s="479">
        <v>11</v>
      </c>
      <c r="B29" s="227" t="s">
        <v>4549</v>
      </c>
      <c r="C29" s="1278"/>
      <c r="D29" s="577">
        <v>775073.49999999988</v>
      </c>
      <c r="E29" s="1985"/>
      <c r="F29" s="1986">
        <v>667414</v>
      </c>
      <c r="G29" s="1986"/>
      <c r="H29" s="1986"/>
      <c r="I29" s="1986">
        <v>9597.3812500000004</v>
      </c>
      <c r="J29" s="1986">
        <v>513.23947999999996</v>
      </c>
      <c r="K29" s="1986">
        <v>653.25</v>
      </c>
      <c r="L29" s="1986"/>
      <c r="M29" s="1986"/>
      <c r="N29" s="1986">
        <v>1568.7692307692307</v>
      </c>
      <c r="O29" s="1986"/>
      <c r="P29" s="427">
        <f t="shared" si="0"/>
        <v>95326.86003923064</v>
      </c>
    </row>
    <row r="30" spans="1:17">
      <c r="A30" s="479">
        <v>12</v>
      </c>
      <c r="B30" s="227" t="s">
        <v>4550</v>
      </c>
      <c r="C30" s="1278"/>
      <c r="D30" s="577">
        <v>808904</v>
      </c>
      <c r="E30" s="1985"/>
      <c r="F30" s="1985">
        <v>577378</v>
      </c>
      <c r="G30" s="1985"/>
      <c r="H30" s="1985"/>
      <c r="I30" s="1985">
        <v>10019.337500000001</v>
      </c>
      <c r="J30" s="1985">
        <v>507.31687999999997</v>
      </c>
      <c r="K30" s="1985">
        <v>679.42499999999995</v>
      </c>
      <c r="L30" s="1985"/>
      <c r="M30" s="1985"/>
      <c r="N30" s="1985">
        <v>1583.5238095238096</v>
      </c>
      <c r="O30" s="1985"/>
      <c r="P30" s="427">
        <f t="shared" si="0"/>
        <v>218736.3968104762</v>
      </c>
    </row>
    <row r="31" spans="1:17">
      <c r="A31" s="479">
        <v>13</v>
      </c>
      <c r="B31" s="864" t="s">
        <v>1614</v>
      </c>
      <c r="C31" s="716">
        <f t="shared" ref="C31:P31" si="1">SUM(C19:C30)</f>
        <v>0</v>
      </c>
      <c r="D31" s="716">
        <f t="shared" si="1"/>
        <v>10387548.9</v>
      </c>
      <c r="E31" s="716">
        <f t="shared" si="1"/>
        <v>0</v>
      </c>
      <c r="F31" s="716">
        <f t="shared" si="1"/>
        <v>8143611</v>
      </c>
      <c r="G31" s="716">
        <f t="shared" si="1"/>
        <v>0</v>
      </c>
      <c r="H31" s="716">
        <f t="shared" si="1"/>
        <v>0</v>
      </c>
      <c r="I31" s="716">
        <f t="shared" si="1"/>
        <v>122447.00325000001</v>
      </c>
      <c r="J31" s="716">
        <f t="shared" si="1"/>
        <v>6114.9628000000002</v>
      </c>
      <c r="K31" s="716">
        <f t="shared" si="1"/>
        <v>14053.558000000001</v>
      </c>
      <c r="L31" s="716">
        <f t="shared" si="1"/>
        <v>0</v>
      </c>
      <c r="M31" s="716">
        <f t="shared" si="1"/>
        <v>0</v>
      </c>
      <c r="N31" s="716">
        <f t="shared" si="1"/>
        <v>48019.496525141534</v>
      </c>
      <c r="O31" s="716">
        <f t="shared" si="1"/>
        <v>0</v>
      </c>
      <c r="P31" s="602">
        <f t="shared" si="1"/>
        <v>2053302.8794248588</v>
      </c>
      <c r="Q31" s="622" t="str">
        <f>IF(ROUND(F31,0)=ROUND('300'!F32,0),"ok","error")</f>
        <v>ok</v>
      </c>
    </row>
    <row r="32" spans="1:17">
      <c r="A32" s="916"/>
      <c r="B32" s="434"/>
      <c r="C32" s="434"/>
      <c r="D32" s="175" t="s">
        <v>1615</v>
      </c>
      <c r="E32" s="1253"/>
      <c r="F32" s="1253"/>
      <c r="G32" s="1253"/>
      <c r="H32" s="1253"/>
      <c r="I32" s="1253"/>
      <c r="J32" s="1253"/>
      <c r="K32" s="1253"/>
      <c r="L32" s="1253"/>
      <c r="M32" s="1253"/>
      <c r="N32" s="1253"/>
      <c r="O32" s="1253"/>
      <c r="P32" s="1968"/>
    </row>
    <row r="33" spans="1:16">
      <c r="A33" s="1135" t="s">
        <v>4620</v>
      </c>
      <c r="B33" s="1135"/>
      <c r="C33" s="432"/>
      <c r="D33" s="357"/>
      <c r="E33" s="784"/>
      <c r="F33" s="784"/>
      <c r="G33" s="784"/>
      <c r="H33" s="784"/>
      <c r="I33" s="784"/>
      <c r="J33" s="784"/>
      <c r="K33" s="784"/>
      <c r="L33" s="784"/>
      <c r="M33" s="784"/>
      <c r="N33" s="784"/>
      <c r="O33" s="784"/>
      <c r="P33" s="694"/>
    </row>
    <row r="34" spans="1:16">
      <c r="A34" s="1135" t="s">
        <v>4614</v>
      </c>
      <c r="B34" s="1155"/>
      <c r="C34" s="1155"/>
      <c r="D34" s="1155"/>
      <c r="E34" s="784"/>
      <c r="F34" s="784"/>
      <c r="G34" s="784"/>
      <c r="H34" s="784"/>
      <c r="I34" s="784"/>
      <c r="J34" s="784"/>
      <c r="K34" s="784"/>
      <c r="L34" s="784"/>
      <c r="M34" s="784"/>
      <c r="N34" s="784"/>
      <c r="O34" s="784"/>
      <c r="P34" s="694"/>
    </row>
    <row r="35" spans="1:16">
      <c r="A35" s="1135"/>
      <c r="B35" s="1155"/>
      <c r="C35" s="1155"/>
      <c r="D35" s="1155"/>
      <c r="E35" s="432"/>
      <c r="F35" s="784"/>
      <c r="G35" s="784"/>
      <c r="H35" s="432"/>
      <c r="I35" s="432"/>
      <c r="J35" s="432"/>
      <c r="K35" s="432"/>
      <c r="L35" s="432"/>
      <c r="M35" s="432"/>
      <c r="N35" s="432"/>
      <c r="O35" s="432"/>
      <c r="P35" s="694"/>
    </row>
    <row r="36" spans="1:16">
      <c r="A36" s="1135" t="s">
        <v>4615</v>
      </c>
      <c r="B36" s="1155"/>
      <c r="C36" s="1155"/>
      <c r="D36" s="1155"/>
      <c r="E36" s="784"/>
      <c r="F36" s="784"/>
      <c r="G36" s="784"/>
      <c r="H36" s="784"/>
      <c r="I36" s="784"/>
      <c r="J36" s="784"/>
      <c r="K36" s="784"/>
      <c r="L36" s="784"/>
      <c r="M36" s="784"/>
      <c r="N36" s="784"/>
      <c r="O36" s="784"/>
      <c r="P36" s="694"/>
    </row>
    <row r="37" spans="1:16">
      <c r="A37" s="1135" t="s">
        <v>4616</v>
      </c>
      <c r="B37" s="1155"/>
      <c r="C37" s="1155"/>
      <c r="D37" s="1155"/>
      <c r="E37" s="432"/>
      <c r="F37" s="432"/>
      <c r="G37" s="432"/>
      <c r="H37" s="432"/>
      <c r="I37" s="432"/>
      <c r="J37" s="432"/>
      <c r="K37" s="432"/>
      <c r="L37" s="432"/>
      <c r="M37" s="432"/>
      <c r="N37" s="432"/>
      <c r="O37" s="432"/>
      <c r="P37" s="694"/>
    </row>
    <row r="38" spans="1:16">
      <c r="A38" s="1135"/>
      <c r="B38" s="1155"/>
      <c r="C38" s="1155"/>
      <c r="D38" s="1155"/>
      <c r="E38" s="784"/>
      <c r="F38" s="784"/>
      <c r="G38" s="784"/>
      <c r="H38" s="784"/>
      <c r="I38" s="784"/>
      <c r="J38" s="784"/>
      <c r="K38" s="784"/>
      <c r="L38" s="784"/>
      <c r="M38" s="784"/>
      <c r="N38" s="784"/>
      <c r="O38" s="784"/>
      <c r="P38" s="694"/>
    </row>
    <row r="39" spans="1:16">
      <c r="A39" s="2177" t="s">
        <v>4617</v>
      </c>
      <c r="B39" s="1155"/>
      <c r="C39" s="1155"/>
      <c r="D39" s="1155"/>
      <c r="E39" s="784"/>
      <c r="F39" s="784"/>
      <c r="G39" s="784"/>
      <c r="H39" s="784"/>
      <c r="I39" s="784"/>
      <c r="J39" s="784"/>
      <c r="K39" s="784"/>
      <c r="L39" s="784"/>
      <c r="M39" s="784"/>
      <c r="N39" s="784"/>
      <c r="O39" s="784"/>
      <c r="P39" s="694"/>
    </row>
    <row r="40" spans="1:16">
      <c r="A40" s="1135" t="s">
        <v>4618</v>
      </c>
      <c r="B40" s="1155"/>
      <c r="C40" s="1155"/>
      <c r="D40" s="1155"/>
      <c r="E40" s="788"/>
      <c r="F40" s="788"/>
      <c r="G40" s="788"/>
      <c r="H40" s="788"/>
      <c r="I40" s="788"/>
      <c r="J40" s="788"/>
      <c r="K40" s="788"/>
      <c r="L40" s="788"/>
      <c r="M40" s="788"/>
      <c r="N40" s="788"/>
      <c r="O40" s="788"/>
      <c r="P40" s="694"/>
    </row>
    <row r="41" spans="1:16">
      <c r="A41" s="1135"/>
      <c r="B41" s="1155"/>
      <c r="C41" s="1155"/>
      <c r="D41" s="1155"/>
      <c r="E41" s="788"/>
      <c r="F41" s="788"/>
      <c r="G41" s="788"/>
      <c r="H41" s="788"/>
      <c r="I41" s="788"/>
      <c r="J41" s="788"/>
      <c r="K41" s="788"/>
      <c r="L41" s="788"/>
      <c r="M41" s="788"/>
      <c r="N41" s="788"/>
      <c r="O41" s="788"/>
      <c r="P41" s="694"/>
    </row>
    <row r="42" spans="1:16">
      <c r="A42" s="1135" t="s">
        <v>4621</v>
      </c>
      <c r="B42" s="1155"/>
      <c r="C42" s="1155"/>
      <c r="D42" s="1155"/>
      <c r="E42" s="788"/>
      <c r="F42" s="788"/>
      <c r="G42" s="788"/>
      <c r="H42" s="788"/>
      <c r="I42" s="788"/>
      <c r="J42" s="788"/>
      <c r="K42" s="788"/>
      <c r="L42" s="788"/>
      <c r="M42" s="788"/>
      <c r="N42" s="788"/>
      <c r="O42" s="788"/>
      <c r="P42" s="694"/>
    </row>
    <row r="43" spans="1:16">
      <c r="A43" s="1135" t="s">
        <v>4619</v>
      </c>
      <c r="B43" s="1155"/>
      <c r="C43" s="1155"/>
      <c r="D43" s="1155"/>
      <c r="E43" s="788"/>
      <c r="F43" s="788"/>
      <c r="G43" s="788"/>
      <c r="H43" s="788"/>
      <c r="I43" s="788"/>
      <c r="J43" s="788"/>
      <c r="K43" s="788"/>
      <c r="L43" s="788"/>
      <c r="M43" s="788"/>
      <c r="N43" s="788"/>
      <c r="O43" s="788"/>
      <c r="P43" s="694"/>
    </row>
    <row r="44" spans="1:16">
      <c r="A44" s="1135"/>
      <c r="B44" s="1155"/>
      <c r="C44" s="1155"/>
      <c r="D44" s="1155"/>
      <c r="E44" s="788"/>
      <c r="F44" s="788"/>
      <c r="G44" s="788"/>
      <c r="H44" s="788"/>
      <c r="I44" s="788"/>
      <c r="J44" s="788"/>
      <c r="K44" s="788"/>
      <c r="L44" s="788"/>
      <c r="M44" s="788"/>
      <c r="N44" s="788"/>
      <c r="O44" s="788"/>
      <c r="P44" s="694"/>
    </row>
    <row r="45" spans="1:16">
      <c r="A45" s="1135" t="s">
        <v>5311</v>
      </c>
      <c r="B45" s="1155"/>
      <c r="C45" s="1155"/>
      <c r="D45" s="1155"/>
      <c r="E45" s="788"/>
      <c r="F45" s="788"/>
      <c r="G45" s="788"/>
      <c r="H45" s="788"/>
      <c r="I45" s="788"/>
      <c r="J45" s="788"/>
      <c r="K45" s="788"/>
      <c r="L45" s="788"/>
      <c r="M45" s="788"/>
      <c r="N45" s="788"/>
      <c r="O45" s="788"/>
      <c r="P45" s="694"/>
    </row>
    <row r="46" spans="1:16">
      <c r="A46" s="2215"/>
      <c r="B46" s="2216"/>
      <c r="C46" s="1155"/>
      <c r="D46" s="1155"/>
      <c r="E46" s="788"/>
      <c r="F46" s="788"/>
      <c r="G46" s="788"/>
      <c r="H46" s="788"/>
      <c r="I46" s="788"/>
      <c r="J46" s="788"/>
      <c r="K46" s="788"/>
      <c r="L46" s="788"/>
      <c r="M46" s="788"/>
      <c r="N46" s="788"/>
      <c r="O46" s="788"/>
      <c r="P46" s="694"/>
    </row>
    <row r="47" spans="1:16">
      <c r="A47" s="2215" t="s">
        <v>5312</v>
      </c>
      <c r="B47" s="2216"/>
      <c r="C47" s="1155"/>
      <c r="D47" s="1155"/>
      <c r="E47" s="788"/>
      <c r="F47" s="788"/>
      <c r="G47" s="788"/>
      <c r="H47" s="788"/>
      <c r="I47" s="788"/>
      <c r="J47" s="788"/>
      <c r="K47" s="788"/>
      <c r="L47" s="788"/>
      <c r="M47" s="788"/>
      <c r="N47" s="788"/>
      <c r="O47" s="788"/>
      <c r="P47" s="694"/>
    </row>
    <row r="48" spans="1:16" ht="15.75" thickBot="1">
      <c r="A48" s="698"/>
      <c r="B48" s="917"/>
      <c r="C48" s="917"/>
      <c r="D48" s="917"/>
      <c r="E48" s="918"/>
      <c r="F48" s="918"/>
      <c r="G48" s="918"/>
      <c r="H48" s="918"/>
      <c r="I48" s="918"/>
      <c r="J48" s="918"/>
      <c r="K48" s="918"/>
      <c r="L48" s="918"/>
      <c r="M48" s="918"/>
      <c r="N48" s="918"/>
      <c r="O48" s="918"/>
      <c r="P48" s="870"/>
    </row>
    <row r="49" spans="1:16">
      <c r="A49" s="919" t="s">
        <v>3233</v>
      </c>
      <c r="B49" s="432"/>
      <c r="C49" s="432"/>
      <c r="D49" s="432"/>
      <c r="E49" s="788"/>
      <c r="F49" s="788"/>
      <c r="G49" s="788"/>
      <c r="H49" s="788"/>
      <c r="I49" s="788"/>
      <c r="J49" s="788"/>
      <c r="K49" s="788"/>
      <c r="L49" s="788"/>
      <c r="M49" s="788"/>
      <c r="N49" s="788"/>
      <c r="P49" s="788"/>
    </row>
    <row r="50" spans="1:16">
      <c r="A50" s="920" t="s">
        <v>331</v>
      </c>
      <c r="B50" s="539"/>
      <c r="C50" s="539"/>
      <c r="D50" s="539"/>
      <c r="E50" s="921"/>
      <c r="F50" s="921"/>
      <c r="G50" s="921"/>
      <c r="H50" s="4"/>
      <c r="I50" s="4"/>
      <c r="J50" s="921"/>
      <c r="K50" s="921"/>
      <c r="L50" s="921"/>
      <c r="M50" s="921"/>
      <c r="N50" s="921"/>
      <c r="O50" s="4"/>
      <c r="P50" s="921"/>
    </row>
    <row r="51" spans="1:16">
      <c r="A51" s="357"/>
      <c r="B51" s="432"/>
      <c r="C51" s="432"/>
      <c r="D51" s="786"/>
      <c r="E51" s="787"/>
      <c r="F51" s="787"/>
      <c r="G51" s="787"/>
      <c r="H51" s="787"/>
      <c r="I51" s="787"/>
      <c r="J51" s="787"/>
      <c r="K51" s="787"/>
      <c r="L51" s="787"/>
      <c r="M51" s="787"/>
      <c r="N51" s="787"/>
      <c r="O51" s="787"/>
      <c r="P51" s="787"/>
    </row>
    <row r="54" spans="1:16">
      <c r="F54" s="140"/>
    </row>
  </sheetData>
  <mergeCells count="6">
    <mergeCell ref="A5:G5"/>
    <mergeCell ref="E12:I12"/>
    <mergeCell ref="L12:O12"/>
    <mergeCell ref="A6:G6"/>
    <mergeCell ref="A7:G7"/>
    <mergeCell ref="A9:G9"/>
  </mergeCells>
  <phoneticPr fontId="0" type="noConversion"/>
  <printOptions horizontalCentered="1" verticalCentered="1"/>
  <pageMargins left="0.25" right="0.25" top="0.25" bottom="0.25" header="0" footer="0"/>
  <pageSetup scale="6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transitionEvaluation="1" codeName="Sheet89">
    <pageSetUpPr fitToPage="1"/>
  </sheetPr>
  <dimension ref="A1:AF1566"/>
  <sheetViews>
    <sheetView defaultGridColor="0" colorId="22" zoomScaleNormal="100" workbookViewId="0">
      <selection activeCell="L23" sqref="L23"/>
    </sheetView>
  </sheetViews>
  <sheetFormatPr defaultColWidth="9.77734375" defaultRowHeight="15"/>
  <cols>
    <col min="1" max="1" width="4.77734375" customWidth="1"/>
    <col min="2" max="2" width="16.77734375" customWidth="1"/>
    <col min="4" max="4" width="13.77734375" customWidth="1"/>
    <col min="5" max="5" width="7.77734375" customWidth="1"/>
    <col min="6" max="6" width="11" customWidth="1"/>
    <col min="7" max="7" width="7.77734375" customWidth="1"/>
    <col min="8" max="8" width="7.109375" bestFit="1" customWidth="1"/>
    <col min="9" max="9" width="13.21875" customWidth="1"/>
    <col min="10" max="10" width="11.88671875" customWidth="1"/>
    <col min="11" max="11" width="10.21875" bestFit="1" customWidth="1"/>
    <col min="13" max="13" width="11.77734375" customWidth="1"/>
    <col min="14" max="14" width="10.77734375" customWidth="1"/>
  </cols>
  <sheetData>
    <row r="1" spans="1:32" ht="15.75" thickBot="1">
      <c r="A1" s="86" t="str">
        <f>'Data sheet'!A69</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row>
    <row r="2" spans="1:32">
      <c r="A2" s="677"/>
      <c r="B2" s="678"/>
      <c r="C2" s="678"/>
      <c r="D2" s="678"/>
      <c r="E2" s="678"/>
      <c r="F2" s="678"/>
      <c r="G2" s="678"/>
      <c r="H2" s="678"/>
      <c r="I2" s="678"/>
      <c r="J2" s="678"/>
      <c r="K2" s="678"/>
      <c r="L2" s="678"/>
      <c r="M2" s="678"/>
      <c r="N2" s="679"/>
      <c r="O2" s="86"/>
      <c r="P2" s="86"/>
      <c r="Q2" s="86"/>
      <c r="R2" s="86"/>
      <c r="S2" s="86"/>
      <c r="T2" s="86"/>
      <c r="U2" s="86"/>
      <c r="V2" s="86"/>
      <c r="W2" s="86"/>
      <c r="X2" s="86"/>
      <c r="Y2" s="86"/>
      <c r="Z2" s="86"/>
      <c r="AA2" s="86"/>
      <c r="AB2" s="86"/>
      <c r="AC2" s="86"/>
      <c r="AD2" s="86"/>
      <c r="AE2" s="86"/>
      <c r="AF2" s="86"/>
    </row>
    <row r="3" spans="1:32" ht="15.75">
      <c r="A3" s="328" t="s">
        <v>332</v>
      </c>
      <c r="B3" s="539"/>
      <c r="C3" s="539"/>
      <c r="D3" s="539"/>
      <c r="E3" s="5"/>
      <c r="F3" s="539"/>
      <c r="G3" s="539"/>
      <c r="H3" s="539"/>
      <c r="I3" s="539"/>
      <c r="J3" s="539"/>
      <c r="K3" s="539"/>
      <c r="L3" s="539"/>
      <c r="M3" s="539"/>
      <c r="N3" s="680"/>
      <c r="O3" s="86"/>
      <c r="P3" s="86"/>
      <c r="Q3" s="86"/>
      <c r="R3" s="86"/>
      <c r="S3" s="86"/>
      <c r="T3" s="86"/>
      <c r="U3" s="86"/>
      <c r="V3" s="86"/>
      <c r="W3" s="86"/>
      <c r="X3" s="86"/>
      <c r="Y3" s="86"/>
      <c r="Z3" s="86"/>
      <c r="AA3" s="86"/>
      <c r="AB3" s="86"/>
      <c r="AC3" s="86"/>
      <c r="AD3" s="86"/>
      <c r="AE3" s="86"/>
      <c r="AF3" s="86"/>
    </row>
    <row r="4" spans="1:32" ht="15.75">
      <c r="A4" s="169"/>
      <c r="B4" s="1964"/>
      <c r="C4" s="434"/>
      <c r="D4" s="434"/>
      <c r="E4" s="434"/>
      <c r="F4" s="434"/>
      <c r="G4" s="434"/>
      <c r="H4" s="434"/>
      <c r="I4" s="434"/>
      <c r="J4" s="434"/>
      <c r="K4" s="434"/>
      <c r="L4" s="434"/>
      <c r="M4" s="434"/>
      <c r="N4" s="683"/>
      <c r="O4" s="86"/>
      <c r="P4" s="86"/>
      <c r="Q4" s="86"/>
      <c r="R4" s="86"/>
      <c r="S4" s="86"/>
      <c r="T4" s="86"/>
      <c r="U4" s="86"/>
      <c r="V4" s="86"/>
      <c r="W4" s="86"/>
      <c r="X4" s="86"/>
      <c r="Y4" s="86"/>
      <c r="Z4" s="86"/>
      <c r="AA4" s="86"/>
      <c r="AB4" s="86"/>
      <c r="AC4" s="86"/>
      <c r="AD4" s="86"/>
      <c r="AE4" s="86"/>
      <c r="AF4" s="86"/>
    </row>
    <row r="5" spans="1:32">
      <c r="A5" s="351"/>
      <c r="B5" s="432"/>
      <c r="C5" s="432"/>
      <c r="D5" s="432"/>
      <c r="E5" s="432"/>
      <c r="F5" s="432"/>
      <c r="G5" s="432"/>
      <c r="H5" s="432"/>
      <c r="I5" s="432"/>
      <c r="J5" s="432"/>
      <c r="K5" s="432"/>
      <c r="L5" s="432"/>
      <c r="M5" s="432"/>
      <c r="N5" s="681"/>
      <c r="O5" s="86"/>
      <c r="P5" s="86"/>
      <c r="Q5" s="86"/>
      <c r="R5" s="86"/>
      <c r="S5" s="86"/>
      <c r="T5" s="86"/>
      <c r="U5" s="86"/>
      <c r="V5" s="86"/>
      <c r="W5" s="86"/>
      <c r="X5" s="86"/>
      <c r="Y5" s="86"/>
      <c r="Z5" s="86"/>
      <c r="AA5" s="86"/>
      <c r="AB5" s="86"/>
      <c r="AC5" s="86"/>
      <c r="AD5" s="86"/>
      <c r="AE5" s="86"/>
      <c r="AF5" s="86"/>
    </row>
    <row r="6" spans="1:32">
      <c r="A6" s="351" t="s">
        <v>333</v>
      </c>
      <c r="B6" s="432"/>
      <c r="C6" s="432"/>
      <c r="D6" s="432"/>
      <c r="E6" s="432"/>
      <c r="F6" s="432"/>
      <c r="G6" s="432"/>
      <c r="H6" s="432"/>
      <c r="I6" s="432" t="s">
        <v>334</v>
      </c>
      <c r="J6" s="86"/>
      <c r="K6" s="432"/>
      <c r="L6" s="432"/>
      <c r="M6" s="432"/>
      <c r="N6" s="681"/>
      <c r="O6" s="86"/>
      <c r="P6" s="86"/>
      <c r="Q6" s="86"/>
      <c r="R6" s="86"/>
      <c r="S6" s="86"/>
      <c r="T6" s="86"/>
      <c r="U6" s="86"/>
      <c r="V6" s="86"/>
      <c r="W6" s="86"/>
      <c r="X6" s="86"/>
      <c r="Y6" s="86"/>
      <c r="Z6" s="86"/>
      <c r="AA6" s="86"/>
      <c r="AB6" s="86"/>
      <c r="AC6" s="86"/>
      <c r="AD6" s="86"/>
      <c r="AE6" s="86"/>
      <c r="AF6" s="86"/>
    </row>
    <row r="7" spans="1:32">
      <c r="A7" s="351" t="s">
        <v>1544</v>
      </c>
      <c r="B7" s="432"/>
      <c r="C7" s="432"/>
      <c r="D7" s="432"/>
      <c r="E7" s="432"/>
      <c r="F7" s="432"/>
      <c r="G7" s="432"/>
      <c r="H7" s="432"/>
      <c r="I7" s="432"/>
      <c r="J7" s="86"/>
      <c r="K7" s="432"/>
      <c r="L7" s="432"/>
      <c r="M7" s="432"/>
      <c r="N7" s="681"/>
      <c r="O7" s="86"/>
      <c r="P7" s="86"/>
      <c r="Q7" s="86"/>
      <c r="R7" s="86"/>
      <c r="S7" s="86"/>
      <c r="T7" s="86"/>
      <c r="U7" s="86"/>
      <c r="V7" s="86"/>
      <c r="W7" s="86"/>
      <c r="X7" s="86"/>
      <c r="Y7" s="86"/>
      <c r="Z7" s="86"/>
      <c r="AA7" s="86"/>
      <c r="AB7" s="86"/>
      <c r="AC7" s="86"/>
      <c r="AD7" s="86"/>
      <c r="AE7" s="86"/>
      <c r="AF7" s="86"/>
    </row>
    <row r="8" spans="1:32">
      <c r="A8" s="351" t="s">
        <v>1545</v>
      </c>
      <c r="B8" s="432"/>
      <c r="C8" s="432"/>
      <c r="D8" s="432"/>
      <c r="E8" s="432"/>
      <c r="F8" s="432"/>
      <c r="G8" s="432"/>
      <c r="H8" s="432"/>
      <c r="I8" s="432" t="s">
        <v>1546</v>
      </c>
      <c r="J8" s="86"/>
      <c r="K8" s="432"/>
      <c r="L8" s="432"/>
      <c r="M8" s="432"/>
      <c r="N8" s="681"/>
      <c r="O8" s="86"/>
      <c r="P8" s="86"/>
      <c r="Q8" s="86"/>
      <c r="R8" s="86"/>
      <c r="S8" s="86"/>
      <c r="T8" s="86"/>
      <c r="U8" s="86"/>
      <c r="V8" s="86"/>
      <c r="W8" s="86"/>
      <c r="X8" s="86"/>
      <c r="Y8" s="86"/>
      <c r="Z8" s="86"/>
      <c r="AA8" s="86"/>
      <c r="AB8" s="86"/>
      <c r="AC8" s="86"/>
      <c r="AD8" s="86"/>
      <c r="AE8" s="86"/>
      <c r="AF8" s="86"/>
    </row>
    <row r="9" spans="1:32">
      <c r="A9" s="351"/>
      <c r="B9" s="432"/>
      <c r="C9" s="432"/>
      <c r="D9" s="432"/>
      <c r="E9" s="432"/>
      <c r="F9" s="432"/>
      <c r="G9" s="432"/>
      <c r="H9" s="432"/>
      <c r="I9" s="432" t="s">
        <v>4119</v>
      </c>
      <c r="J9" s="86"/>
      <c r="K9" s="432"/>
      <c r="L9" s="432"/>
      <c r="M9" s="432"/>
      <c r="N9" s="681"/>
      <c r="O9" s="86"/>
      <c r="P9" s="86"/>
      <c r="Q9" s="86"/>
      <c r="R9" s="86"/>
      <c r="S9" s="86"/>
      <c r="T9" s="86"/>
      <c r="U9" s="86"/>
      <c r="V9" s="86"/>
      <c r="W9" s="86"/>
      <c r="X9" s="86"/>
      <c r="Y9" s="86"/>
      <c r="Z9" s="86"/>
      <c r="AA9" s="86"/>
      <c r="AB9" s="86"/>
      <c r="AC9" s="86"/>
      <c r="AD9" s="86"/>
      <c r="AE9" s="86"/>
      <c r="AF9" s="86"/>
    </row>
    <row r="10" spans="1:32">
      <c r="A10" s="351" t="s">
        <v>1547</v>
      </c>
      <c r="B10" s="432"/>
      <c r="C10" s="432"/>
      <c r="D10" s="432"/>
      <c r="E10" s="432"/>
      <c r="F10" s="432"/>
      <c r="G10" s="432"/>
      <c r="H10" s="432"/>
      <c r="I10" s="432" t="s">
        <v>4121</v>
      </c>
      <c r="J10" s="86"/>
      <c r="K10" s="432"/>
      <c r="L10" s="432"/>
      <c r="M10" s="432"/>
      <c r="N10" s="681"/>
      <c r="O10" s="86"/>
      <c r="P10" s="86"/>
      <c r="Q10" s="86"/>
      <c r="R10" s="86"/>
      <c r="S10" s="86"/>
      <c r="T10" s="86"/>
      <c r="U10" s="86"/>
      <c r="V10" s="86"/>
      <c r="W10" s="86"/>
      <c r="X10" s="86"/>
      <c r="Y10" s="86"/>
      <c r="Z10" s="86"/>
      <c r="AA10" s="86"/>
      <c r="AB10" s="86"/>
      <c r="AC10" s="86"/>
      <c r="AD10" s="86"/>
      <c r="AE10" s="86"/>
      <c r="AF10" s="86"/>
    </row>
    <row r="11" spans="1:32">
      <c r="A11" s="351"/>
      <c r="B11" s="432"/>
      <c r="C11" s="432"/>
      <c r="D11" s="432"/>
      <c r="E11" s="432"/>
      <c r="F11" s="432"/>
      <c r="G11" s="432"/>
      <c r="H11" s="432"/>
      <c r="I11" s="432"/>
      <c r="J11" s="432"/>
      <c r="K11" s="432"/>
      <c r="L11" s="432"/>
      <c r="M11" s="432"/>
      <c r="N11" s="681"/>
      <c r="O11" s="86"/>
      <c r="P11" s="86"/>
      <c r="Q11" s="86"/>
      <c r="R11" s="86"/>
      <c r="S11" s="86"/>
      <c r="T11" s="86"/>
      <c r="U11" s="86"/>
      <c r="V11" s="86"/>
      <c r="W11" s="86"/>
      <c r="X11" s="86"/>
      <c r="Y11" s="86"/>
      <c r="Z11" s="86"/>
      <c r="AA11" s="86"/>
      <c r="AB11" s="86"/>
      <c r="AC11" s="86"/>
      <c r="AD11" s="86"/>
      <c r="AE11" s="86"/>
      <c r="AF11" s="86"/>
    </row>
    <row r="12" spans="1:32">
      <c r="A12" s="542"/>
      <c r="B12" s="1144"/>
      <c r="C12" s="452" t="s">
        <v>1548</v>
      </c>
      <c r="D12" s="452"/>
      <c r="E12" s="452"/>
      <c r="F12" s="452"/>
      <c r="G12" s="477"/>
      <c r="H12" s="452"/>
      <c r="I12" s="1249"/>
      <c r="J12" s="452" t="s">
        <v>1549</v>
      </c>
      <c r="K12" s="452"/>
      <c r="L12" s="452"/>
      <c r="M12" s="452"/>
      <c r="N12" s="1145"/>
      <c r="O12" s="432"/>
      <c r="P12" s="432"/>
      <c r="Q12" s="432"/>
      <c r="R12" s="432"/>
      <c r="S12" s="432"/>
      <c r="T12" s="432"/>
      <c r="U12" s="432"/>
      <c r="V12" s="432"/>
      <c r="W12" s="432"/>
      <c r="X12" s="432"/>
      <c r="Y12" s="432"/>
      <c r="Z12" s="432"/>
      <c r="AA12" s="86"/>
      <c r="AB12" s="86"/>
      <c r="AC12" s="86"/>
      <c r="AD12" s="86"/>
      <c r="AE12" s="86"/>
      <c r="AF12" s="86"/>
    </row>
    <row r="13" spans="1:32">
      <c r="A13" s="828"/>
      <c r="B13" s="1146" t="s">
        <v>1550</v>
      </c>
      <c r="C13" s="1146" t="s">
        <v>1551</v>
      </c>
      <c r="D13" s="1146"/>
      <c r="E13" s="1146" t="s">
        <v>1552</v>
      </c>
      <c r="F13" s="1146"/>
      <c r="G13" s="95"/>
      <c r="H13" s="1146" t="s">
        <v>992</v>
      </c>
      <c r="I13" s="95"/>
      <c r="J13" s="86"/>
      <c r="K13" s="822"/>
      <c r="L13" s="1146"/>
      <c r="M13" s="1146" t="s">
        <v>993</v>
      </c>
      <c r="N13" s="87"/>
      <c r="O13" s="357"/>
      <c r="P13" s="86"/>
      <c r="Q13" s="86"/>
      <c r="R13" s="86"/>
      <c r="S13" s="86"/>
      <c r="T13" s="86"/>
      <c r="U13" s="86"/>
      <c r="V13" s="86"/>
      <c r="W13" s="86"/>
      <c r="X13" s="86"/>
      <c r="Y13" s="86"/>
      <c r="Z13" s="86"/>
      <c r="AA13" s="86"/>
      <c r="AB13" s="86"/>
      <c r="AC13" s="86"/>
      <c r="AD13" s="86"/>
      <c r="AE13" s="86"/>
      <c r="AF13" s="86"/>
    </row>
    <row r="14" spans="1:32">
      <c r="A14" s="330" t="s">
        <v>3963</v>
      </c>
      <c r="B14" s="1146" t="s">
        <v>3054</v>
      </c>
      <c r="C14" s="1146" t="s">
        <v>3054</v>
      </c>
      <c r="D14" s="1146" t="s">
        <v>3055</v>
      </c>
      <c r="E14" s="1146" t="s">
        <v>3056</v>
      </c>
      <c r="F14" s="1146" t="s">
        <v>3057</v>
      </c>
      <c r="G14" s="1146" t="s">
        <v>3058</v>
      </c>
      <c r="H14" s="1146" t="s">
        <v>3059</v>
      </c>
      <c r="I14" s="1146" t="s">
        <v>3060</v>
      </c>
      <c r="J14" s="1146" t="s">
        <v>3061</v>
      </c>
      <c r="K14" s="1146" t="s">
        <v>3055</v>
      </c>
      <c r="L14" s="1146" t="s">
        <v>3062</v>
      </c>
      <c r="M14" s="1146" t="s">
        <v>3063</v>
      </c>
      <c r="N14" s="352" t="s">
        <v>3058</v>
      </c>
      <c r="O14" s="86"/>
      <c r="P14" s="86"/>
      <c r="Q14" s="86"/>
      <c r="R14" s="86"/>
      <c r="S14" s="86"/>
      <c r="T14" s="86"/>
      <c r="U14" s="86"/>
      <c r="V14" s="86"/>
      <c r="W14" s="86"/>
      <c r="X14" s="86"/>
      <c r="Y14" s="86"/>
      <c r="Z14" s="86"/>
      <c r="AA14" s="86"/>
      <c r="AB14" s="86"/>
      <c r="AC14" s="86"/>
      <c r="AD14" s="86"/>
      <c r="AE14" s="86"/>
      <c r="AF14" s="86"/>
    </row>
    <row r="15" spans="1:32">
      <c r="A15" s="330"/>
      <c r="B15" s="763"/>
      <c r="C15" s="1146" t="s">
        <v>3064</v>
      </c>
      <c r="D15" s="1146" t="s">
        <v>3065</v>
      </c>
      <c r="E15" s="1146" t="s">
        <v>3066</v>
      </c>
      <c r="F15" s="1146" t="s">
        <v>3067</v>
      </c>
      <c r="G15" s="1146" t="s">
        <v>3068</v>
      </c>
      <c r="H15" s="1146" t="s">
        <v>3069</v>
      </c>
      <c r="I15" s="1146" t="s">
        <v>3070</v>
      </c>
      <c r="J15" s="1146"/>
      <c r="K15" s="1146"/>
      <c r="L15" s="1146" t="s">
        <v>3071</v>
      </c>
      <c r="M15" s="1146" t="s">
        <v>3072</v>
      </c>
      <c r="N15" s="352" t="s">
        <v>3068</v>
      </c>
      <c r="O15" s="86"/>
      <c r="P15" s="86"/>
      <c r="Q15" s="86"/>
      <c r="R15" s="86"/>
      <c r="S15" s="86"/>
      <c r="T15" s="86"/>
      <c r="U15" s="86"/>
      <c r="V15" s="86"/>
      <c r="W15" s="86"/>
      <c r="X15" s="86"/>
      <c r="Y15" s="86"/>
      <c r="Z15" s="86"/>
      <c r="AA15" s="86"/>
      <c r="AB15" s="86"/>
      <c r="AC15" s="86"/>
      <c r="AD15" s="86"/>
      <c r="AE15" s="86"/>
      <c r="AF15" s="86"/>
    </row>
    <row r="16" spans="1:32">
      <c r="A16" s="330" t="s">
        <v>2051</v>
      </c>
      <c r="B16" s="763"/>
      <c r="C16" s="763"/>
      <c r="D16" s="763"/>
      <c r="E16" s="763"/>
      <c r="F16" s="763"/>
      <c r="G16" s="763"/>
      <c r="H16" s="1146" t="s">
        <v>3068</v>
      </c>
      <c r="I16" s="763"/>
      <c r="J16" s="1146"/>
      <c r="K16" s="1146"/>
      <c r="L16" s="1146"/>
      <c r="M16" s="1146" t="s">
        <v>3068</v>
      </c>
      <c r="N16" s="87"/>
      <c r="O16" s="86"/>
      <c r="P16" s="86"/>
      <c r="Q16" s="86"/>
      <c r="R16" s="86"/>
      <c r="S16" s="86"/>
      <c r="T16" s="86"/>
      <c r="U16" s="86"/>
      <c r="V16" s="86"/>
      <c r="W16" s="86"/>
      <c r="X16" s="86"/>
      <c r="Y16" s="86"/>
      <c r="Z16" s="86"/>
      <c r="AA16" s="86"/>
      <c r="AB16" s="86"/>
      <c r="AC16" s="86"/>
      <c r="AD16" s="86"/>
      <c r="AE16" s="86"/>
      <c r="AF16" s="86"/>
    </row>
    <row r="17" spans="1:32">
      <c r="A17" s="330"/>
      <c r="B17" s="1146" t="s">
        <v>3279</v>
      </c>
      <c r="C17" s="1146" t="s">
        <v>1611</v>
      </c>
      <c r="D17" s="1146" t="s">
        <v>1612</v>
      </c>
      <c r="E17" s="1146" t="s">
        <v>1613</v>
      </c>
      <c r="F17" s="1146" t="s">
        <v>721</v>
      </c>
      <c r="G17" s="1146" t="s">
        <v>722</v>
      </c>
      <c r="H17" s="1146" t="s">
        <v>723</v>
      </c>
      <c r="I17" s="1146" t="s">
        <v>335</v>
      </c>
      <c r="J17" s="1146" t="s">
        <v>336</v>
      </c>
      <c r="K17" s="1146" t="s">
        <v>337</v>
      </c>
      <c r="L17" s="1146" t="s">
        <v>338</v>
      </c>
      <c r="M17" s="1146" t="s">
        <v>339</v>
      </c>
      <c r="N17" s="352" t="s">
        <v>778</v>
      </c>
      <c r="O17" s="86"/>
      <c r="P17" s="86"/>
      <c r="Q17" s="86"/>
      <c r="R17" s="86"/>
      <c r="S17" s="86"/>
      <c r="T17" s="86"/>
      <c r="U17" s="86"/>
      <c r="V17" s="86"/>
      <c r="W17" s="86"/>
      <c r="X17" s="86"/>
      <c r="Y17" s="86"/>
      <c r="Z17" s="86"/>
      <c r="AA17" s="86"/>
      <c r="AB17" s="86"/>
      <c r="AC17" s="86"/>
      <c r="AD17" s="86"/>
      <c r="AE17" s="86"/>
      <c r="AF17" s="86"/>
    </row>
    <row r="18" spans="1:32">
      <c r="A18" s="824">
        <v>1</v>
      </c>
      <c r="B18" s="2817" t="s">
        <v>3697</v>
      </c>
      <c r="C18" s="2818">
        <v>26.6</v>
      </c>
      <c r="D18" s="2817" t="s">
        <v>3698</v>
      </c>
      <c r="E18" s="2819"/>
      <c r="F18" s="2817"/>
      <c r="G18" s="2819"/>
      <c r="H18" s="2818"/>
      <c r="I18" s="2819"/>
      <c r="J18" s="2817"/>
      <c r="K18" s="2817"/>
      <c r="L18" s="2819"/>
      <c r="M18" s="2819"/>
      <c r="N18" s="2820"/>
      <c r="O18" s="86"/>
      <c r="P18" s="86"/>
      <c r="Q18" s="86"/>
      <c r="R18" s="86"/>
      <c r="S18" s="86"/>
      <c r="T18" s="86"/>
      <c r="U18" s="86"/>
      <c r="V18" s="86"/>
      <c r="W18" s="86"/>
      <c r="X18" s="86"/>
      <c r="Y18" s="86"/>
      <c r="Z18" s="86"/>
      <c r="AA18" s="86"/>
      <c r="AB18" s="86"/>
      <c r="AC18" s="86"/>
      <c r="AD18" s="86"/>
      <c r="AE18" s="86"/>
      <c r="AF18" s="86"/>
    </row>
    <row r="19" spans="1:32">
      <c r="A19" s="828">
        <v>2</v>
      </c>
      <c r="B19" s="1303"/>
      <c r="C19" s="1304"/>
      <c r="D19" s="941" t="s">
        <v>1748</v>
      </c>
      <c r="E19" s="937">
        <v>1956</v>
      </c>
      <c r="F19" s="941" t="s">
        <v>1749</v>
      </c>
      <c r="G19" s="937">
        <v>412</v>
      </c>
      <c r="H19" s="1304"/>
      <c r="I19" s="937">
        <v>3</v>
      </c>
      <c r="J19" s="941" t="s">
        <v>1750</v>
      </c>
      <c r="K19" s="941" t="s">
        <v>1751</v>
      </c>
      <c r="L19" s="937"/>
      <c r="M19" s="937"/>
      <c r="N19" s="940"/>
      <c r="O19" s="86"/>
      <c r="P19" s="86"/>
      <c r="Q19" s="86"/>
      <c r="R19" s="86"/>
      <c r="S19" s="86"/>
      <c r="T19" s="86"/>
      <c r="U19" s="86"/>
      <c r="V19" s="86"/>
      <c r="W19" s="86"/>
      <c r="X19" s="86"/>
      <c r="Y19" s="86"/>
      <c r="Z19" s="86"/>
      <c r="AA19" s="86"/>
      <c r="AB19" s="86"/>
      <c r="AC19" s="86"/>
      <c r="AD19" s="86"/>
      <c r="AE19" s="86"/>
      <c r="AF19" s="86"/>
    </row>
    <row r="20" spans="1:32">
      <c r="A20" s="828">
        <v>3</v>
      </c>
      <c r="B20" s="1303"/>
      <c r="C20" s="1304"/>
      <c r="D20" s="941"/>
      <c r="E20" s="937"/>
      <c r="F20" s="941" t="s">
        <v>1752</v>
      </c>
      <c r="G20" s="937"/>
      <c r="H20" s="1304"/>
      <c r="I20" s="937"/>
      <c r="J20" s="941" t="s">
        <v>1753</v>
      </c>
      <c r="K20" s="941" t="s">
        <v>1754</v>
      </c>
      <c r="L20" s="937">
        <v>36</v>
      </c>
      <c r="M20" s="1304">
        <v>75</v>
      </c>
      <c r="N20" s="940" t="s">
        <v>1755</v>
      </c>
      <c r="O20" s="86"/>
      <c r="P20" s="86"/>
      <c r="Q20" s="86"/>
      <c r="R20" s="86"/>
      <c r="S20" s="86"/>
      <c r="T20" s="86"/>
      <c r="U20" s="86"/>
      <c r="V20" s="86"/>
      <c r="W20" s="86"/>
      <c r="X20" s="86"/>
      <c r="Y20" s="86"/>
      <c r="Z20" s="86"/>
      <c r="AA20" s="86"/>
      <c r="AB20" s="86"/>
      <c r="AC20" s="86"/>
      <c r="AD20" s="86"/>
      <c r="AE20" s="86"/>
      <c r="AF20" s="86"/>
    </row>
    <row r="21" spans="1:32">
      <c r="A21" s="828">
        <v>4</v>
      </c>
      <c r="B21" s="1303"/>
      <c r="C21" s="1304"/>
      <c r="D21" s="941"/>
      <c r="E21" s="937"/>
      <c r="F21" s="941" t="s">
        <v>1756</v>
      </c>
      <c r="G21" s="937"/>
      <c r="H21" s="1304"/>
      <c r="I21" s="937">
        <v>1</v>
      </c>
      <c r="J21" s="941" t="s">
        <v>1757</v>
      </c>
      <c r="K21" s="941"/>
      <c r="L21" s="937">
        <v>36</v>
      </c>
      <c r="M21" s="1304">
        <v>67.5</v>
      </c>
      <c r="N21" s="940" t="s">
        <v>1755</v>
      </c>
      <c r="O21" s="86"/>
      <c r="P21" s="86"/>
      <c r="Q21" s="86"/>
      <c r="R21" s="86"/>
      <c r="S21" s="86"/>
      <c r="T21" s="86"/>
      <c r="U21" s="86"/>
      <c r="V21" s="86"/>
      <c r="W21" s="86"/>
      <c r="X21" s="86"/>
      <c r="Y21" s="86"/>
      <c r="Z21" s="86"/>
      <c r="AA21" s="86"/>
      <c r="AB21" s="86"/>
      <c r="AC21" s="86"/>
      <c r="AD21" s="86"/>
      <c r="AE21" s="86"/>
      <c r="AF21" s="86"/>
    </row>
    <row r="22" spans="1:32">
      <c r="A22" s="828">
        <v>5</v>
      </c>
      <c r="B22" s="1303"/>
      <c r="C22" s="1304"/>
      <c r="D22" s="941"/>
      <c r="E22" s="937"/>
      <c r="F22" s="941" t="s">
        <v>1758</v>
      </c>
      <c r="G22" s="937"/>
      <c r="H22" s="1304"/>
      <c r="I22" s="937"/>
      <c r="J22" s="941"/>
      <c r="K22" s="941"/>
      <c r="L22" s="937"/>
      <c r="M22" s="1304">
        <v>60</v>
      </c>
      <c r="N22" s="940"/>
      <c r="O22" s="86"/>
      <c r="P22" s="86"/>
      <c r="Q22" s="86"/>
      <c r="R22" s="86"/>
      <c r="S22" s="86"/>
      <c r="T22" s="86"/>
      <c r="U22" s="86"/>
      <c r="V22" s="86"/>
      <c r="W22" s="86"/>
      <c r="X22" s="86"/>
      <c r="Y22" s="86"/>
      <c r="Z22" s="86"/>
      <c r="AA22" s="86"/>
      <c r="AB22" s="86"/>
      <c r="AC22" s="86"/>
      <c r="AD22" s="86"/>
      <c r="AE22" s="86"/>
      <c r="AF22" s="86"/>
    </row>
    <row r="23" spans="1:32">
      <c r="A23" s="828">
        <v>6</v>
      </c>
      <c r="B23" s="1303"/>
      <c r="C23" s="1304"/>
      <c r="D23" s="941"/>
      <c r="E23" s="937"/>
      <c r="F23" s="941" t="s">
        <v>1759</v>
      </c>
      <c r="G23" s="937"/>
      <c r="H23" s="1304"/>
      <c r="I23" s="937"/>
      <c r="J23" s="941"/>
      <c r="K23" s="941"/>
      <c r="L23" s="937"/>
      <c r="M23" s="1304"/>
      <c r="N23" s="940"/>
      <c r="O23" s="86"/>
      <c r="P23" s="86"/>
      <c r="Q23" s="86"/>
      <c r="R23" s="86"/>
      <c r="S23" s="86"/>
      <c r="T23" s="86"/>
      <c r="U23" s="86"/>
      <c r="V23" s="86"/>
      <c r="W23" s="86"/>
      <c r="X23" s="86"/>
      <c r="Y23" s="86"/>
      <c r="Z23" s="86"/>
      <c r="AA23" s="86"/>
      <c r="AB23" s="86"/>
      <c r="AC23" s="86"/>
      <c r="AD23" s="86"/>
      <c r="AE23" s="86"/>
      <c r="AF23" s="86"/>
    </row>
    <row r="24" spans="1:32">
      <c r="A24" s="828">
        <v>7</v>
      </c>
      <c r="B24" s="1303"/>
      <c r="C24" s="1304"/>
      <c r="D24" s="941"/>
      <c r="E24" s="937"/>
      <c r="F24" s="941"/>
      <c r="G24" s="937"/>
      <c r="H24" s="1304">
        <v>35</v>
      </c>
      <c r="I24" s="937">
        <v>1</v>
      </c>
      <c r="J24" s="931" t="s">
        <v>1760</v>
      </c>
      <c r="K24" s="2821" t="s">
        <v>923</v>
      </c>
      <c r="L24" s="937">
        <v>10</v>
      </c>
      <c r="M24" s="1304">
        <v>16</v>
      </c>
      <c r="N24" s="940">
        <v>45</v>
      </c>
      <c r="O24" s="86"/>
      <c r="P24" s="86"/>
      <c r="Q24" s="86"/>
      <c r="R24" s="86"/>
      <c r="S24" s="86"/>
      <c r="T24" s="86"/>
      <c r="U24" s="86"/>
      <c r="V24" s="86"/>
      <c r="W24" s="86"/>
      <c r="X24" s="86"/>
      <c r="Y24" s="86"/>
      <c r="Z24" s="86"/>
      <c r="AA24" s="86"/>
      <c r="AB24" s="86"/>
      <c r="AC24" s="86"/>
      <c r="AD24" s="86"/>
      <c r="AE24" s="86"/>
      <c r="AF24" s="86"/>
    </row>
    <row r="25" spans="1:32">
      <c r="A25" s="828">
        <v>8</v>
      </c>
      <c r="B25" s="1303"/>
      <c r="C25" s="1304"/>
      <c r="D25" s="941"/>
      <c r="E25" s="937"/>
      <c r="F25" s="941" t="s">
        <v>924</v>
      </c>
      <c r="G25" s="937"/>
      <c r="H25" s="1304"/>
      <c r="I25" s="937"/>
      <c r="J25" s="941"/>
      <c r="K25" s="941"/>
      <c r="L25" s="937">
        <v>10</v>
      </c>
      <c r="M25" s="1304">
        <v>16</v>
      </c>
      <c r="N25" s="940">
        <v>79</v>
      </c>
      <c r="O25" s="86"/>
      <c r="P25" s="86"/>
      <c r="Q25" s="86"/>
      <c r="R25" s="86"/>
      <c r="S25" s="86"/>
      <c r="T25" s="86"/>
      <c r="U25" s="86"/>
      <c r="V25" s="86"/>
      <c r="W25" s="86"/>
      <c r="X25" s="86"/>
      <c r="Y25" s="86"/>
      <c r="Z25" s="86"/>
      <c r="AA25" s="86"/>
      <c r="AB25" s="86"/>
      <c r="AC25" s="86"/>
      <c r="AD25" s="86"/>
      <c r="AE25" s="86"/>
      <c r="AF25" s="86"/>
    </row>
    <row r="26" spans="1:32">
      <c r="A26" s="828">
        <v>9</v>
      </c>
      <c r="B26" s="1303" t="s">
        <v>925</v>
      </c>
      <c r="C26" s="1304"/>
      <c r="D26" s="941"/>
      <c r="E26" s="2822"/>
      <c r="F26" s="2821" t="s">
        <v>926</v>
      </c>
      <c r="G26" s="937">
        <v>100</v>
      </c>
      <c r="H26" s="1304"/>
      <c r="I26" s="937"/>
      <c r="J26" s="941"/>
      <c r="K26" s="941"/>
      <c r="L26" s="937"/>
      <c r="M26" s="937"/>
      <c r="N26" s="940"/>
      <c r="O26" s="86"/>
      <c r="P26" s="86"/>
      <c r="Q26" s="86"/>
      <c r="R26" s="86"/>
      <c r="S26" s="86"/>
      <c r="T26" s="86"/>
      <c r="U26" s="86"/>
      <c r="V26" s="86"/>
      <c r="W26" s="86"/>
      <c r="X26" s="86"/>
      <c r="Y26" s="86"/>
      <c r="Z26" s="86"/>
      <c r="AA26" s="86"/>
      <c r="AB26" s="86"/>
      <c r="AC26" s="86"/>
      <c r="AD26" s="86"/>
      <c r="AE26" s="86"/>
      <c r="AF26" s="86"/>
    </row>
    <row r="27" spans="1:32">
      <c r="A27" s="828">
        <v>10</v>
      </c>
      <c r="B27" s="941"/>
      <c r="C27" s="1304"/>
      <c r="D27" s="941"/>
      <c r="E27" s="937"/>
      <c r="F27" s="2821" t="s">
        <v>927</v>
      </c>
      <c r="G27" s="937"/>
      <c r="H27" s="1304"/>
      <c r="I27" s="937"/>
      <c r="J27" s="941"/>
      <c r="K27" s="941"/>
      <c r="L27" s="937"/>
      <c r="M27" s="937"/>
      <c r="N27" s="940"/>
      <c r="O27" s="86"/>
      <c r="P27" s="86"/>
      <c r="Q27" s="86"/>
      <c r="R27" s="86"/>
      <c r="S27" s="86"/>
      <c r="T27" s="86"/>
      <c r="U27" s="86"/>
      <c r="V27" s="86"/>
      <c r="W27" s="86"/>
      <c r="X27" s="86"/>
      <c r="Y27" s="86"/>
      <c r="Z27" s="86"/>
      <c r="AA27" s="86"/>
      <c r="AB27" s="86"/>
      <c r="AC27" s="86"/>
      <c r="AD27" s="86"/>
      <c r="AE27" s="86"/>
      <c r="AF27" s="86"/>
    </row>
    <row r="28" spans="1:32">
      <c r="A28" s="828">
        <v>11</v>
      </c>
      <c r="B28" s="941" t="s">
        <v>928</v>
      </c>
      <c r="C28" s="1304"/>
      <c r="D28" s="941" t="s">
        <v>3698</v>
      </c>
      <c r="E28" s="937"/>
      <c r="F28" s="2821"/>
      <c r="G28" s="937"/>
      <c r="H28" s="1304"/>
      <c r="I28" s="937"/>
      <c r="J28" s="941"/>
      <c r="K28" s="941"/>
      <c r="L28" s="937"/>
      <c r="M28" s="937"/>
      <c r="N28" s="940"/>
      <c r="O28" s="86"/>
      <c r="P28" s="86"/>
      <c r="Q28" s="86"/>
      <c r="R28" s="86"/>
      <c r="S28" s="86"/>
      <c r="T28" s="86"/>
      <c r="U28" s="86"/>
      <c r="V28" s="86"/>
      <c r="W28" s="86"/>
      <c r="X28" s="86"/>
      <c r="Y28" s="86"/>
      <c r="Z28" s="86"/>
      <c r="AA28" s="86"/>
      <c r="AB28" s="86"/>
      <c r="AC28" s="86"/>
      <c r="AD28" s="86"/>
      <c r="AE28" s="86"/>
      <c r="AF28" s="86"/>
    </row>
    <row r="29" spans="1:32">
      <c r="A29" s="828">
        <v>12</v>
      </c>
      <c r="B29" s="941" t="s">
        <v>925</v>
      </c>
      <c r="C29" s="1304">
        <v>15</v>
      </c>
      <c r="D29" s="941" t="s">
        <v>929</v>
      </c>
      <c r="E29" s="937">
        <v>1902</v>
      </c>
      <c r="F29" s="2821" t="s">
        <v>924</v>
      </c>
      <c r="G29" s="937">
        <v>100</v>
      </c>
      <c r="H29" s="1304">
        <v>16.5</v>
      </c>
      <c r="I29" s="937"/>
      <c r="J29" s="941"/>
      <c r="K29" s="941"/>
      <c r="L29" s="937"/>
      <c r="M29" s="937"/>
      <c r="N29" s="940"/>
      <c r="O29" s="86"/>
      <c r="P29" s="86"/>
      <c r="Q29" s="86"/>
      <c r="R29" s="86"/>
      <c r="S29" s="86"/>
      <c r="T29" s="86"/>
      <c r="U29" s="86"/>
      <c r="V29" s="86"/>
      <c r="W29" s="86"/>
      <c r="X29" s="86"/>
      <c r="Y29" s="86"/>
      <c r="Z29" s="86"/>
      <c r="AA29" s="86"/>
      <c r="AB29" s="86"/>
      <c r="AC29" s="86"/>
      <c r="AD29" s="86"/>
      <c r="AE29" s="86"/>
      <c r="AF29" s="86"/>
    </row>
    <row r="30" spans="1:32">
      <c r="A30" s="828">
        <v>13</v>
      </c>
      <c r="B30" s="1303"/>
      <c r="C30" s="1304"/>
      <c r="D30" s="941"/>
      <c r="E30" s="937"/>
      <c r="F30" s="2821"/>
      <c r="G30" s="937"/>
      <c r="H30" s="1304"/>
      <c r="I30" s="937"/>
      <c r="J30" s="941"/>
      <c r="K30" s="941"/>
      <c r="L30" s="937"/>
      <c r="M30" s="937"/>
      <c r="N30" s="940"/>
      <c r="O30" s="86"/>
      <c r="P30" s="86"/>
      <c r="Q30" s="86"/>
      <c r="R30" s="86"/>
      <c r="S30" s="86"/>
      <c r="T30" s="86"/>
      <c r="U30" s="86"/>
      <c r="V30" s="86"/>
      <c r="W30" s="86"/>
      <c r="X30" s="86"/>
      <c r="Y30" s="86"/>
      <c r="Z30" s="86"/>
      <c r="AA30" s="86"/>
      <c r="AB30" s="86"/>
      <c r="AC30" s="86"/>
      <c r="AD30" s="86"/>
      <c r="AE30" s="86"/>
      <c r="AF30" s="86"/>
    </row>
    <row r="31" spans="1:32">
      <c r="A31" s="828">
        <v>14</v>
      </c>
      <c r="B31" s="941" t="s">
        <v>4552</v>
      </c>
      <c r="C31" s="1304"/>
      <c r="D31" s="941" t="s">
        <v>4371</v>
      </c>
      <c r="E31" s="937">
        <v>1959</v>
      </c>
      <c r="F31" s="2823" t="s">
        <v>1749</v>
      </c>
      <c r="G31" s="1889">
        <v>1200</v>
      </c>
      <c r="H31" s="1304">
        <v>20</v>
      </c>
      <c r="I31" s="937">
        <v>1</v>
      </c>
      <c r="J31" s="941" t="s">
        <v>1760</v>
      </c>
      <c r="K31" s="941"/>
      <c r="L31" s="937"/>
      <c r="M31" s="937"/>
      <c r="N31" s="940"/>
      <c r="O31" s="86"/>
      <c r="P31" s="86"/>
      <c r="Q31" s="86"/>
      <c r="R31" s="86"/>
      <c r="S31" s="86"/>
      <c r="T31" s="86"/>
      <c r="U31" s="86"/>
      <c r="V31" s="86"/>
      <c r="W31" s="86"/>
      <c r="X31" s="86"/>
      <c r="Y31" s="86"/>
      <c r="Z31" s="86"/>
      <c r="AA31" s="86"/>
      <c r="AB31" s="86"/>
      <c r="AC31" s="86"/>
      <c r="AD31" s="86"/>
      <c r="AE31" s="86"/>
      <c r="AF31" s="86"/>
    </row>
    <row r="32" spans="1:32">
      <c r="A32" s="828">
        <v>15</v>
      </c>
      <c r="B32" s="941"/>
      <c r="C32" s="1304"/>
      <c r="D32" s="941"/>
      <c r="E32" s="937"/>
      <c r="F32" s="2823"/>
      <c r="G32" s="1889"/>
      <c r="H32" s="1304"/>
      <c r="I32" s="937"/>
      <c r="J32" s="941"/>
      <c r="K32" s="941"/>
      <c r="L32" s="937"/>
      <c r="M32" s="937"/>
      <c r="N32" s="940"/>
      <c r="O32" s="86"/>
      <c r="P32" s="86"/>
      <c r="Q32" s="86"/>
      <c r="R32" s="86"/>
      <c r="S32" s="86"/>
      <c r="T32" s="86"/>
      <c r="U32" s="86"/>
      <c r="V32" s="86"/>
      <c r="W32" s="86"/>
      <c r="X32" s="86"/>
      <c r="Y32" s="86"/>
      <c r="Z32" s="86"/>
      <c r="AA32" s="86"/>
      <c r="AB32" s="86"/>
      <c r="AC32" s="86"/>
      <c r="AD32" s="86"/>
      <c r="AE32" s="86"/>
      <c r="AF32" s="86"/>
    </row>
    <row r="33" spans="1:32">
      <c r="A33" s="828"/>
      <c r="B33" s="1624" t="s">
        <v>4694</v>
      </c>
      <c r="C33" s="2269">
        <v>0.83</v>
      </c>
      <c r="D33" s="1624" t="s">
        <v>1300</v>
      </c>
      <c r="E33" s="937">
        <v>1800</v>
      </c>
      <c r="F33" s="2824" t="s">
        <v>4695</v>
      </c>
      <c r="G33" s="1823">
        <v>350</v>
      </c>
      <c r="H33" s="2269">
        <v>11</v>
      </c>
      <c r="I33" s="1622"/>
      <c r="J33" s="1624"/>
      <c r="K33" s="1624"/>
      <c r="L33" s="1622"/>
      <c r="M33" s="1622"/>
      <c r="N33" s="1801"/>
      <c r="O33" s="86"/>
      <c r="P33" s="86"/>
      <c r="Q33" s="86"/>
      <c r="R33" s="86"/>
      <c r="S33" s="86"/>
      <c r="T33" s="86"/>
      <c r="U33" s="86"/>
      <c r="V33" s="86"/>
      <c r="W33" s="86"/>
      <c r="X33" s="86"/>
      <c r="Y33" s="86"/>
      <c r="Z33" s="86"/>
      <c r="AA33" s="86"/>
      <c r="AB33" s="86"/>
      <c r="AC33" s="86"/>
      <c r="AD33" s="86"/>
      <c r="AE33" s="86"/>
      <c r="AF33" s="86"/>
    </row>
    <row r="34" spans="1:32" ht="30">
      <c r="A34" s="545">
        <v>16</v>
      </c>
      <c r="B34" s="1305" t="s">
        <v>4596</v>
      </c>
      <c r="C34" s="1306">
        <v>1</v>
      </c>
      <c r="D34" s="1305" t="s">
        <v>1348</v>
      </c>
      <c r="E34" s="1307">
        <v>1999</v>
      </c>
      <c r="F34" s="2170" t="s">
        <v>4597</v>
      </c>
      <c r="G34" s="1308">
        <v>100</v>
      </c>
      <c r="H34" s="1306">
        <v>10</v>
      </c>
      <c r="I34" s="1308"/>
      <c r="J34" s="1305"/>
      <c r="K34" s="1305"/>
      <c r="L34" s="1308"/>
      <c r="M34" s="1308"/>
      <c r="N34" s="1309"/>
      <c r="O34" s="432"/>
      <c r="P34" s="432"/>
      <c r="Q34" s="432"/>
      <c r="R34" s="432"/>
      <c r="S34" s="432"/>
      <c r="T34" s="432"/>
      <c r="U34" s="86"/>
      <c r="V34" s="86"/>
      <c r="W34" s="86"/>
      <c r="X34" s="86"/>
      <c r="Y34" s="86"/>
      <c r="Z34" s="86"/>
      <c r="AA34" s="86"/>
      <c r="AB34" s="86"/>
      <c r="AC34" s="86"/>
      <c r="AD34" s="86"/>
      <c r="AE34" s="86"/>
      <c r="AF34" s="86"/>
    </row>
    <row r="35" spans="1:32">
      <c r="A35" s="817"/>
      <c r="B35" s="432"/>
      <c r="C35" s="432"/>
      <c r="D35" s="432"/>
      <c r="E35" s="432"/>
      <c r="F35" s="432"/>
      <c r="G35" s="432"/>
      <c r="H35" s="432"/>
      <c r="I35" s="432"/>
      <c r="J35" s="432"/>
      <c r="K35" s="432"/>
      <c r="L35" s="432"/>
      <c r="M35" s="432"/>
      <c r="N35" s="681"/>
      <c r="O35" s="432"/>
      <c r="P35" s="432"/>
      <c r="Q35" s="432"/>
      <c r="R35" s="432"/>
      <c r="S35" s="432"/>
      <c r="T35" s="432"/>
      <c r="U35" s="86"/>
      <c r="V35" s="86"/>
      <c r="W35" s="86"/>
      <c r="X35" s="86"/>
      <c r="Y35" s="86"/>
      <c r="Z35" s="86"/>
      <c r="AA35" s="86"/>
      <c r="AB35" s="86"/>
      <c r="AC35" s="86"/>
      <c r="AD35" s="86"/>
      <c r="AE35" s="86"/>
      <c r="AF35" s="86"/>
    </row>
    <row r="36" spans="1:32">
      <c r="A36" s="824">
        <v>18</v>
      </c>
      <c r="B36" s="2825"/>
      <c r="C36" s="2826" t="s">
        <v>3073</v>
      </c>
      <c r="D36" s="2826"/>
      <c r="E36" s="2826"/>
      <c r="F36" s="2826"/>
      <c r="G36" s="2827"/>
      <c r="H36" s="2828"/>
      <c r="I36" s="2828" t="s">
        <v>3074</v>
      </c>
      <c r="J36" s="2829"/>
      <c r="K36" s="2826" t="s">
        <v>3075</v>
      </c>
      <c r="L36" s="2826"/>
      <c r="M36" s="2826"/>
      <c r="N36" s="2830"/>
      <c r="O36" s="86"/>
      <c r="P36" s="86"/>
      <c r="Q36" s="86"/>
      <c r="R36" s="86"/>
      <c r="S36" s="86"/>
      <c r="T36" s="86"/>
      <c r="U36" s="86"/>
      <c r="V36" s="86"/>
      <c r="W36" s="86"/>
      <c r="X36" s="86"/>
      <c r="Y36" s="86"/>
      <c r="Z36" s="86"/>
      <c r="AA36" s="86"/>
      <c r="AB36" s="86"/>
      <c r="AC36" s="86"/>
      <c r="AD36" s="86"/>
      <c r="AE36" s="86"/>
      <c r="AF36" s="86"/>
    </row>
    <row r="37" spans="1:32">
      <c r="A37" s="828">
        <v>19</v>
      </c>
      <c r="B37" s="1146" t="s">
        <v>3076</v>
      </c>
      <c r="C37" s="1146" t="s">
        <v>1387</v>
      </c>
      <c r="D37" s="1146" t="s">
        <v>1388</v>
      </c>
      <c r="E37" s="1146"/>
      <c r="F37" s="1146" t="s">
        <v>1389</v>
      </c>
      <c r="G37" s="1146" t="s">
        <v>2077</v>
      </c>
      <c r="H37" s="1146"/>
      <c r="I37" s="1146" t="s">
        <v>2078</v>
      </c>
      <c r="J37" s="1146" t="s">
        <v>2079</v>
      </c>
      <c r="K37" s="432"/>
      <c r="L37" s="763"/>
      <c r="M37" s="432"/>
      <c r="N37" s="681"/>
      <c r="O37" s="86"/>
      <c r="P37" s="86"/>
      <c r="Q37" s="86"/>
      <c r="R37" s="86"/>
      <c r="S37" s="86"/>
      <c r="T37" s="86"/>
      <c r="U37" s="86"/>
      <c r="V37" s="86"/>
      <c r="W37" s="86"/>
      <c r="X37" s="86"/>
      <c r="Y37" s="86"/>
      <c r="Z37" s="86"/>
      <c r="AA37" s="86"/>
      <c r="AB37" s="86"/>
      <c r="AC37" s="86"/>
      <c r="AD37" s="86"/>
      <c r="AE37" s="86"/>
      <c r="AF37" s="86"/>
    </row>
    <row r="38" spans="1:32">
      <c r="A38" s="828">
        <v>20</v>
      </c>
      <c r="B38" s="763"/>
      <c r="C38" s="1146" t="s">
        <v>4236</v>
      </c>
      <c r="D38" s="1146" t="s">
        <v>4237</v>
      </c>
      <c r="E38" s="1146" t="s">
        <v>4238</v>
      </c>
      <c r="F38" s="1146" t="s">
        <v>4239</v>
      </c>
      <c r="G38" s="1146" t="s">
        <v>4240</v>
      </c>
      <c r="H38" s="999" t="s">
        <v>4241</v>
      </c>
      <c r="I38" s="1146" t="s">
        <v>4242</v>
      </c>
      <c r="J38" s="1146" t="s">
        <v>4242</v>
      </c>
      <c r="K38" s="541" t="s">
        <v>1858</v>
      </c>
      <c r="L38" s="1151"/>
      <c r="M38" s="541" t="s">
        <v>4243</v>
      </c>
      <c r="N38" s="811"/>
      <c r="O38" s="86"/>
      <c r="P38" s="86"/>
      <c r="Q38" s="86"/>
      <c r="R38" s="86"/>
      <c r="S38" s="86"/>
      <c r="T38" s="86"/>
      <c r="U38" s="86"/>
      <c r="V38" s="86"/>
      <c r="W38" s="86"/>
      <c r="X38" s="86"/>
      <c r="Y38" s="86"/>
      <c r="Z38" s="86"/>
      <c r="AA38" s="86"/>
      <c r="AB38" s="86"/>
      <c r="AC38" s="86"/>
      <c r="AD38" s="86"/>
      <c r="AE38" s="86"/>
      <c r="AF38" s="86"/>
    </row>
    <row r="39" spans="1:32">
      <c r="A39" s="828">
        <v>21</v>
      </c>
      <c r="B39" s="763"/>
      <c r="C39" s="1146" t="s">
        <v>3066</v>
      </c>
      <c r="D39" s="1146" t="s">
        <v>4244</v>
      </c>
      <c r="E39" s="1146" t="s">
        <v>4421</v>
      </c>
      <c r="F39" s="1146" t="s">
        <v>3068</v>
      </c>
      <c r="G39" s="1146" t="s">
        <v>4245</v>
      </c>
      <c r="H39" s="999" t="s">
        <v>4246</v>
      </c>
      <c r="I39" s="1146"/>
      <c r="J39" s="1146"/>
      <c r="K39" s="1146"/>
      <c r="L39" s="1146"/>
      <c r="M39" s="1146"/>
      <c r="N39" s="352"/>
      <c r="O39" s="86"/>
      <c r="P39" s="86"/>
      <c r="Q39" s="86"/>
      <c r="R39" s="86"/>
      <c r="S39" s="86"/>
      <c r="T39" s="86"/>
      <c r="U39" s="86"/>
      <c r="V39" s="86"/>
      <c r="W39" s="86"/>
      <c r="X39" s="86"/>
      <c r="Y39" s="86"/>
      <c r="Z39" s="86"/>
      <c r="AA39" s="86"/>
      <c r="AB39" s="86"/>
      <c r="AC39" s="86"/>
      <c r="AD39" s="86"/>
      <c r="AE39" s="86"/>
      <c r="AF39" s="86"/>
    </row>
    <row r="40" spans="1:32">
      <c r="A40" s="828">
        <v>22</v>
      </c>
      <c r="B40" s="763"/>
      <c r="C40" s="1146"/>
      <c r="D40" s="1146"/>
      <c r="E40" s="1146"/>
      <c r="F40" s="1146"/>
      <c r="G40" s="1146" t="s">
        <v>4422</v>
      </c>
      <c r="H40" s="999" t="s">
        <v>4422</v>
      </c>
      <c r="I40" s="1146" t="s">
        <v>4422</v>
      </c>
      <c r="J40" s="1146" t="s">
        <v>4422</v>
      </c>
      <c r="K40" s="1146" t="s">
        <v>4421</v>
      </c>
      <c r="L40" s="1146" t="s">
        <v>712</v>
      </c>
      <c r="M40" s="1146" t="s">
        <v>4422</v>
      </c>
      <c r="N40" s="352" t="s">
        <v>712</v>
      </c>
      <c r="O40" s="86"/>
      <c r="P40" s="86"/>
      <c r="Q40" s="86"/>
      <c r="R40" s="86"/>
      <c r="S40" s="86"/>
      <c r="T40" s="86"/>
      <c r="U40" s="86"/>
      <c r="V40" s="86"/>
      <c r="W40" s="86"/>
      <c r="X40" s="86"/>
      <c r="Y40" s="86"/>
      <c r="Z40" s="86"/>
      <c r="AA40" s="86"/>
      <c r="AB40" s="86"/>
      <c r="AC40" s="86"/>
      <c r="AD40" s="86"/>
      <c r="AE40" s="86"/>
      <c r="AF40" s="86"/>
    </row>
    <row r="41" spans="1:32">
      <c r="A41" s="828">
        <v>23</v>
      </c>
      <c r="B41" s="1146" t="s">
        <v>779</v>
      </c>
      <c r="C41" s="1146" t="s">
        <v>780</v>
      </c>
      <c r="D41" s="1146" t="s">
        <v>781</v>
      </c>
      <c r="E41" s="1146" t="s">
        <v>782</v>
      </c>
      <c r="F41" s="1146" t="s">
        <v>4247</v>
      </c>
      <c r="G41" s="1146" t="s">
        <v>4248</v>
      </c>
      <c r="H41" s="999" t="s">
        <v>4249</v>
      </c>
      <c r="I41" s="1146" t="s">
        <v>4250</v>
      </c>
      <c r="J41" s="1146" t="s">
        <v>4251</v>
      </c>
      <c r="K41" s="1146" t="s">
        <v>4252</v>
      </c>
      <c r="L41" s="1146" t="s">
        <v>4253</v>
      </c>
      <c r="M41" s="1146" t="s">
        <v>4254</v>
      </c>
      <c r="N41" s="352" t="s">
        <v>1872</v>
      </c>
      <c r="O41" s="432"/>
      <c r="P41" s="432"/>
      <c r="Q41" s="432"/>
      <c r="R41" s="432"/>
      <c r="S41" s="432"/>
      <c r="T41" s="432"/>
      <c r="U41" s="432"/>
      <c r="V41" s="432"/>
      <c r="W41" s="432"/>
      <c r="X41" s="432"/>
      <c r="Y41" s="432"/>
      <c r="Z41" s="432"/>
      <c r="AA41" s="432"/>
      <c r="AB41" s="432"/>
      <c r="AC41" s="432"/>
      <c r="AD41" s="432"/>
      <c r="AE41" s="432"/>
      <c r="AF41" s="86"/>
    </row>
    <row r="42" spans="1:32">
      <c r="A42" s="828">
        <v>24</v>
      </c>
      <c r="B42" s="2817" t="s">
        <v>3697</v>
      </c>
      <c r="C42" s="2831">
        <v>1956</v>
      </c>
      <c r="D42" s="2832" t="s">
        <v>4244</v>
      </c>
      <c r="E42" s="2833">
        <v>5671</v>
      </c>
      <c r="F42" s="2834">
        <v>85</v>
      </c>
      <c r="G42" s="2818">
        <v>20</v>
      </c>
      <c r="H42" s="2835">
        <v>8.5660000000000007</v>
      </c>
      <c r="I42" s="2836">
        <v>15.266</v>
      </c>
      <c r="J42" s="2837">
        <v>4.444</v>
      </c>
      <c r="K42" s="2819">
        <v>20.67</v>
      </c>
      <c r="L42" s="2819">
        <v>1977</v>
      </c>
      <c r="M42" s="2837">
        <v>9.6000000000000002E-2</v>
      </c>
      <c r="N42" s="2820">
        <v>1963</v>
      </c>
      <c r="O42" s="86"/>
      <c r="P42" s="86"/>
      <c r="Q42" s="86"/>
      <c r="R42" s="86"/>
      <c r="S42" s="86"/>
      <c r="T42" s="86"/>
      <c r="U42" s="86"/>
      <c r="V42" s="86"/>
      <c r="W42" s="86"/>
      <c r="X42" s="86"/>
      <c r="Y42" s="86"/>
      <c r="Z42" s="86"/>
      <c r="AA42" s="86"/>
      <c r="AB42" s="86"/>
      <c r="AC42" s="86"/>
      <c r="AD42" s="86"/>
      <c r="AE42" s="86"/>
      <c r="AF42" s="86"/>
    </row>
    <row r="43" spans="1:32">
      <c r="A43" s="828">
        <v>25</v>
      </c>
      <c r="B43" s="941" t="s">
        <v>929</v>
      </c>
      <c r="C43" s="938">
        <v>1902</v>
      </c>
      <c r="D43" s="2821" t="s">
        <v>4244</v>
      </c>
      <c r="E43" s="1310">
        <v>4.5999999999999996</v>
      </c>
      <c r="F43" s="1311">
        <v>67.03</v>
      </c>
      <c r="G43" s="1304">
        <v>1.5</v>
      </c>
      <c r="H43" s="2264">
        <v>0</v>
      </c>
      <c r="I43" s="1312">
        <v>0</v>
      </c>
      <c r="J43" s="1312">
        <v>0</v>
      </c>
      <c r="K43" s="937">
        <v>2.1030000000000002</v>
      </c>
      <c r="L43" s="937">
        <v>1974</v>
      </c>
      <c r="M43" s="1312">
        <v>5.2000000000000005E-2</v>
      </c>
      <c r="N43" s="940">
        <v>1965</v>
      </c>
      <c r="O43" s="86"/>
      <c r="P43" s="86"/>
      <c r="Q43" s="86"/>
      <c r="R43" s="86"/>
      <c r="S43" s="86"/>
      <c r="T43" s="86"/>
      <c r="U43" s="86"/>
      <c r="V43" s="86"/>
      <c r="W43" s="86"/>
      <c r="X43" s="86"/>
      <c r="Y43" s="86"/>
      <c r="Z43" s="86"/>
      <c r="AA43" s="86"/>
      <c r="AB43" s="86"/>
      <c r="AC43" s="86"/>
      <c r="AD43" s="86"/>
      <c r="AE43" s="86"/>
      <c r="AF43" s="86"/>
    </row>
    <row r="44" spans="1:32">
      <c r="A44" s="828">
        <v>26</v>
      </c>
      <c r="B44" s="941"/>
      <c r="C44" s="937"/>
      <c r="D44" s="941"/>
      <c r="E44" s="1310"/>
      <c r="F44" s="1311"/>
      <c r="G44" s="937"/>
      <c r="H44" s="1622"/>
      <c r="I44" s="937"/>
      <c r="J44" s="937"/>
      <c r="K44" s="937"/>
      <c r="L44" s="937"/>
      <c r="M44" s="937"/>
      <c r="N44" s="940"/>
      <c r="O44" s="86"/>
      <c r="P44" s="86"/>
      <c r="Q44" s="86"/>
      <c r="R44" s="86"/>
      <c r="S44" s="86"/>
      <c r="T44" s="86"/>
      <c r="U44" s="86"/>
      <c r="V44" s="86"/>
      <c r="W44" s="86"/>
      <c r="X44" s="86"/>
      <c r="Y44" s="86"/>
      <c r="Z44" s="86"/>
      <c r="AA44" s="86"/>
      <c r="AB44" s="86"/>
      <c r="AC44" s="86"/>
      <c r="AD44" s="86"/>
      <c r="AE44" s="86"/>
      <c r="AF44" s="86"/>
    </row>
    <row r="45" spans="1:32">
      <c r="A45" s="828">
        <v>27</v>
      </c>
      <c r="B45" s="941" t="s">
        <v>4696</v>
      </c>
      <c r="C45" s="937"/>
      <c r="D45" s="941"/>
      <c r="E45" s="937"/>
      <c r="F45" s="1311"/>
      <c r="G45" s="937">
        <v>1</v>
      </c>
      <c r="H45" s="1622">
        <v>0.30099999999999999</v>
      </c>
      <c r="I45" s="937">
        <v>2.3969999999999998</v>
      </c>
      <c r="J45" s="937">
        <v>0.35899999999999999</v>
      </c>
      <c r="K45" s="937">
        <v>2.843</v>
      </c>
      <c r="L45" s="937">
        <v>2008</v>
      </c>
      <c r="M45" s="937">
        <v>0</v>
      </c>
      <c r="N45" s="940">
        <v>2010</v>
      </c>
      <c r="O45" s="86"/>
      <c r="P45" s="86"/>
      <c r="Q45" s="86"/>
      <c r="R45" s="86"/>
      <c r="S45" s="86"/>
      <c r="T45" s="86"/>
      <c r="U45" s="86"/>
      <c r="V45" s="86"/>
      <c r="W45" s="86"/>
      <c r="X45" s="86"/>
      <c r="Y45" s="86"/>
      <c r="Z45" s="86"/>
      <c r="AA45" s="86"/>
      <c r="AB45" s="86"/>
      <c r="AC45" s="86"/>
      <c r="AD45" s="86"/>
      <c r="AE45" s="86"/>
      <c r="AF45" s="86"/>
    </row>
    <row r="46" spans="1:32">
      <c r="A46" s="828">
        <v>28</v>
      </c>
      <c r="B46" s="941" t="s">
        <v>4212</v>
      </c>
      <c r="C46" s="937">
        <v>1916</v>
      </c>
      <c r="D46" s="2821" t="s">
        <v>4244</v>
      </c>
      <c r="E46" s="1146">
        <v>22</v>
      </c>
      <c r="F46" s="1311">
        <v>680</v>
      </c>
      <c r="G46" s="763"/>
      <c r="H46" s="179"/>
      <c r="I46" s="763"/>
      <c r="J46" s="763"/>
      <c r="K46" s="763"/>
      <c r="L46" s="763"/>
      <c r="M46" s="763"/>
      <c r="N46" s="681"/>
      <c r="O46" s="86"/>
      <c r="P46" s="86"/>
      <c r="Q46" s="86"/>
      <c r="R46" s="86"/>
      <c r="S46" s="86"/>
      <c r="T46" s="86"/>
      <c r="U46" s="86"/>
      <c r="V46" s="86"/>
      <c r="W46" s="86"/>
      <c r="X46" s="86"/>
      <c r="Y46" s="86"/>
      <c r="Z46" s="86"/>
      <c r="AA46" s="86"/>
      <c r="AB46" s="86"/>
      <c r="AC46" s="86"/>
      <c r="AD46" s="86"/>
      <c r="AE46" s="86"/>
      <c r="AF46" s="86"/>
    </row>
    <row r="47" spans="1:32">
      <c r="A47" s="828">
        <v>29</v>
      </c>
      <c r="B47" s="763" t="s">
        <v>4213</v>
      </c>
      <c r="C47" s="1146">
        <v>1927</v>
      </c>
      <c r="D47" s="2821" t="s">
        <v>4244</v>
      </c>
      <c r="E47" s="1146">
        <v>64.5</v>
      </c>
      <c r="F47" s="1311">
        <v>948</v>
      </c>
      <c r="G47" s="763"/>
      <c r="H47" s="179"/>
      <c r="I47" s="763"/>
      <c r="J47" s="763"/>
      <c r="K47" s="763"/>
      <c r="L47" s="763"/>
      <c r="M47" s="763"/>
      <c r="N47" s="681"/>
      <c r="O47" s="86"/>
      <c r="P47" s="86"/>
      <c r="Q47" s="86"/>
      <c r="R47" s="86"/>
      <c r="S47" s="86"/>
      <c r="T47" s="86"/>
      <c r="U47" s="86"/>
      <c r="V47" s="86"/>
      <c r="W47" s="86"/>
      <c r="X47" s="86"/>
      <c r="Y47" s="86"/>
      <c r="Z47" s="86"/>
      <c r="AA47" s="86"/>
      <c r="AB47" s="86"/>
      <c r="AC47" s="86"/>
      <c r="AD47" s="86"/>
      <c r="AE47" s="86"/>
      <c r="AF47" s="86"/>
    </row>
    <row r="48" spans="1:32">
      <c r="A48" s="828">
        <v>30</v>
      </c>
      <c r="B48" s="763" t="s">
        <v>4214</v>
      </c>
      <c r="C48" s="1146">
        <v>1945</v>
      </c>
      <c r="D48" s="2821" t="s">
        <v>4244</v>
      </c>
      <c r="E48" s="1146">
        <v>87</v>
      </c>
      <c r="F48" s="1311">
        <v>1076</v>
      </c>
      <c r="G48" s="1746"/>
      <c r="H48" s="2265"/>
      <c r="I48" s="1746"/>
      <c r="J48" s="1746"/>
      <c r="K48" s="1746"/>
      <c r="L48" s="1146"/>
      <c r="M48" s="1746"/>
      <c r="N48" s="352"/>
      <c r="O48" s="432"/>
      <c r="P48" s="86"/>
      <c r="Q48" s="86"/>
      <c r="R48" s="86"/>
      <c r="S48" s="86"/>
      <c r="T48" s="86"/>
      <c r="U48" s="86"/>
      <c r="V48" s="86"/>
      <c r="W48" s="86"/>
      <c r="X48" s="86"/>
      <c r="Y48" s="86"/>
      <c r="Z48" s="86"/>
      <c r="AA48" s="86"/>
      <c r="AB48" s="86"/>
      <c r="AC48" s="86"/>
      <c r="AD48" s="86"/>
      <c r="AE48" s="86"/>
      <c r="AF48" s="86"/>
    </row>
    <row r="49" spans="1:32">
      <c r="A49" s="828">
        <v>31</v>
      </c>
      <c r="B49" s="763"/>
      <c r="C49" s="763"/>
      <c r="D49" s="763"/>
      <c r="E49" s="763"/>
      <c r="F49" s="1311"/>
      <c r="G49" s="763"/>
      <c r="H49" s="179"/>
      <c r="I49" s="763"/>
      <c r="J49" s="763"/>
      <c r="K49" s="763"/>
      <c r="L49" s="763"/>
      <c r="M49" s="763"/>
      <c r="N49" s="681"/>
      <c r="O49" s="432"/>
      <c r="P49" s="86"/>
      <c r="Q49" s="86"/>
      <c r="R49" s="86"/>
      <c r="S49" s="86"/>
      <c r="T49" s="86"/>
      <c r="U49" s="86"/>
      <c r="V49" s="86"/>
      <c r="W49" s="86"/>
      <c r="X49" s="86"/>
      <c r="Y49" s="86"/>
      <c r="Z49" s="86"/>
      <c r="AA49" s="86"/>
      <c r="AB49" s="86"/>
      <c r="AC49" s="86"/>
      <c r="AD49" s="86"/>
      <c r="AE49" s="86"/>
      <c r="AF49" s="86"/>
    </row>
    <row r="50" spans="1:32">
      <c r="A50" s="828">
        <v>32</v>
      </c>
      <c r="B50" s="941" t="s">
        <v>85</v>
      </c>
      <c r="C50" s="937">
        <v>1959</v>
      </c>
      <c r="D50" s="2821" t="s">
        <v>4244</v>
      </c>
      <c r="E50" s="1146">
        <v>200</v>
      </c>
      <c r="F50" s="763"/>
      <c r="G50" s="763"/>
      <c r="H50" s="763"/>
      <c r="I50" s="763"/>
      <c r="J50" s="763"/>
      <c r="K50" s="763"/>
      <c r="L50" s="763"/>
      <c r="M50" s="763"/>
      <c r="N50" s="681"/>
      <c r="O50" s="86"/>
      <c r="P50" s="86"/>
      <c r="Q50" s="86"/>
      <c r="R50" s="86"/>
      <c r="S50" s="86"/>
      <c r="T50" s="86"/>
      <c r="U50" s="86"/>
      <c r="V50" s="86"/>
      <c r="W50" s="86"/>
      <c r="X50" s="86"/>
      <c r="Y50" s="86"/>
      <c r="Z50" s="86"/>
      <c r="AA50" s="86"/>
      <c r="AB50" s="86"/>
      <c r="AC50" s="86"/>
      <c r="AD50" s="86"/>
      <c r="AE50" s="86"/>
      <c r="AF50" s="86"/>
    </row>
    <row r="51" spans="1:32">
      <c r="A51" s="828">
        <v>33</v>
      </c>
      <c r="B51" s="941" t="s">
        <v>4697</v>
      </c>
      <c r="C51" s="937">
        <v>1959</v>
      </c>
      <c r="D51" s="2821" t="s">
        <v>4244</v>
      </c>
      <c r="E51" s="1146">
        <v>400</v>
      </c>
      <c r="F51" s="763"/>
      <c r="G51" s="763"/>
      <c r="H51" s="763"/>
      <c r="I51" s="763"/>
      <c r="J51" s="763"/>
      <c r="K51" s="763"/>
      <c r="L51" s="763"/>
      <c r="M51" s="763"/>
      <c r="N51" s="681"/>
      <c r="O51" s="86"/>
      <c r="P51" s="86"/>
      <c r="Q51" s="86"/>
      <c r="R51" s="86"/>
      <c r="S51" s="86"/>
      <c r="T51" s="86"/>
      <c r="U51" s="86"/>
      <c r="V51" s="86"/>
      <c r="W51" s="86"/>
      <c r="X51" s="86"/>
      <c r="Y51" s="86"/>
      <c r="Z51" s="86"/>
      <c r="AA51" s="86"/>
      <c r="AB51" s="86"/>
      <c r="AC51" s="86"/>
      <c r="AD51" s="86"/>
      <c r="AE51" s="86"/>
      <c r="AF51" s="86"/>
    </row>
    <row r="52" spans="1:32">
      <c r="A52" s="828">
        <v>34</v>
      </c>
      <c r="B52" s="941" t="s">
        <v>4698</v>
      </c>
      <c r="C52" s="937">
        <v>1960</v>
      </c>
      <c r="D52" s="2821" t="s">
        <v>4244</v>
      </c>
      <c r="E52" s="1146">
        <v>700</v>
      </c>
      <c r="F52" s="763"/>
      <c r="G52" s="763"/>
      <c r="H52" s="763"/>
      <c r="I52" s="763"/>
      <c r="J52" s="763"/>
      <c r="K52" s="763"/>
      <c r="L52" s="763"/>
      <c r="M52" s="763"/>
      <c r="N52" s="681"/>
      <c r="O52" s="86"/>
      <c r="P52" s="86"/>
      <c r="Q52" s="86"/>
      <c r="R52" s="86"/>
      <c r="S52" s="86"/>
      <c r="T52" s="86"/>
      <c r="U52" s="86"/>
      <c r="V52" s="86"/>
      <c r="W52" s="86"/>
      <c r="X52" s="86"/>
      <c r="Y52" s="86"/>
      <c r="Z52" s="86"/>
      <c r="AA52" s="86"/>
      <c r="AB52" s="86"/>
      <c r="AC52" s="86"/>
      <c r="AD52" s="86"/>
      <c r="AE52" s="86"/>
      <c r="AF52" s="86"/>
    </row>
    <row r="53" spans="1:32">
      <c r="A53" s="828">
        <v>35</v>
      </c>
      <c r="B53" s="763"/>
      <c r="C53" s="763"/>
      <c r="D53" s="763"/>
      <c r="E53" s="763"/>
      <c r="F53" s="763"/>
      <c r="G53" s="763"/>
      <c r="H53" s="763"/>
      <c r="I53" s="763"/>
      <c r="J53" s="763"/>
      <c r="K53" s="763"/>
      <c r="L53" s="763"/>
      <c r="M53" s="763"/>
      <c r="N53" s="681"/>
      <c r="O53" s="432"/>
      <c r="P53" s="86"/>
      <c r="Q53" s="86"/>
      <c r="R53" s="86"/>
      <c r="S53" s="86"/>
      <c r="T53" s="86"/>
      <c r="U53" s="86"/>
      <c r="V53" s="86"/>
      <c r="W53" s="86"/>
      <c r="X53" s="86"/>
      <c r="Y53" s="86"/>
      <c r="Z53" s="86"/>
      <c r="AA53" s="86"/>
      <c r="AB53" s="86"/>
      <c r="AC53" s="86"/>
      <c r="AD53" s="86"/>
      <c r="AE53" s="86"/>
      <c r="AF53" s="86"/>
    </row>
    <row r="54" spans="1:32">
      <c r="A54" s="828">
        <v>36</v>
      </c>
      <c r="B54" s="763" t="s">
        <v>4699</v>
      </c>
      <c r="C54" s="763"/>
      <c r="D54" s="763"/>
      <c r="E54" s="763"/>
      <c r="F54" s="763"/>
      <c r="G54" s="763"/>
      <c r="H54" s="763"/>
      <c r="I54" s="763"/>
      <c r="J54" s="763"/>
      <c r="K54" s="763"/>
      <c r="L54" s="763"/>
      <c r="M54" s="763"/>
      <c r="N54" s="681"/>
      <c r="O54" s="432"/>
      <c r="P54" s="86"/>
      <c r="Q54" s="86"/>
      <c r="R54" s="86"/>
      <c r="S54" s="86"/>
      <c r="T54" s="86"/>
      <c r="U54" s="86"/>
      <c r="V54" s="86"/>
      <c r="W54" s="86"/>
      <c r="X54" s="86"/>
      <c r="Y54" s="86"/>
      <c r="Z54" s="86"/>
      <c r="AA54" s="86"/>
      <c r="AB54" s="86"/>
      <c r="AC54" s="86"/>
      <c r="AD54" s="86"/>
      <c r="AE54" s="86"/>
      <c r="AF54" s="86"/>
    </row>
    <row r="55" spans="1:32">
      <c r="A55" s="828">
        <v>37</v>
      </c>
      <c r="B55" s="763" t="s">
        <v>4700</v>
      </c>
      <c r="C55" s="763"/>
      <c r="D55" s="763"/>
      <c r="E55" s="763"/>
      <c r="F55" s="763"/>
      <c r="G55" s="763"/>
      <c r="H55" s="763"/>
      <c r="I55" s="763"/>
      <c r="J55" s="763"/>
      <c r="K55" s="763"/>
      <c r="L55" s="763"/>
      <c r="M55" s="763"/>
      <c r="N55" s="681"/>
      <c r="O55" s="432"/>
      <c r="P55" s="86"/>
      <c r="Q55" s="86"/>
      <c r="R55" s="86"/>
      <c r="S55" s="86"/>
      <c r="T55" s="86"/>
      <c r="U55" s="86"/>
      <c r="V55" s="86"/>
      <c r="W55" s="86"/>
      <c r="X55" s="86"/>
      <c r="Y55" s="86"/>
      <c r="Z55" s="86"/>
      <c r="AA55" s="86"/>
      <c r="AB55" s="86"/>
      <c r="AC55" s="86"/>
      <c r="AD55" s="86"/>
      <c r="AE55" s="86"/>
      <c r="AF55" s="86"/>
    </row>
    <row r="56" spans="1:32" ht="15.75" thickBot="1">
      <c r="A56" s="551">
        <v>38</v>
      </c>
      <c r="B56" s="912" t="s">
        <v>5313</v>
      </c>
      <c r="C56" s="912"/>
      <c r="D56" s="912"/>
      <c r="E56" s="912"/>
      <c r="F56" s="912"/>
      <c r="G56" s="912"/>
      <c r="H56" s="912"/>
      <c r="I56" s="912"/>
      <c r="J56" s="912"/>
      <c r="K56" s="912"/>
      <c r="L56" s="912"/>
      <c r="M56" s="912"/>
      <c r="N56" s="1152"/>
      <c r="O56" s="432"/>
      <c r="P56" s="86"/>
      <c r="Q56" s="86"/>
      <c r="R56" s="86"/>
      <c r="S56" s="86"/>
      <c r="T56" s="86"/>
      <c r="U56" s="86"/>
      <c r="V56" s="86"/>
      <c r="W56" s="86"/>
      <c r="X56" s="86"/>
      <c r="Y56" s="86"/>
      <c r="Z56" s="86"/>
      <c r="AA56" s="86"/>
      <c r="AB56" s="86"/>
      <c r="AC56" s="86"/>
      <c r="AD56" s="86"/>
      <c r="AE56" s="86"/>
      <c r="AF56" s="86"/>
    </row>
    <row r="57" spans="1:32">
      <c r="A57" s="86"/>
      <c r="B57" s="86"/>
      <c r="C57" s="86"/>
      <c r="D57" s="86"/>
      <c r="E57" s="86"/>
      <c r="F57" s="86"/>
      <c r="G57" s="86"/>
      <c r="H57" s="86"/>
      <c r="I57" s="86"/>
      <c r="J57" s="86"/>
      <c r="K57" s="86"/>
      <c r="L57" s="86"/>
      <c r="M57" s="86"/>
      <c r="N57" s="405" t="s">
        <v>544</v>
      </c>
      <c r="O57" s="432"/>
      <c r="P57" s="86"/>
      <c r="Q57" s="86"/>
      <c r="R57" s="86"/>
      <c r="S57" s="86"/>
      <c r="T57" s="86"/>
      <c r="U57" s="86"/>
      <c r="V57" s="86"/>
      <c r="W57" s="86"/>
      <c r="X57" s="86"/>
      <c r="Y57" s="86"/>
      <c r="Z57" s="86"/>
      <c r="AA57" s="86"/>
      <c r="AB57" s="86"/>
      <c r="AC57" s="86"/>
      <c r="AD57" s="86"/>
      <c r="AE57" s="86"/>
      <c r="AF57" s="86"/>
    </row>
    <row r="58" spans="1:32">
      <c r="A58" s="539" t="s">
        <v>1873</v>
      </c>
      <c r="B58" s="5"/>
      <c r="C58" s="5"/>
      <c r="D58" s="5"/>
      <c r="E58" s="5"/>
      <c r="F58" s="5"/>
      <c r="G58" s="5"/>
      <c r="H58" s="5"/>
      <c r="I58" s="5"/>
      <c r="J58" s="5"/>
      <c r="K58" s="5"/>
      <c r="L58" s="5"/>
      <c r="M58" s="5"/>
      <c r="N58" s="5"/>
      <c r="O58" s="432"/>
      <c r="P58" s="86"/>
      <c r="Q58" s="86"/>
      <c r="R58" s="86"/>
      <c r="S58" s="86"/>
      <c r="T58" s="86"/>
      <c r="U58" s="86"/>
      <c r="V58" s="86"/>
      <c r="W58" s="86"/>
      <c r="X58" s="86"/>
      <c r="Y58" s="86"/>
      <c r="Z58" s="86"/>
      <c r="AA58" s="86"/>
      <c r="AB58" s="86"/>
      <c r="AC58" s="86"/>
      <c r="AD58" s="86"/>
      <c r="AE58" s="86"/>
      <c r="AF58" s="86"/>
    </row>
    <row r="59" spans="1:32">
      <c r="A59" s="86"/>
      <c r="B59" s="86"/>
      <c r="C59" s="86"/>
      <c r="D59" s="86"/>
      <c r="E59" s="86"/>
      <c r="F59" s="86"/>
      <c r="G59" s="86"/>
      <c r="H59" s="86"/>
      <c r="I59" s="86"/>
      <c r="J59" s="86"/>
      <c r="K59" s="86"/>
      <c r="L59" s="86"/>
      <c r="M59" s="86"/>
      <c r="N59" s="86"/>
      <c r="O59" s="432"/>
      <c r="P59" s="86"/>
      <c r="Q59" s="86"/>
      <c r="R59" s="86"/>
      <c r="S59" s="86"/>
      <c r="T59" s="86"/>
      <c r="U59" s="86"/>
      <c r="V59" s="86"/>
      <c r="W59" s="86"/>
      <c r="X59" s="86"/>
      <c r="Y59" s="86"/>
      <c r="Z59" s="86"/>
      <c r="AA59" s="86"/>
      <c r="AB59" s="86"/>
      <c r="AC59" s="86"/>
      <c r="AD59" s="86"/>
      <c r="AE59" s="86"/>
      <c r="AF59" s="86"/>
    </row>
    <row r="60" spans="1:3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r="61" spans="1:3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r="62" spans="1:3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r="63" spans="1:3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r="64" spans="1:3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r="65" spans="1:32">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row>
    <row r="66" spans="1:32">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row>
    <row r="67" spans="1:32">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row>
    <row r="68" spans="1:32">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row>
    <row r="69" spans="1:32">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row>
    <row r="70" spans="1:32">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row>
    <row r="71" spans="1:32">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row>
    <row r="72" spans="1:32">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row>
    <row r="73" spans="1:32">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row>
    <row r="74" spans="1:32">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row>
    <row r="75" spans="1:32">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row>
    <row r="76" spans="1:32">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row>
    <row r="77" spans="1:32">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row>
    <row r="78" spans="1:32">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row>
    <row r="79" spans="1:32">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row>
    <row r="80" spans="1:32">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row>
    <row r="81" spans="1:32">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row>
    <row r="82" spans="1:32">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row>
    <row r="83" spans="1:32">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row>
    <row r="84" spans="1:32">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row>
    <row r="85" spans="1:32">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row>
    <row r="86" spans="1:32">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row>
    <row r="87" spans="1:32">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row>
    <row r="88" spans="1:32">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row>
    <row r="89" spans="1:32">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row>
    <row r="90" spans="1:32">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row>
    <row r="91" spans="1:32">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row>
    <row r="92" spans="1:32">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row>
    <row r="93" spans="1:32">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row>
    <row r="94" spans="1:32">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row>
    <row r="95" spans="1:32">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row>
    <row r="96" spans="1:32">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row>
    <row r="97" spans="1:32">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row>
    <row r="98" spans="1:32">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row>
    <row r="99" spans="1:32">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row>
    <row r="100" spans="1:32">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row>
    <row r="101" spans="1:32">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row>
    <row r="102" spans="1:32">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row>
    <row r="103" spans="1:32">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row>
    <row r="104" spans="1:32">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row>
    <row r="105" spans="1:32">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row>
    <row r="106" spans="1:32">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row>
    <row r="107" spans="1:32">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row>
    <row r="108" spans="1:32">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row>
    <row r="109" spans="1:32">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row>
    <row r="110" spans="1:32">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row>
    <row r="111" spans="1:32">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row>
    <row r="112" spans="1:32">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row>
    <row r="113" spans="1:32">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row>
    <row r="114" spans="1:32">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row>
    <row r="115" spans="1:32">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row>
    <row r="116" spans="1:32">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row>
    <row r="117" spans="1:32">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row>
    <row r="118" spans="1:32">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row>
    <row r="119" spans="1:32">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row>
    <row r="120" spans="1:32">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row>
    <row r="121" spans="1:32">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row>
    <row r="122" spans="1:32">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row>
    <row r="123" spans="1:32">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row>
    <row r="124" spans="1:32">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row>
    <row r="125" spans="1:32">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row>
    <row r="126" spans="1:32">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row>
    <row r="127" spans="1:32">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row>
    <row r="128" spans="1:32">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row>
    <row r="129" spans="1:32">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row>
    <row r="130" spans="1:32">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row>
    <row r="131" spans="1:32">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row>
    <row r="132" spans="1:32">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row>
    <row r="133" spans="1:32">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row>
    <row r="134" spans="1:32">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row>
    <row r="135" spans="1:32">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row>
    <row r="136" spans="1:32">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row>
    <row r="137" spans="1:32">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row>
    <row r="138" spans="1:32">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row>
    <row r="139" spans="1:32">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row>
    <row r="140" spans="1:32">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row>
    <row r="141" spans="1:32">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row>
    <row r="142" spans="1:32">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row>
    <row r="143" spans="1:32">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row>
    <row r="144" spans="1:32">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row>
    <row r="145" spans="1:32">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row>
    <row r="146" spans="1:32">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row>
    <row r="147" spans="1:32">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row>
    <row r="148" spans="1:32">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row>
    <row r="149" spans="1:32">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row>
    <row r="150" spans="1:32">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row>
    <row r="151" spans="1:32">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row>
    <row r="152" spans="1:32">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row>
    <row r="153" spans="1:32">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row>
    <row r="154" spans="1:32">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row>
    <row r="155" spans="1:32">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row>
    <row r="156" spans="1:32">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row>
    <row r="157" spans="1:32">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row>
    <row r="158" spans="1:32">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row>
    <row r="159" spans="1:32">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row>
    <row r="160" spans="1:32">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row>
    <row r="161" spans="1:32">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row>
    <row r="162" spans="1:32">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row>
    <row r="163" spans="1:32">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row>
    <row r="164" spans="1:32">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row>
    <row r="165" spans="1:32">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row>
    <row r="166" spans="1:32">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row>
    <row r="167" spans="1:32">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row>
    <row r="168" spans="1:32">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row>
    <row r="169" spans="1:32">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row>
    <row r="170" spans="1:32">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row>
    <row r="171" spans="1:32">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row>
    <row r="172" spans="1:32">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row>
    <row r="173" spans="1:32">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row>
    <row r="174" spans="1:32">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row>
    <row r="175" spans="1:32">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row>
    <row r="176" spans="1:32">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row>
    <row r="177" spans="1:32">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row>
    <row r="178" spans="1:32">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row>
    <row r="179" spans="1:32">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row>
    <row r="180" spans="1:32">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row>
    <row r="181" spans="1:32">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row>
    <row r="182" spans="1:32">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row>
    <row r="183" spans="1:32">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row>
    <row r="184" spans="1:32">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row>
    <row r="185" spans="1:32">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row>
    <row r="186" spans="1:32">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row>
    <row r="187" spans="1:32">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row>
    <row r="188" spans="1:32">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row>
    <row r="189" spans="1:32">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row>
    <row r="190" spans="1:32">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row>
    <row r="191" spans="1:32">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row>
    <row r="192" spans="1:32">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row>
    <row r="193" spans="1:32">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86"/>
    </row>
    <row r="194" spans="1:32">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row>
    <row r="195" spans="1:32">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c r="AE195" s="86"/>
      <c r="AF195" s="86"/>
    </row>
    <row r="196" spans="1:32">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row>
    <row r="197" spans="1:32">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row>
    <row r="198" spans="1:32">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row>
    <row r="199" spans="1:32">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86"/>
    </row>
    <row r="200" spans="1:32">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row>
    <row r="201" spans="1:32">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86"/>
      <c r="AB201" s="86"/>
      <c r="AC201" s="86"/>
      <c r="AD201" s="86"/>
      <c r="AE201" s="86"/>
      <c r="AF201" s="86"/>
    </row>
    <row r="202" spans="1:32">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row>
    <row r="203" spans="1:32">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86"/>
      <c r="AB203" s="86"/>
      <c r="AC203" s="86"/>
      <c r="AD203" s="86"/>
      <c r="AE203" s="86"/>
      <c r="AF203" s="86"/>
    </row>
    <row r="204" spans="1:32">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row>
    <row r="205" spans="1:32">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row>
    <row r="206" spans="1:32">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row>
    <row r="207" spans="1:32">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row>
    <row r="208" spans="1:32">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row>
    <row r="209" spans="1:32">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c r="AF209" s="86"/>
    </row>
    <row r="210" spans="1:32">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row>
    <row r="211" spans="1:32">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row>
    <row r="212" spans="1:32">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row>
    <row r="213" spans="1:32">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row>
    <row r="214" spans="1:32">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row>
    <row r="215" spans="1:32">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86"/>
    </row>
    <row r="216" spans="1:32">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row>
    <row r="217" spans="1:32">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row>
    <row r="218" spans="1:32">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row>
    <row r="219" spans="1:32">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row>
    <row r="220" spans="1:32">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row>
    <row r="221" spans="1:32">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row>
    <row r="222" spans="1:32">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row>
    <row r="223" spans="1:32">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c r="AA223" s="86"/>
      <c r="AB223" s="86"/>
      <c r="AC223" s="86"/>
      <c r="AD223" s="86"/>
      <c r="AE223" s="86"/>
      <c r="AF223" s="86"/>
    </row>
    <row r="224" spans="1:32">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86"/>
    </row>
    <row r="225" spans="1:32">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row>
    <row r="226" spans="1:32">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86"/>
    </row>
    <row r="227" spans="1:32">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86"/>
    </row>
    <row r="228" spans="1:32">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86"/>
    </row>
    <row r="229" spans="1:32">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86"/>
    </row>
    <row r="230" spans="1:32">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86"/>
    </row>
    <row r="231" spans="1:32">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c r="AA231" s="86"/>
      <c r="AB231" s="86"/>
      <c r="AC231" s="86"/>
      <c r="AD231" s="86"/>
      <c r="AE231" s="86"/>
      <c r="AF231" s="86"/>
    </row>
    <row r="232" spans="1:32">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row>
    <row r="233" spans="1:32">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c r="AA233" s="86"/>
      <c r="AB233" s="86"/>
      <c r="AC233" s="86"/>
      <c r="AD233" s="86"/>
      <c r="AE233" s="86"/>
      <c r="AF233" s="86"/>
    </row>
    <row r="234" spans="1:32">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row>
    <row r="235" spans="1:32">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c r="AA235" s="86"/>
      <c r="AB235" s="86"/>
      <c r="AC235" s="86"/>
      <c r="AD235" s="86"/>
      <c r="AE235" s="86"/>
      <c r="AF235" s="86"/>
    </row>
    <row r="236" spans="1:32">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row>
    <row r="237" spans="1:32">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row>
    <row r="238" spans="1:32">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row>
    <row r="239" spans="1:32">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c r="AA239" s="86"/>
      <c r="AB239" s="86"/>
      <c r="AC239" s="86"/>
      <c r="AD239" s="86"/>
      <c r="AE239" s="86"/>
      <c r="AF239" s="86"/>
    </row>
    <row r="240" spans="1:32">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row>
    <row r="241" spans="1:32">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86"/>
    </row>
    <row r="242" spans="1:32">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row>
    <row r="243" spans="1:32">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86"/>
    </row>
    <row r="244" spans="1:32">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row>
    <row r="245" spans="1:32">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86"/>
    </row>
    <row r="246" spans="1:32">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row>
    <row r="247" spans="1:32">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c r="AA247" s="86"/>
      <c r="AB247" s="86"/>
      <c r="AC247" s="86"/>
      <c r="AD247" s="86"/>
      <c r="AE247" s="86"/>
      <c r="AF247" s="86"/>
    </row>
    <row r="248" spans="1:32">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86"/>
    </row>
    <row r="249" spans="1:32">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c r="AA249" s="86"/>
      <c r="AB249" s="86"/>
      <c r="AC249" s="86"/>
      <c r="AD249" s="86"/>
      <c r="AE249" s="86"/>
      <c r="AF249" s="86"/>
    </row>
    <row r="250" spans="1:32">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86"/>
    </row>
    <row r="251" spans="1:32">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86"/>
    </row>
    <row r="252" spans="1:32">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row>
    <row r="253" spans="1:32">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86"/>
    </row>
    <row r="254" spans="1:32">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c r="AF254" s="86"/>
    </row>
    <row r="255" spans="1:32">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c r="AA255" s="86"/>
      <c r="AB255" s="86"/>
      <c r="AC255" s="86"/>
      <c r="AD255" s="86"/>
      <c r="AE255" s="86"/>
      <c r="AF255" s="86"/>
    </row>
    <row r="256" spans="1:32">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c r="AF256" s="86"/>
    </row>
    <row r="257" spans="1:32">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c r="AA257" s="86"/>
      <c r="AB257" s="86"/>
      <c r="AC257" s="86"/>
      <c r="AD257" s="86"/>
      <c r="AE257" s="86"/>
      <c r="AF257" s="86"/>
    </row>
    <row r="258" spans="1:32">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row>
    <row r="259" spans="1:32">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c r="AA259" s="86"/>
      <c r="AB259" s="86"/>
      <c r="AC259" s="86"/>
      <c r="AD259" s="86"/>
      <c r="AE259" s="86"/>
      <c r="AF259" s="86"/>
    </row>
    <row r="260" spans="1:32">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86"/>
    </row>
    <row r="261" spans="1:32">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c r="AA261" s="86"/>
      <c r="AB261" s="86"/>
      <c r="AC261" s="86"/>
      <c r="AD261" s="86"/>
      <c r="AE261" s="86"/>
      <c r="AF261" s="86"/>
    </row>
    <row r="262" spans="1:32">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row>
    <row r="263" spans="1:32">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c r="AA263" s="86"/>
      <c r="AB263" s="86"/>
      <c r="AC263" s="86"/>
      <c r="AD263" s="86"/>
      <c r="AE263" s="86"/>
      <c r="AF263" s="86"/>
    </row>
    <row r="264" spans="1:32">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86"/>
    </row>
    <row r="265" spans="1:32">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c r="AA265" s="86"/>
      <c r="AB265" s="86"/>
      <c r="AC265" s="86"/>
      <c r="AD265" s="86"/>
      <c r="AE265" s="86"/>
      <c r="AF265" s="86"/>
    </row>
    <row r="266" spans="1:32">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86"/>
    </row>
    <row r="267" spans="1:32">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86"/>
      <c r="AD267" s="86"/>
      <c r="AE267" s="86"/>
      <c r="AF267" s="86"/>
    </row>
    <row r="268" spans="1:32">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row>
    <row r="269" spans="1:32">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row>
    <row r="270" spans="1:32">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row>
    <row r="271" spans="1:32">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c r="AA271" s="86"/>
      <c r="AB271" s="86"/>
      <c r="AC271" s="86"/>
      <c r="AD271" s="86"/>
      <c r="AE271" s="86"/>
      <c r="AF271" s="86"/>
    </row>
    <row r="272" spans="1:32">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row>
    <row r="273" spans="1:32">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c r="AA273" s="86"/>
      <c r="AB273" s="86"/>
      <c r="AC273" s="86"/>
      <c r="AD273" s="86"/>
      <c r="AE273" s="86"/>
      <c r="AF273" s="86"/>
    </row>
    <row r="274" spans="1:32">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86"/>
    </row>
    <row r="275" spans="1:32">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c r="AA275" s="86"/>
      <c r="AB275" s="86"/>
      <c r="AC275" s="86"/>
      <c r="AD275" s="86"/>
      <c r="AE275" s="86"/>
      <c r="AF275" s="86"/>
    </row>
    <row r="276" spans="1:32">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86"/>
    </row>
    <row r="277" spans="1:32">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c r="AA277" s="86"/>
      <c r="AB277" s="86"/>
      <c r="AC277" s="86"/>
      <c r="AD277" s="86"/>
      <c r="AE277" s="86"/>
      <c r="AF277" s="86"/>
    </row>
    <row r="278" spans="1:32">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row>
    <row r="279" spans="1:32">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c r="AA279" s="86"/>
      <c r="AB279" s="86"/>
      <c r="AC279" s="86"/>
      <c r="AD279" s="86"/>
      <c r="AE279" s="86"/>
      <c r="AF279" s="86"/>
    </row>
    <row r="280" spans="1:32">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row>
    <row r="281" spans="1:32">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c r="AA281" s="86"/>
      <c r="AB281" s="86"/>
      <c r="AC281" s="86"/>
      <c r="AD281" s="86"/>
      <c r="AE281" s="86"/>
      <c r="AF281" s="86"/>
    </row>
    <row r="282" spans="1:32">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row>
    <row r="283" spans="1:32">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row>
    <row r="284" spans="1:32">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row>
    <row r="285" spans="1:32">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row>
    <row r="286" spans="1:32">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row>
    <row r="287" spans="1:32">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c r="AA287" s="86"/>
      <c r="AB287" s="86"/>
      <c r="AC287" s="86"/>
      <c r="AD287" s="86"/>
      <c r="AE287" s="86"/>
      <c r="AF287" s="86"/>
    </row>
    <row r="288" spans="1:32">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row>
    <row r="289" spans="1:32">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c r="AA289" s="86"/>
      <c r="AB289" s="86"/>
      <c r="AC289" s="86"/>
      <c r="AD289" s="86"/>
      <c r="AE289" s="86"/>
      <c r="AF289" s="86"/>
    </row>
    <row r="290" spans="1:32">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row>
    <row r="291" spans="1:32">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c r="AA291" s="86"/>
      <c r="AB291" s="86"/>
      <c r="AC291" s="86"/>
      <c r="AD291" s="86"/>
      <c r="AE291" s="86"/>
      <c r="AF291" s="86"/>
    </row>
    <row r="292" spans="1:32">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86"/>
    </row>
    <row r="293" spans="1:32">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c r="AA293" s="86"/>
      <c r="AB293" s="86"/>
      <c r="AC293" s="86"/>
      <c r="AD293" s="86"/>
      <c r="AE293" s="86"/>
      <c r="AF293" s="86"/>
    </row>
    <row r="294" spans="1:32">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86"/>
    </row>
    <row r="295" spans="1:32">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c r="AA295" s="86"/>
      <c r="AB295" s="86"/>
      <c r="AC295" s="86"/>
      <c r="AD295" s="86"/>
      <c r="AE295" s="86"/>
      <c r="AF295" s="86"/>
    </row>
    <row r="296" spans="1:32">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c r="AF296" s="86"/>
    </row>
    <row r="297" spans="1:32">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c r="AA297" s="86"/>
      <c r="AB297" s="86"/>
      <c r="AC297" s="86"/>
      <c r="AD297" s="86"/>
      <c r="AE297" s="86"/>
      <c r="AF297" s="86"/>
    </row>
    <row r="298" spans="1:32">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row>
    <row r="299" spans="1:32">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c r="AA299" s="86"/>
      <c r="AB299" s="86"/>
      <c r="AC299" s="86"/>
      <c r="AD299" s="86"/>
      <c r="AE299" s="86"/>
      <c r="AF299" s="86"/>
    </row>
    <row r="300" spans="1:32">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row>
    <row r="301" spans="1:32">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row>
    <row r="302" spans="1:32">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86"/>
    </row>
    <row r="303" spans="1:32">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c r="AA303" s="86"/>
      <c r="AB303" s="86"/>
      <c r="AC303" s="86"/>
      <c r="AD303" s="86"/>
      <c r="AE303" s="86"/>
      <c r="AF303" s="86"/>
    </row>
    <row r="304" spans="1:32">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86"/>
    </row>
    <row r="305" spans="1:32">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86"/>
      <c r="AC305" s="86"/>
      <c r="AD305" s="86"/>
      <c r="AE305" s="86"/>
      <c r="AF305" s="86"/>
    </row>
    <row r="306" spans="1:32">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row>
    <row r="307" spans="1:32">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c r="AA307" s="86"/>
      <c r="AB307" s="86"/>
      <c r="AC307" s="86"/>
      <c r="AD307" s="86"/>
      <c r="AE307" s="86"/>
      <c r="AF307" s="86"/>
    </row>
    <row r="308" spans="1:32">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86"/>
    </row>
    <row r="309" spans="1:32">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c r="AA309" s="86"/>
      <c r="AB309" s="86"/>
      <c r="AC309" s="86"/>
      <c r="AD309" s="86"/>
      <c r="AE309" s="86"/>
      <c r="AF309" s="86"/>
    </row>
    <row r="310" spans="1:32">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86"/>
    </row>
    <row r="311" spans="1:32">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c r="AA311" s="86"/>
      <c r="AB311" s="86"/>
      <c r="AC311" s="86"/>
      <c r="AD311" s="86"/>
      <c r="AE311" s="86"/>
      <c r="AF311" s="86"/>
    </row>
    <row r="312" spans="1:32">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row>
    <row r="313" spans="1:32">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86"/>
    </row>
    <row r="314" spans="1:32">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row>
    <row r="315" spans="1:32">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86"/>
    </row>
    <row r="316" spans="1:32">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row>
    <row r="317" spans="1:32">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row>
    <row r="318" spans="1:32">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row>
    <row r="319" spans="1:32">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86"/>
    </row>
    <row r="320" spans="1:32">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row>
    <row r="321" spans="1:32">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c r="AA321" s="86"/>
      <c r="AB321" s="86"/>
      <c r="AC321" s="86"/>
      <c r="AD321" s="86"/>
      <c r="AE321" s="86"/>
      <c r="AF321" s="86"/>
    </row>
    <row r="322" spans="1:32">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86"/>
    </row>
    <row r="323" spans="1:32">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c r="AA323" s="86"/>
      <c r="AB323" s="86"/>
      <c r="AC323" s="86"/>
      <c r="AD323" s="86"/>
      <c r="AE323" s="86"/>
      <c r="AF323" s="86"/>
    </row>
    <row r="324" spans="1:32">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row>
    <row r="325" spans="1:32">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c r="AA325" s="86"/>
      <c r="AB325" s="86"/>
      <c r="AC325" s="86"/>
      <c r="AD325" s="86"/>
      <c r="AE325" s="86"/>
      <c r="AF325" s="86"/>
    </row>
    <row r="326" spans="1:32">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86"/>
    </row>
    <row r="327" spans="1:32">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86"/>
    </row>
    <row r="328" spans="1:32">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row>
    <row r="329" spans="1:32">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c r="AA329" s="86"/>
      <c r="AB329" s="86"/>
      <c r="AC329" s="86"/>
      <c r="AD329" s="86"/>
      <c r="AE329" s="86"/>
      <c r="AF329" s="86"/>
    </row>
    <row r="330" spans="1:32">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row>
    <row r="331" spans="1:32">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c r="AA331" s="86"/>
      <c r="AB331" s="86"/>
      <c r="AC331" s="86"/>
      <c r="AD331" s="86"/>
      <c r="AE331" s="86"/>
      <c r="AF331" s="86"/>
    </row>
    <row r="332" spans="1:32">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row>
    <row r="333" spans="1:32">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row>
    <row r="334" spans="1:32">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row>
    <row r="335" spans="1:32">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86"/>
    </row>
    <row r="336" spans="1:32">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row>
    <row r="337" spans="1:32">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c r="AA337" s="86"/>
      <c r="AB337" s="86"/>
      <c r="AC337" s="86"/>
      <c r="AD337" s="86"/>
      <c r="AE337" s="86"/>
      <c r="AF337" s="86"/>
    </row>
    <row r="338" spans="1:32">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row>
    <row r="339" spans="1:32">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86"/>
    </row>
    <row r="340" spans="1:32">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86"/>
    </row>
    <row r="341" spans="1:32">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c r="AF341" s="86"/>
    </row>
    <row r="342" spans="1:32">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row>
    <row r="343" spans="1:32">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row>
    <row r="344" spans="1:32">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row>
    <row r="345" spans="1:32">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c r="AA345" s="86"/>
      <c r="AB345" s="86"/>
      <c r="AC345" s="86"/>
      <c r="AD345" s="86"/>
      <c r="AE345" s="86"/>
      <c r="AF345" s="86"/>
    </row>
    <row r="346" spans="1:32">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86"/>
    </row>
    <row r="347" spans="1:32">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c r="AA347" s="86"/>
      <c r="AB347" s="86"/>
      <c r="AC347" s="86"/>
      <c r="AD347" s="86"/>
      <c r="AE347" s="86"/>
      <c r="AF347" s="86"/>
    </row>
    <row r="348" spans="1:32">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86"/>
    </row>
    <row r="349" spans="1:32">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c r="AA349" s="86"/>
      <c r="AB349" s="86"/>
      <c r="AC349" s="86"/>
      <c r="AD349" s="86"/>
      <c r="AE349" s="86"/>
      <c r="AF349" s="86"/>
    </row>
    <row r="350" spans="1:32">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86"/>
    </row>
    <row r="351" spans="1:32">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c r="AA351" s="86"/>
      <c r="AB351" s="86"/>
      <c r="AC351" s="86"/>
      <c r="AD351" s="86"/>
      <c r="AE351" s="86"/>
      <c r="AF351" s="86"/>
    </row>
    <row r="352" spans="1:32">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86"/>
    </row>
    <row r="353" spans="1:32">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c r="AA353" s="86"/>
      <c r="AB353" s="86"/>
      <c r="AC353" s="86"/>
      <c r="AD353" s="86"/>
      <c r="AE353" s="86"/>
      <c r="AF353" s="86"/>
    </row>
    <row r="354" spans="1:32">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row>
    <row r="355" spans="1:32">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c r="AA355" s="86"/>
      <c r="AB355" s="86"/>
      <c r="AC355" s="86"/>
      <c r="AD355" s="86"/>
      <c r="AE355" s="86"/>
      <c r="AF355" s="86"/>
    </row>
    <row r="356" spans="1:32">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86"/>
    </row>
    <row r="357" spans="1:32">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6"/>
      <c r="AA357" s="86"/>
      <c r="AB357" s="86"/>
      <c r="AC357" s="86"/>
      <c r="AD357" s="86"/>
      <c r="AE357" s="86"/>
      <c r="AF357" s="86"/>
    </row>
    <row r="358" spans="1:32">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c r="AA358" s="86"/>
      <c r="AB358" s="86"/>
      <c r="AC358" s="86"/>
      <c r="AD358" s="86"/>
      <c r="AE358" s="86"/>
      <c r="AF358" s="86"/>
    </row>
    <row r="359" spans="1:32">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c r="AA359" s="86"/>
      <c r="AB359" s="86"/>
      <c r="AC359" s="86"/>
      <c r="AD359" s="86"/>
      <c r="AE359" s="86"/>
      <c r="AF359" s="86"/>
    </row>
    <row r="360" spans="1:32">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c r="AA360" s="86"/>
      <c r="AB360" s="86"/>
      <c r="AC360" s="86"/>
      <c r="AD360" s="86"/>
      <c r="AE360" s="86"/>
      <c r="AF360" s="86"/>
    </row>
    <row r="361" spans="1:32">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c r="AA361" s="86"/>
      <c r="AB361" s="86"/>
      <c r="AC361" s="86"/>
      <c r="AD361" s="86"/>
      <c r="AE361" s="86"/>
      <c r="AF361" s="86"/>
    </row>
    <row r="362" spans="1:32">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c r="AA362" s="86"/>
      <c r="AB362" s="86"/>
      <c r="AC362" s="86"/>
      <c r="AD362" s="86"/>
      <c r="AE362" s="86"/>
      <c r="AF362" s="86"/>
    </row>
    <row r="363" spans="1:32">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6"/>
      <c r="AA363" s="86"/>
      <c r="AB363" s="86"/>
      <c r="AC363" s="86"/>
      <c r="AD363" s="86"/>
      <c r="AE363" s="86"/>
      <c r="AF363" s="86"/>
    </row>
    <row r="364" spans="1:32">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c r="AA364" s="86"/>
      <c r="AB364" s="86"/>
      <c r="AC364" s="86"/>
      <c r="AD364" s="86"/>
      <c r="AE364" s="86"/>
      <c r="AF364" s="86"/>
    </row>
    <row r="365" spans="1:32">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c r="AA365" s="86"/>
      <c r="AB365" s="86"/>
      <c r="AC365" s="86"/>
      <c r="AD365" s="86"/>
      <c r="AE365" s="86"/>
      <c r="AF365" s="86"/>
    </row>
    <row r="366" spans="1:32">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c r="AA366" s="86"/>
      <c r="AB366" s="86"/>
      <c r="AC366" s="86"/>
      <c r="AD366" s="86"/>
      <c r="AE366" s="86"/>
      <c r="AF366" s="86"/>
    </row>
    <row r="367" spans="1:32">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6"/>
      <c r="AA367" s="86"/>
      <c r="AB367" s="86"/>
      <c r="AC367" s="86"/>
      <c r="AD367" s="86"/>
      <c r="AE367" s="86"/>
      <c r="AF367" s="86"/>
    </row>
    <row r="368" spans="1:32">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c r="AA368" s="86"/>
      <c r="AB368" s="86"/>
      <c r="AC368" s="86"/>
      <c r="AD368" s="86"/>
      <c r="AE368" s="86"/>
      <c r="AF368" s="86"/>
    </row>
    <row r="369" spans="1:32">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6"/>
      <c r="AA369" s="86"/>
      <c r="AB369" s="86"/>
      <c r="AC369" s="86"/>
      <c r="AD369" s="86"/>
      <c r="AE369" s="86"/>
      <c r="AF369" s="86"/>
    </row>
    <row r="370" spans="1:32">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c r="AA370" s="86"/>
      <c r="AB370" s="86"/>
      <c r="AC370" s="86"/>
      <c r="AD370" s="86"/>
      <c r="AE370" s="86"/>
      <c r="AF370" s="86"/>
    </row>
    <row r="371" spans="1:32">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c r="AA371" s="86"/>
      <c r="AB371" s="86"/>
      <c r="AC371" s="86"/>
      <c r="AD371" s="86"/>
      <c r="AE371" s="86"/>
      <c r="AF371" s="86"/>
    </row>
    <row r="372" spans="1:32">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c r="AA372" s="86"/>
      <c r="AB372" s="86"/>
      <c r="AC372" s="86"/>
      <c r="AD372" s="86"/>
      <c r="AE372" s="86"/>
      <c r="AF372" s="86"/>
    </row>
    <row r="373" spans="1:32">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6"/>
      <c r="AA373" s="86"/>
      <c r="AB373" s="86"/>
      <c r="AC373" s="86"/>
      <c r="AD373" s="86"/>
      <c r="AE373" s="86"/>
      <c r="AF373" s="86"/>
    </row>
    <row r="374" spans="1:32">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c r="AA374" s="86"/>
      <c r="AB374" s="86"/>
      <c r="AC374" s="86"/>
      <c r="AD374" s="86"/>
      <c r="AE374" s="86"/>
      <c r="AF374" s="86"/>
    </row>
    <row r="375" spans="1:32">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6"/>
      <c r="AA375" s="86"/>
      <c r="AB375" s="86"/>
      <c r="AC375" s="86"/>
      <c r="AD375" s="86"/>
      <c r="AE375" s="86"/>
      <c r="AF375" s="86"/>
    </row>
    <row r="376" spans="1:32">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c r="AA376" s="86"/>
      <c r="AB376" s="86"/>
      <c r="AC376" s="86"/>
      <c r="AD376" s="86"/>
      <c r="AE376" s="86"/>
      <c r="AF376" s="86"/>
    </row>
    <row r="377" spans="1:32">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c r="AA377" s="86"/>
      <c r="AB377" s="86"/>
      <c r="AC377" s="86"/>
      <c r="AD377" s="86"/>
      <c r="AE377" s="86"/>
      <c r="AF377" s="86"/>
    </row>
    <row r="378" spans="1:32">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c r="AA378" s="86"/>
      <c r="AB378" s="86"/>
      <c r="AC378" s="86"/>
      <c r="AD378" s="86"/>
      <c r="AE378" s="86"/>
      <c r="AF378" s="86"/>
    </row>
    <row r="379" spans="1:32">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6"/>
      <c r="AA379" s="86"/>
      <c r="AB379" s="86"/>
      <c r="AC379" s="86"/>
      <c r="AD379" s="86"/>
      <c r="AE379" s="86"/>
      <c r="AF379" s="86"/>
    </row>
    <row r="380" spans="1:32">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c r="AA380" s="86"/>
      <c r="AB380" s="86"/>
      <c r="AC380" s="86"/>
      <c r="AD380" s="86"/>
      <c r="AE380" s="86"/>
      <c r="AF380" s="86"/>
    </row>
    <row r="381" spans="1:32">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c r="AA381" s="86"/>
      <c r="AB381" s="86"/>
      <c r="AC381" s="86"/>
      <c r="AD381" s="86"/>
      <c r="AE381" s="86"/>
      <c r="AF381" s="86"/>
    </row>
    <row r="382" spans="1:32">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c r="AA382" s="86"/>
      <c r="AB382" s="86"/>
      <c r="AC382" s="86"/>
      <c r="AD382" s="86"/>
      <c r="AE382" s="86"/>
      <c r="AF382" s="86"/>
    </row>
    <row r="383" spans="1:32">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6"/>
      <c r="AA383" s="86"/>
      <c r="AB383" s="86"/>
      <c r="AC383" s="86"/>
      <c r="AD383" s="86"/>
      <c r="AE383" s="86"/>
      <c r="AF383" s="86"/>
    </row>
    <row r="384" spans="1:32">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c r="AA384" s="86"/>
      <c r="AB384" s="86"/>
      <c r="AC384" s="86"/>
      <c r="AD384" s="86"/>
      <c r="AE384" s="86"/>
      <c r="AF384" s="86"/>
    </row>
    <row r="385" spans="1:32">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c r="AA385" s="86"/>
      <c r="AB385" s="86"/>
      <c r="AC385" s="86"/>
      <c r="AD385" s="86"/>
      <c r="AE385" s="86"/>
      <c r="AF385" s="86"/>
    </row>
    <row r="386" spans="1:32">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c r="AA386" s="86"/>
      <c r="AB386" s="86"/>
      <c r="AC386" s="86"/>
      <c r="AD386" s="86"/>
      <c r="AE386" s="86"/>
      <c r="AF386" s="86"/>
    </row>
    <row r="387" spans="1:32">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c r="AA387" s="86"/>
      <c r="AB387" s="86"/>
      <c r="AC387" s="86"/>
      <c r="AD387" s="86"/>
      <c r="AE387" s="86"/>
      <c r="AF387" s="86"/>
    </row>
    <row r="388" spans="1:32">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c r="AA388" s="86"/>
      <c r="AB388" s="86"/>
      <c r="AC388" s="86"/>
      <c r="AD388" s="86"/>
      <c r="AE388" s="86"/>
      <c r="AF388" s="86"/>
    </row>
    <row r="389" spans="1:32">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6"/>
      <c r="AA389" s="86"/>
      <c r="AB389" s="86"/>
      <c r="AC389" s="86"/>
      <c r="AD389" s="86"/>
      <c r="AE389" s="86"/>
      <c r="AF389" s="86"/>
    </row>
    <row r="390" spans="1:32">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c r="AA390" s="86"/>
      <c r="AB390" s="86"/>
      <c r="AC390" s="86"/>
      <c r="AD390" s="86"/>
      <c r="AE390" s="86"/>
      <c r="AF390" s="86"/>
    </row>
    <row r="391" spans="1:32">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c r="AA391" s="86"/>
      <c r="AB391" s="86"/>
      <c r="AC391" s="86"/>
      <c r="AD391" s="86"/>
      <c r="AE391" s="86"/>
      <c r="AF391" s="86"/>
    </row>
    <row r="392" spans="1:32">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c r="AA392" s="86"/>
      <c r="AB392" s="86"/>
      <c r="AC392" s="86"/>
      <c r="AD392" s="86"/>
      <c r="AE392" s="86"/>
      <c r="AF392" s="86"/>
    </row>
    <row r="393" spans="1:32">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6"/>
      <c r="AA393" s="86"/>
      <c r="AB393" s="86"/>
      <c r="AC393" s="86"/>
      <c r="AD393" s="86"/>
      <c r="AE393" s="86"/>
      <c r="AF393" s="86"/>
    </row>
    <row r="394" spans="1:32">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c r="AA394" s="86"/>
      <c r="AB394" s="86"/>
      <c r="AC394" s="86"/>
      <c r="AD394" s="86"/>
      <c r="AE394" s="86"/>
      <c r="AF394" s="86"/>
    </row>
    <row r="395" spans="1:32">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6"/>
      <c r="AA395" s="86"/>
      <c r="AB395" s="86"/>
      <c r="AC395" s="86"/>
      <c r="AD395" s="86"/>
      <c r="AE395" s="86"/>
      <c r="AF395" s="86"/>
    </row>
    <row r="396" spans="1:32">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c r="AA396" s="86"/>
      <c r="AB396" s="86"/>
      <c r="AC396" s="86"/>
      <c r="AD396" s="86"/>
      <c r="AE396" s="86"/>
      <c r="AF396" s="86"/>
    </row>
    <row r="397" spans="1:32">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c r="AA397" s="86"/>
      <c r="AB397" s="86"/>
      <c r="AC397" s="86"/>
      <c r="AD397" s="86"/>
      <c r="AE397" s="86"/>
      <c r="AF397" s="86"/>
    </row>
    <row r="398" spans="1:32">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c r="AA398" s="86"/>
      <c r="AB398" s="86"/>
      <c r="AC398" s="86"/>
      <c r="AD398" s="86"/>
      <c r="AE398" s="86"/>
      <c r="AF398" s="86"/>
    </row>
    <row r="399" spans="1:32">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6"/>
      <c r="AA399" s="86"/>
      <c r="AB399" s="86"/>
      <c r="AC399" s="86"/>
      <c r="AD399" s="86"/>
      <c r="AE399" s="86"/>
      <c r="AF399" s="86"/>
    </row>
    <row r="400" spans="1:32">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c r="AA400" s="86"/>
      <c r="AB400" s="86"/>
      <c r="AC400" s="86"/>
      <c r="AD400" s="86"/>
      <c r="AE400" s="86"/>
      <c r="AF400" s="86"/>
    </row>
    <row r="401" spans="1:32">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6"/>
      <c r="AA401" s="86"/>
      <c r="AB401" s="86"/>
      <c r="AC401" s="86"/>
      <c r="AD401" s="86"/>
      <c r="AE401" s="86"/>
      <c r="AF401" s="86"/>
    </row>
    <row r="402" spans="1:32">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c r="AA402" s="86"/>
      <c r="AB402" s="86"/>
      <c r="AC402" s="86"/>
      <c r="AD402" s="86"/>
      <c r="AE402" s="86"/>
      <c r="AF402" s="86"/>
    </row>
    <row r="403" spans="1:32">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c r="AA403" s="86"/>
      <c r="AB403" s="86"/>
      <c r="AC403" s="86"/>
      <c r="AD403" s="86"/>
      <c r="AE403" s="86"/>
      <c r="AF403" s="86"/>
    </row>
    <row r="404" spans="1:32">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c r="AA404" s="86"/>
      <c r="AB404" s="86"/>
      <c r="AC404" s="86"/>
      <c r="AD404" s="86"/>
      <c r="AE404" s="86"/>
      <c r="AF404" s="86"/>
    </row>
    <row r="405" spans="1:32">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c r="AA405" s="86"/>
      <c r="AB405" s="86"/>
      <c r="AC405" s="86"/>
      <c r="AD405" s="86"/>
      <c r="AE405" s="86"/>
      <c r="AF405" s="86"/>
    </row>
    <row r="406" spans="1:32">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c r="AA406" s="86"/>
      <c r="AB406" s="86"/>
      <c r="AC406" s="86"/>
      <c r="AD406" s="86"/>
      <c r="AE406" s="86"/>
      <c r="AF406" s="86"/>
    </row>
    <row r="407" spans="1:32">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c r="AA407" s="86"/>
      <c r="AB407" s="86"/>
      <c r="AC407" s="86"/>
      <c r="AD407" s="86"/>
      <c r="AE407" s="86"/>
      <c r="AF407" s="86"/>
    </row>
    <row r="408" spans="1:32">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c r="AA408" s="86"/>
      <c r="AB408" s="86"/>
      <c r="AC408" s="86"/>
      <c r="AD408" s="86"/>
      <c r="AE408" s="86"/>
      <c r="AF408" s="86"/>
    </row>
    <row r="409" spans="1:32">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6"/>
      <c r="AA409" s="86"/>
      <c r="AB409" s="86"/>
      <c r="AC409" s="86"/>
      <c r="AD409" s="86"/>
      <c r="AE409" s="86"/>
      <c r="AF409" s="86"/>
    </row>
    <row r="410" spans="1:32">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c r="AA410" s="86"/>
      <c r="AB410" s="86"/>
      <c r="AC410" s="86"/>
      <c r="AD410" s="86"/>
      <c r="AE410" s="86"/>
      <c r="AF410" s="86"/>
    </row>
    <row r="411" spans="1:32">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6"/>
      <c r="AA411" s="86"/>
      <c r="AB411" s="86"/>
      <c r="AC411" s="86"/>
      <c r="AD411" s="86"/>
      <c r="AE411" s="86"/>
      <c r="AF411" s="86"/>
    </row>
    <row r="412" spans="1:32">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c r="AA412" s="86"/>
      <c r="AB412" s="86"/>
      <c r="AC412" s="86"/>
      <c r="AD412" s="86"/>
      <c r="AE412" s="86"/>
      <c r="AF412" s="86"/>
    </row>
    <row r="413" spans="1:32">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c r="AA413" s="86"/>
      <c r="AB413" s="86"/>
      <c r="AC413" s="86"/>
      <c r="AD413" s="86"/>
      <c r="AE413" s="86"/>
      <c r="AF413" s="86"/>
    </row>
    <row r="414" spans="1:32">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c r="AA414" s="86"/>
      <c r="AB414" s="86"/>
      <c r="AC414" s="86"/>
      <c r="AD414" s="86"/>
      <c r="AE414" s="86"/>
      <c r="AF414" s="86"/>
    </row>
    <row r="415" spans="1:32">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6"/>
      <c r="AA415" s="86"/>
      <c r="AB415" s="86"/>
      <c r="AC415" s="86"/>
      <c r="AD415" s="86"/>
      <c r="AE415" s="86"/>
      <c r="AF415" s="86"/>
    </row>
    <row r="416" spans="1:32">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c r="AA416" s="86"/>
      <c r="AB416" s="86"/>
      <c r="AC416" s="86"/>
      <c r="AD416" s="86"/>
      <c r="AE416" s="86"/>
      <c r="AF416" s="86"/>
    </row>
    <row r="417" spans="1:32">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c r="AA417" s="86"/>
      <c r="AB417" s="86"/>
      <c r="AC417" s="86"/>
      <c r="AD417" s="86"/>
      <c r="AE417" s="86"/>
      <c r="AF417" s="86"/>
    </row>
    <row r="418" spans="1:32">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c r="AA418" s="86"/>
      <c r="AB418" s="86"/>
      <c r="AC418" s="86"/>
      <c r="AD418" s="86"/>
      <c r="AE418" s="86"/>
      <c r="AF418" s="86"/>
    </row>
    <row r="419" spans="1:32">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6"/>
      <c r="AA419" s="86"/>
      <c r="AB419" s="86"/>
      <c r="AC419" s="86"/>
      <c r="AD419" s="86"/>
      <c r="AE419" s="86"/>
      <c r="AF419" s="86"/>
    </row>
    <row r="420" spans="1:32">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c r="AA420" s="86"/>
      <c r="AB420" s="86"/>
      <c r="AC420" s="86"/>
      <c r="AD420" s="86"/>
      <c r="AE420" s="86"/>
      <c r="AF420" s="86"/>
    </row>
    <row r="421" spans="1:32">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6"/>
      <c r="AA421" s="86"/>
      <c r="AB421" s="86"/>
      <c r="AC421" s="86"/>
      <c r="AD421" s="86"/>
      <c r="AE421" s="86"/>
      <c r="AF421" s="86"/>
    </row>
    <row r="422" spans="1:32">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c r="AA422" s="86"/>
      <c r="AB422" s="86"/>
      <c r="AC422" s="86"/>
      <c r="AD422" s="86"/>
      <c r="AE422" s="86"/>
      <c r="AF422" s="86"/>
    </row>
    <row r="423" spans="1:32">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c r="AA423" s="86"/>
      <c r="AB423" s="86"/>
      <c r="AC423" s="86"/>
      <c r="AD423" s="86"/>
      <c r="AE423" s="86"/>
      <c r="AF423" s="86"/>
    </row>
    <row r="424" spans="1:32">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c r="AA424" s="86"/>
      <c r="AB424" s="86"/>
      <c r="AC424" s="86"/>
      <c r="AD424" s="86"/>
      <c r="AE424" s="86"/>
      <c r="AF424" s="86"/>
    </row>
    <row r="425" spans="1:32">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6"/>
      <c r="AA425" s="86"/>
      <c r="AB425" s="86"/>
      <c r="AC425" s="86"/>
      <c r="AD425" s="86"/>
      <c r="AE425" s="86"/>
      <c r="AF425" s="86"/>
    </row>
    <row r="426" spans="1:32">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c r="AA426" s="86"/>
      <c r="AB426" s="86"/>
      <c r="AC426" s="86"/>
      <c r="AD426" s="86"/>
      <c r="AE426" s="86"/>
      <c r="AF426" s="86"/>
    </row>
    <row r="427" spans="1:32">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6"/>
      <c r="AA427" s="86"/>
      <c r="AB427" s="86"/>
      <c r="AC427" s="86"/>
      <c r="AD427" s="86"/>
      <c r="AE427" s="86"/>
      <c r="AF427" s="86"/>
    </row>
    <row r="428" spans="1:32">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c r="AA428" s="86"/>
      <c r="AB428" s="86"/>
      <c r="AC428" s="86"/>
      <c r="AD428" s="86"/>
      <c r="AE428" s="86"/>
      <c r="AF428" s="86"/>
    </row>
    <row r="429" spans="1:32">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c r="AA429" s="86"/>
      <c r="AB429" s="86"/>
      <c r="AC429" s="86"/>
      <c r="AD429" s="86"/>
      <c r="AE429" s="86"/>
      <c r="AF429" s="86"/>
    </row>
    <row r="430" spans="1:32">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c r="AA430" s="86"/>
      <c r="AB430" s="86"/>
      <c r="AC430" s="86"/>
      <c r="AD430" s="86"/>
      <c r="AE430" s="86"/>
      <c r="AF430" s="86"/>
    </row>
    <row r="431" spans="1:32">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6"/>
      <c r="AA431" s="86"/>
      <c r="AB431" s="86"/>
      <c r="AC431" s="86"/>
      <c r="AD431" s="86"/>
      <c r="AE431" s="86"/>
      <c r="AF431" s="86"/>
    </row>
    <row r="432" spans="1:32">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c r="AA432" s="86"/>
      <c r="AB432" s="86"/>
      <c r="AC432" s="86"/>
      <c r="AD432" s="86"/>
      <c r="AE432" s="86"/>
      <c r="AF432" s="86"/>
    </row>
    <row r="433" spans="1:32">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c r="AA433" s="86"/>
      <c r="AB433" s="86"/>
      <c r="AC433" s="86"/>
      <c r="AD433" s="86"/>
      <c r="AE433" s="86"/>
      <c r="AF433" s="86"/>
    </row>
    <row r="434" spans="1:32">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c r="AA434" s="86"/>
      <c r="AB434" s="86"/>
      <c r="AC434" s="86"/>
      <c r="AD434" s="86"/>
      <c r="AE434" s="86"/>
      <c r="AF434" s="86"/>
    </row>
    <row r="435" spans="1:32">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6"/>
      <c r="AA435" s="86"/>
      <c r="AB435" s="86"/>
      <c r="AC435" s="86"/>
      <c r="AD435" s="86"/>
      <c r="AE435" s="86"/>
      <c r="AF435" s="86"/>
    </row>
    <row r="436" spans="1:32">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c r="AA436" s="86"/>
      <c r="AB436" s="86"/>
      <c r="AC436" s="86"/>
      <c r="AD436" s="86"/>
      <c r="AE436" s="86"/>
      <c r="AF436" s="86"/>
    </row>
    <row r="437" spans="1:32">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6"/>
      <c r="AA437" s="86"/>
      <c r="AB437" s="86"/>
      <c r="AC437" s="86"/>
      <c r="AD437" s="86"/>
      <c r="AE437" s="86"/>
      <c r="AF437" s="86"/>
    </row>
    <row r="438" spans="1:32">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c r="AA438" s="86"/>
      <c r="AB438" s="86"/>
      <c r="AC438" s="86"/>
      <c r="AD438" s="86"/>
      <c r="AE438" s="86"/>
      <c r="AF438" s="86"/>
    </row>
    <row r="439" spans="1:32">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c r="AA439" s="86"/>
      <c r="AB439" s="86"/>
      <c r="AC439" s="86"/>
      <c r="AD439" s="86"/>
      <c r="AE439" s="86"/>
      <c r="AF439" s="86"/>
    </row>
    <row r="440" spans="1:32">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c r="AA440" s="86"/>
      <c r="AB440" s="86"/>
      <c r="AC440" s="86"/>
      <c r="AD440" s="86"/>
      <c r="AE440" s="86"/>
      <c r="AF440" s="86"/>
    </row>
    <row r="441" spans="1:32">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c r="AA441" s="86"/>
      <c r="AB441" s="86"/>
      <c r="AC441" s="86"/>
      <c r="AD441" s="86"/>
      <c r="AE441" s="86"/>
      <c r="AF441" s="86"/>
    </row>
    <row r="442" spans="1:32">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c r="AA442" s="86"/>
      <c r="AB442" s="86"/>
      <c r="AC442" s="86"/>
      <c r="AD442" s="86"/>
      <c r="AE442" s="86"/>
      <c r="AF442" s="86"/>
    </row>
    <row r="443" spans="1:32">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c r="AA443" s="86"/>
      <c r="AB443" s="86"/>
      <c r="AC443" s="86"/>
      <c r="AD443" s="86"/>
      <c r="AE443" s="86"/>
      <c r="AF443" s="86"/>
    </row>
    <row r="444" spans="1:32">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c r="AA444" s="86"/>
      <c r="AB444" s="86"/>
      <c r="AC444" s="86"/>
      <c r="AD444" s="86"/>
      <c r="AE444" s="86"/>
      <c r="AF444" s="86"/>
    </row>
    <row r="445" spans="1:32">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6"/>
      <c r="AA445" s="86"/>
      <c r="AB445" s="86"/>
      <c r="AC445" s="86"/>
      <c r="AD445" s="86"/>
      <c r="AE445" s="86"/>
      <c r="AF445" s="86"/>
    </row>
    <row r="446" spans="1:32">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c r="AA446" s="86"/>
      <c r="AB446" s="86"/>
      <c r="AC446" s="86"/>
      <c r="AD446" s="86"/>
      <c r="AE446" s="86"/>
      <c r="AF446" s="86"/>
    </row>
    <row r="447" spans="1:32">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6"/>
      <c r="AA447" s="86"/>
      <c r="AB447" s="86"/>
      <c r="AC447" s="86"/>
      <c r="AD447" s="86"/>
      <c r="AE447" s="86"/>
      <c r="AF447" s="86"/>
    </row>
    <row r="448" spans="1:32">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c r="AA448" s="86"/>
      <c r="AB448" s="86"/>
      <c r="AC448" s="86"/>
      <c r="AD448" s="86"/>
      <c r="AE448" s="86"/>
      <c r="AF448" s="86"/>
    </row>
    <row r="449" spans="1:32">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c r="AA449" s="86"/>
      <c r="AB449" s="86"/>
      <c r="AC449" s="86"/>
      <c r="AD449" s="86"/>
      <c r="AE449" s="86"/>
      <c r="AF449" s="86"/>
    </row>
    <row r="450" spans="1:32">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c r="AA450" s="86"/>
      <c r="AB450" s="86"/>
      <c r="AC450" s="86"/>
      <c r="AD450" s="86"/>
      <c r="AE450" s="86"/>
      <c r="AF450" s="86"/>
    </row>
    <row r="451" spans="1:32">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6"/>
      <c r="AA451" s="86"/>
      <c r="AB451" s="86"/>
      <c r="AC451" s="86"/>
      <c r="AD451" s="86"/>
      <c r="AE451" s="86"/>
      <c r="AF451" s="86"/>
    </row>
    <row r="452" spans="1:32">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c r="AA452" s="86"/>
      <c r="AB452" s="86"/>
      <c r="AC452" s="86"/>
      <c r="AD452" s="86"/>
      <c r="AE452" s="86"/>
      <c r="AF452" s="86"/>
    </row>
    <row r="453" spans="1:32">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6"/>
      <c r="AA453" s="86"/>
      <c r="AB453" s="86"/>
      <c r="AC453" s="86"/>
      <c r="AD453" s="86"/>
      <c r="AE453" s="86"/>
      <c r="AF453" s="86"/>
    </row>
    <row r="454" spans="1:32">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c r="AA454" s="86"/>
      <c r="AB454" s="86"/>
      <c r="AC454" s="86"/>
      <c r="AD454" s="86"/>
      <c r="AE454" s="86"/>
      <c r="AF454" s="86"/>
    </row>
    <row r="455" spans="1:32">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c r="AA455" s="86"/>
      <c r="AB455" s="86"/>
      <c r="AC455" s="86"/>
      <c r="AD455" s="86"/>
      <c r="AE455" s="86"/>
      <c r="AF455" s="86"/>
    </row>
    <row r="456" spans="1:32">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c r="AA456" s="86"/>
      <c r="AB456" s="86"/>
      <c r="AC456" s="86"/>
      <c r="AD456" s="86"/>
      <c r="AE456" s="86"/>
      <c r="AF456" s="86"/>
    </row>
    <row r="457" spans="1:32">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c r="AA457" s="86"/>
      <c r="AB457" s="86"/>
      <c r="AC457" s="86"/>
      <c r="AD457" s="86"/>
      <c r="AE457" s="86"/>
      <c r="AF457" s="86"/>
    </row>
    <row r="458" spans="1:32">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c r="AA458" s="86"/>
      <c r="AB458" s="86"/>
      <c r="AC458" s="86"/>
      <c r="AD458" s="86"/>
      <c r="AE458" s="86"/>
      <c r="AF458" s="86"/>
    </row>
    <row r="459" spans="1:32">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c r="AA459" s="86"/>
      <c r="AB459" s="86"/>
      <c r="AC459" s="86"/>
      <c r="AD459" s="86"/>
      <c r="AE459" s="86"/>
      <c r="AF459" s="86"/>
    </row>
    <row r="460" spans="1:32">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c r="AA460" s="86"/>
      <c r="AB460" s="86"/>
      <c r="AC460" s="86"/>
      <c r="AD460" s="86"/>
      <c r="AE460" s="86"/>
      <c r="AF460" s="86"/>
    </row>
    <row r="461" spans="1:32">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c r="AA461" s="86"/>
      <c r="AB461" s="86"/>
      <c r="AC461" s="86"/>
      <c r="AD461" s="86"/>
      <c r="AE461" s="86"/>
      <c r="AF461" s="86"/>
    </row>
    <row r="462" spans="1:32">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c r="AA462" s="86"/>
      <c r="AB462" s="86"/>
      <c r="AC462" s="86"/>
      <c r="AD462" s="86"/>
      <c r="AE462" s="86"/>
      <c r="AF462" s="86"/>
    </row>
    <row r="463" spans="1:32">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6"/>
      <c r="AA463" s="86"/>
      <c r="AB463" s="86"/>
      <c r="AC463" s="86"/>
      <c r="AD463" s="86"/>
      <c r="AE463" s="86"/>
      <c r="AF463" s="86"/>
    </row>
    <row r="464" spans="1:32">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c r="AA464" s="86"/>
      <c r="AB464" s="86"/>
      <c r="AC464" s="86"/>
      <c r="AD464" s="86"/>
      <c r="AE464" s="86"/>
      <c r="AF464" s="86"/>
    </row>
    <row r="465" spans="1:32">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c r="AA465" s="86"/>
      <c r="AB465" s="86"/>
      <c r="AC465" s="86"/>
      <c r="AD465" s="86"/>
      <c r="AE465" s="86"/>
      <c r="AF465" s="86"/>
    </row>
    <row r="466" spans="1:32">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c r="AA466" s="86"/>
      <c r="AB466" s="86"/>
      <c r="AC466" s="86"/>
      <c r="AD466" s="86"/>
      <c r="AE466" s="86"/>
      <c r="AF466" s="86"/>
    </row>
    <row r="467" spans="1:32">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6"/>
      <c r="AA467" s="86"/>
      <c r="AB467" s="86"/>
      <c r="AC467" s="86"/>
      <c r="AD467" s="86"/>
      <c r="AE467" s="86"/>
      <c r="AF467" s="86"/>
    </row>
    <row r="468" spans="1:32">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c r="AA468" s="86"/>
      <c r="AB468" s="86"/>
      <c r="AC468" s="86"/>
      <c r="AD468" s="86"/>
      <c r="AE468" s="86"/>
      <c r="AF468" s="86"/>
    </row>
    <row r="469" spans="1:32">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c r="AA469" s="86"/>
      <c r="AB469" s="86"/>
      <c r="AC469" s="86"/>
      <c r="AD469" s="86"/>
      <c r="AE469" s="86"/>
      <c r="AF469" s="86"/>
    </row>
    <row r="470" spans="1:32">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c r="AA470" s="86"/>
      <c r="AB470" s="86"/>
      <c r="AC470" s="86"/>
      <c r="AD470" s="86"/>
      <c r="AE470" s="86"/>
      <c r="AF470" s="86"/>
    </row>
    <row r="471" spans="1:32">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6"/>
      <c r="AA471" s="86"/>
      <c r="AB471" s="86"/>
      <c r="AC471" s="86"/>
      <c r="AD471" s="86"/>
      <c r="AE471" s="86"/>
      <c r="AF471" s="86"/>
    </row>
    <row r="472" spans="1:32">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c r="AA472" s="86"/>
      <c r="AB472" s="86"/>
      <c r="AC472" s="86"/>
      <c r="AD472" s="86"/>
      <c r="AE472" s="86"/>
      <c r="AF472" s="86"/>
    </row>
    <row r="473" spans="1:32">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6"/>
      <c r="AA473" s="86"/>
      <c r="AB473" s="86"/>
      <c r="AC473" s="86"/>
      <c r="AD473" s="86"/>
      <c r="AE473" s="86"/>
      <c r="AF473" s="86"/>
    </row>
    <row r="474" spans="1:32">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c r="AA474" s="86"/>
      <c r="AB474" s="86"/>
      <c r="AC474" s="86"/>
      <c r="AD474" s="86"/>
      <c r="AE474" s="86"/>
      <c r="AF474" s="86"/>
    </row>
    <row r="475" spans="1:32">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c r="AA475" s="86"/>
      <c r="AB475" s="86"/>
      <c r="AC475" s="86"/>
      <c r="AD475" s="86"/>
      <c r="AE475" s="86"/>
      <c r="AF475" s="86"/>
    </row>
    <row r="476" spans="1:32">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c r="AA476" s="86"/>
      <c r="AB476" s="86"/>
      <c r="AC476" s="86"/>
      <c r="AD476" s="86"/>
      <c r="AE476" s="86"/>
      <c r="AF476" s="86"/>
    </row>
    <row r="477" spans="1:32">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c r="AA477" s="86"/>
      <c r="AB477" s="86"/>
      <c r="AC477" s="86"/>
      <c r="AD477" s="86"/>
      <c r="AE477" s="86"/>
      <c r="AF477" s="86"/>
    </row>
    <row r="478" spans="1:32">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c r="AA478" s="86"/>
      <c r="AB478" s="86"/>
      <c r="AC478" s="86"/>
      <c r="AD478" s="86"/>
      <c r="AE478" s="86"/>
      <c r="AF478" s="86"/>
    </row>
    <row r="479" spans="1:32">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c r="AA479" s="86"/>
      <c r="AB479" s="86"/>
      <c r="AC479" s="86"/>
      <c r="AD479" s="86"/>
      <c r="AE479" s="86"/>
      <c r="AF479" s="86"/>
    </row>
    <row r="480" spans="1:32">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c r="AA480" s="86"/>
      <c r="AB480" s="86"/>
      <c r="AC480" s="86"/>
      <c r="AD480" s="86"/>
      <c r="AE480" s="86"/>
      <c r="AF480" s="86"/>
    </row>
    <row r="481" spans="1:32">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c r="AA481" s="86"/>
      <c r="AB481" s="86"/>
      <c r="AC481" s="86"/>
      <c r="AD481" s="86"/>
      <c r="AE481" s="86"/>
      <c r="AF481" s="86"/>
    </row>
    <row r="482" spans="1:32">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c r="AA482" s="86"/>
      <c r="AB482" s="86"/>
      <c r="AC482" s="86"/>
      <c r="AD482" s="86"/>
      <c r="AE482" s="86"/>
      <c r="AF482" s="86"/>
    </row>
    <row r="483" spans="1:32">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6"/>
      <c r="AA483" s="86"/>
      <c r="AB483" s="86"/>
      <c r="AC483" s="86"/>
      <c r="AD483" s="86"/>
      <c r="AE483" s="86"/>
      <c r="AF483" s="86"/>
    </row>
    <row r="484" spans="1:32">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c r="AA484" s="86"/>
      <c r="AB484" s="86"/>
      <c r="AC484" s="86"/>
      <c r="AD484" s="86"/>
      <c r="AE484" s="86"/>
      <c r="AF484" s="86"/>
    </row>
    <row r="485" spans="1:32">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c r="AA485" s="86"/>
      <c r="AB485" s="86"/>
      <c r="AC485" s="86"/>
      <c r="AD485" s="86"/>
      <c r="AE485" s="86"/>
      <c r="AF485" s="86"/>
    </row>
    <row r="486" spans="1:32">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c r="AA486" s="86"/>
      <c r="AB486" s="86"/>
      <c r="AC486" s="86"/>
      <c r="AD486" s="86"/>
      <c r="AE486" s="86"/>
      <c r="AF486" s="86"/>
    </row>
    <row r="487" spans="1:32">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c r="AA487" s="86"/>
      <c r="AB487" s="86"/>
      <c r="AC487" s="86"/>
      <c r="AD487" s="86"/>
      <c r="AE487" s="86"/>
      <c r="AF487" s="86"/>
    </row>
    <row r="488" spans="1:32">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c r="AA488" s="86"/>
      <c r="AB488" s="86"/>
      <c r="AC488" s="86"/>
      <c r="AD488" s="86"/>
      <c r="AE488" s="86"/>
      <c r="AF488" s="86"/>
    </row>
    <row r="489" spans="1:32">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6"/>
      <c r="AA489" s="86"/>
      <c r="AB489" s="86"/>
      <c r="AC489" s="86"/>
      <c r="AD489" s="86"/>
      <c r="AE489" s="86"/>
      <c r="AF489" s="86"/>
    </row>
    <row r="490" spans="1:32">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c r="AA490" s="86"/>
      <c r="AB490" s="86"/>
      <c r="AC490" s="86"/>
      <c r="AD490" s="86"/>
      <c r="AE490" s="86"/>
      <c r="AF490" s="86"/>
    </row>
    <row r="491" spans="1:32">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c r="AA491" s="86"/>
      <c r="AB491" s="86"/>
      <c r="AC491" s="86"/>
      <c r="AD491" s="86"/>
      <c r="AE491" s="86"/>
      <c r="AF491" s="86"/>
    </row>
    <row r="492" spans="1:32">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c r="AA492" s="86"/>
      <c r="AB492" s="86"/>
      <c r="AC492" s="86"/>
      <c r="AD492" s="86"/>
      <c r="AE492" s="86"/>
      <c r="AF492" s="86"/>
    </row>
    <row r="493" spans="1:32">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6"/>
      <c r="AA493" s="86"/>
      <c r="AB493" s="86"/>
      <c r="AC493" s="86"/>
      <c r="AD493" s="86"/>
      <c r="AE493" s="86"/>
      <c r="AF493" s="86"/>
    </row>
    <row r="494" spans="1:32">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c r="AA494" s="86"/>
      <c r="AB494" s="86"/>
      <c r="AC494" s="86"/>
      <c r="AD494" s="86"/>
      <c r="AE494" s="86"/>
      <c r="AF494" s="86"/>
    </row>
    <row r="495" spans="1:32">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c r="AA495" s="86"/>
      <c r="AB495" s="86"/>
      <c r="AC495" s="86"/>
      <c r="AD495" s="86"/>
      <c r="AE495" s="86"/>
      <c r="AF495" s="86"/>
    </row>
    <row r="496" spans="1:32">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c r="AA496" s="86"/>
      <c r="AB496" s="86"/>
      <c r="AC496" s="86"/>
      <c r="AD496" s="86"/>
      <c r="AE496" s="86"/>
      <c r="AF496" s="86"/>
    </row>
    <row r="497" spans="1:32">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c r="AA497" s="86"/>
      <c r="AB497" s="86"/>
      <c r="AC497" s="86"/>
      <c r="AD497" s="86"/>
      <c r="AE497" s="86"/>
      <c r="AF497" s="86"/>
    </row>
    <row r="498" spans="1:32">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c r="AA498" s="86"/>
      <c r="AB498" s="86"/>
      <c r="AC498" s="86"/>
      <c r="AD498" s="86"/>
      <c r="AE498" s="86"/>
      <c r="AF498" s="86"/>
    </row>
    <row r="499" spans="1:32">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6"/>
      <c r="AA499" s="86"/>
      <c r="AB499" s="86"/>
      <c r="AC499" s="86"/>
      <c r="AD499" s="86"/>
      <c r="AE499" s="86"/>
      <c r="AF499" s="86"/>
    </row>
    <row r="500" spans="1:32">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c r="AA500" s="86"/>
      <c r="AB500" s="86"/>
      <c r="AC500" s="86"/>
      <c r="AD500" s="86"/>
      <c r="AE500" s="86"/>
      <c r="AF500" s="86"/>
    </row>
    <row r="501" spans="1:32">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c r="AA501" s="86"/>
      <c r="AB501" s="86"/>
      <c r="AC501" s="86"/>
      <c r="AD501" s="86"/>
      <c r="AE501" s="86"/>
      <c r="AF501" s="86"/>
    </row>
    <row r="502" spans="1:32">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c r="AA502" s="86"/>
      <c r="AB502" s="86"/>
      <c r="AC502" s="86"/>
      <c r="AD502" s="86"/>
      <c r="AE502" s="86"/>
      <c r="AF502" s="86"/>
    </row>
    <row r="503" spans="1:32">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6"/>
      <c r="AA503" s="86"/>
      <c r="AB503" s="86"/>
      <c r="AC503" s="86"/>
      <c r="AD503" s="86"/>
      <c r="AE503" s="86"/>
      <c r="AF503" s="86"/>
    </row>
    <row r="504" spans="1:32">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c r="AA504" s="86"/>
      <c r="AB504" s="86"/>
      <c r="AC504" s="86"/>
      <c r="AD504" s="86"/>
      <c r="AE504" s="86"/>
      <c r="AF504" s="86"/>
    </row>
    <row r="505" spans="1:32">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6"/>
      <c r="AA505" s="86"/>
      <c r="AB505" s="86"/>
      <c r="AC505" s="86"/>
      <c r="AD505" s="86"/>
      <c r="AE505" s="86"/>
      <c r="AF505" s="86"/>
    </row>
    <row r="506" spans="1:32">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c r="AA506" s="86"/>
      <c r="AB506" s="86"/>
      <c r="AC506" s="86"/>
      <c r="AD506" s="86"/>
      <c r="AE506" s="86"/>
      <c r="AF506" s="86"/>
    </row>
    <row r="507" spans="1:32">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c r="AA507" s="86"/>
      <c r="AB507" s="86"/>
      <c r="AC507" s="86"/>
      <c r="AD507" s="86"/>
      <c r="AE507" s="86"/>
      <c r="AF507" s="86"/>
    </row>
    <row r="508" spans="1:32">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c r="AA508" s="86"/>
      <c r="AB508" s="86"/>
      <c r="AC508" s="86"/>
      <c r="AD508" s="86"/>
      <c r="AE508" s="86"/>
      <c r="AF508" s="86"/>
    </row>
    <row r="509" spans="1:32">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6"/>
      <c r="AA509" s="86"/>
      <c r="AB509" s="86"/>
      <c r="AC509" s="86"/>
      <c r="AD509" s="86"/>
      <c r="AE509" s="86"/>
      <c r="AF509" s="86"/>
    </row>
    <row r="510" spans="1:32">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c r="AA510" s="86"/>
      <c r="AB510" s="86"/>
      <c r="AC510" s="86"/>
      <c r="AD510" s="86"/>
      <c r="AE510" s="86"/>
      <c r="AF510" s="86"/>
    </row>
    <row r="511" spans="1:32">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c r="AA511" s="86"/>
      <c r="AB511" s="86"/>
      <c r="AC511" s="86"/>
      <c r="AD511" s="86"/>
      <c r="AE511" s="86"/>
      <c r="AF511" s="86"/>
    </row>
    <row r="512" spans="1:32">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c r="AA512" s="86"/>
      <c r="AB512" s="86"/>
      <c r="AC512" s="86"/>
      <c r="AD512" s="86"/>
      <c r="AE512" s="86"/>
      <c r="AF512" s="86"/>
    </row>
    <row r="513" spans="1:32">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c r="AA513" s="86"/>
      <c r="AB513" s="86"/>
      <c r="AC513" s="86"/>
      <c r="AD513" s="86"/>
      <c r="AE513" s="86"/>
      <c r="AF513" s="86"/>
    </row>
    <row r="514" spans="1:32">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c r="AA514" s="86"/>
      <c r="AB514" s="86"/>
      <c r="AC514" s="86"/>
      <c r="AD514" s="86"/>
      <c r="AE514" s="86"/>
      <c r="AF514" s="86"/>
    </row>
    <row r="515" spans="1:32">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6"/>
      <c r="AA515" s="86"/>
      <c r="AB515" s="86"/>
      <c r="AC515" s="86"/>
      <c r="AD515" s="86"/>
      <c r="AE515" s="86"/>
      <c r="AF515" s="86"/>
    </row>
    <row r="516" spans="1:32">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c r="AA516" s="86"/>
      <c r="AB516" s="86"/>
      <c r="AC516" s="86"/>
      <c r="AD516" s="86"/>
      <c r="AE516" s="86"/>
      <c r="AF516" s="86"/>
    </row>
    <row r="517" spans="1:32">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c r="AA517" s="86"/>
      <c r="AB517" s="86"/>
      <c r="AC517" s="86"/>
      <c r="AD517" s="86"/>
      <c r="AE517" s="86"/>
      <c r="AF517" s="86"/>
    </row>
    <row r="518" spans="1:32">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c r="AA518" s="86"/>
      <c r="AB518" s="86"/>
      <c r="AC518" s="86"/>
      <c r="AD518" s="86"/>
      <c r="AE518" s="86"/>
      <c r="AF518" s="86"/>
    </row>
    <row r="519" spans="1:32">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6"/>
      <c r="AA519" s="86"/>
      <c r="AB519" s="86"/>
      <c r="AC519" s="86"/>
      <c r="AD519" s="86"/>
      <c r="AE519" s="86"/>
      <c r="AF519" s="86"/>
    </row>
    <row r="520" spans="1:32">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c r="AA520" s="86"/>
      <c r="AB520" s="86"/>
      <c r="AC520" s="86"/>
      <c r="AD520" s="86"/>
      <c r="AE520" s="86"/>
      <c r="AF520" s="86"/>
    </row>
    <row r="521" spans="1:32">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c r="AA521" s="86"/>
      <c r="AB521" s="86"/>
      <c r="AC521" s="86"/>
      <c r="AD521" s="86"/>
      <c r="AE521" s="86"/>
      <c r="AF521" s="86"/>
    </row>
    <row r="522" spans="1:32">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c r="AA522" s="86"/>
      <c r="AB522" s="86"/>
      <c r="AC522" s="86"/>
      <c r="AD522" s="86"/>
      <c r="AE522" s="86"/>
      <c r="AF522" s="86"/>
    </row>
    <row r="523" spans="1:32">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6"/>
      <c r="AA523" s="86"/>
      <c r="AB523" s="86"/>
      <c r="AC523" s="86"/>
      <c r="AD523" s="86"/>
      <c r="AE523" s="86"/>
      <c r="AF523" s="86"/>
    </row>
    <row r="524" spans="1:32">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c r="AA524" s="86"/>
      <c r="AB524" s="86"/>
      <c r="AC524" s="86"/>
      <c r="AD524" s="86"/>
      <c r="AE524" s="86"/>
      <c r="AF524" s="86"/>
    </row>
    <row r="525" spans="1:32">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6"/>
      <c r="AA525" s="86"/>
      <c r="AB525" s="86"/>
      <c r="AC525" s="86"/>
      <c r="AD525" s="86"/>
      <c r="AE525" s="86"/>
      <c r="AF525" s="86"/>
    </row>
    <row r="526" spans="1:32">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c r="AA526" s="86"/>
      <c r="AB526" s="86"/>
      <c r="AC526" s="86"/>
      <c r="AD526" s="86"/>
      <c r="AE526" s="86"/>
      <c r="AF526" s="86"/>
    </row>
    <row r="527" spans="1:32">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c r="AA527" s="86"/>
      <c r="AB527" s="86"/>
      <c r="AC527" s="86"/>
      <c r="AD527" s="86"/>
      <c r="AE527" s="86"/>
      <c r="AF527" s="86"/>
    </row>
    <row r="528" spans="1:32">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c r="AA528" s="86"/>
      <c r="AB528" s="86"/>
      <c r="AC528" s="86"/>
      <c r="AD528" s="86"/>
      <c r="AE528" s="86"/>
      <c r="AF528" s="86"/>
    </row>
    <row r="529" spans="1:32">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6"/>
      <c r="AA529" s="86"/>
      <c r="AB529" s="86"/>
      <c r="AC529" s="86"/>
      <c r="AD529" s="86"/>
      <c r="AE529" s="86"/>
      <c r="AF529" s="86"/>
    </row>
    <row r="530" spans="1:32">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c r="AA530" s="86"/>
      <c r="AB530" s="86"/>
      <c r="AC530" s="86"/>
      <c r="AD530" s="86"/>
      <c r="AE530" s="86"/>
      <c r="AF530" s="86"/>
    </row>
    <row r="531" spans="1:32">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6"/>
      <c r="AA531" s="86"/>
      <c r="AB531" s="86"/>
      <c r="AC531" s="86"/>
      <c r="AD531" s="86"/>
      <c r="AE531" s="86"/>
      <c r="AF531" s="86"/>
    </row>
    <row r="532" spans="1:32">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c r="AA532" s="86"/>
      <c r="AB532" s="86"/>
      <c r="AC532" s="86"/>
      <c r="AD532" s="86"/>
      <c r="AE532" s="86"/>
      <c r="AF532" s="86"/>
    </row>
    <row r="533" spans="1:32">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c r="AA533" s="86"/>
      <c r="AB533" s="86"/>
      <c r="AC533" s="86"/>
      <c r="AD533" s="86"/>
      <c r="AE533" s="86"/>
      <c r="AF533" s="86"/>
    </row>
    <row r="534" spans="1:32">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c r="AA534" s="86"/>
      <c r="AB534" s="86"/>
      <c r="AC534" s="86"/>
      <c r="AD534" s="86"/>
      <c r="AE534" s="86"/>
      <c r="AF534" s="86"/>
    </row>
    <row r="535" spans="1:32">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6"/>
      <c r="AA535" s="86"/>
      <c r="AB535" s="86"/>
      <c r="AC535" s="86"/>
      <c r="AD535" s="86"/>
      <c r="AE535" s="86"/>
      <c r="AF535" s="86"/>
    </row>
    <row r="536" spans="1:32">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c r="AA536" s="86"/>
      <c r="AB536" s="86"/>
      <c r="AC536" s="86"/>
      <c r="AD536" s="86"/>
      <c r="AE536" s="86"/>
      <c r="AF536" s="86"/>
    </row>
    <row r="537" spans="1:32">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c r="AA537" s="86"/>
      <c r="AB537" s="86"/>
      <c r="AC537" s="86"/>
      <c r="AD537" s="86"/>
      <c r="AE537" s="86"/>
      <c r="AF537" s="86"/>
    </row>
    <row r="538" spans="1:32">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c r="AA538" s="86"/>
      <c r="AB538" s="86"/>
      <c r="AC538" s="86"/>
      <c r="AD538" s="86"/>
      <c r="AE538" s="86"/>
      <c r="AF538" s="86"/>
    </row>
    <row r="539" spans="1:32">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6"/>
      <c r="AA539" s="86"/>
      <c r="AB539" s="86"/>
      <c r="AC539" s="86"/>
      <c r="AD539" s="86"/>
      <c r="AE539" s="86"/>
      <c r="AF539" s="86"/>
    </row>
    <row r="540" spans="1:32">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c r="AA540" s="86"/>
      <c r="AB540" s="86"/>
      <c r="AC540" s="86"/>
      <c r="AD540" s="86"/>
      <c r="AE540" s="86"/>
      <c r="AF540" s="86"/>
    </row>
    <row r="541" spans="1:32">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6"/>
      <c r="AA541" s="86"/>
      <c r="AB541" s="86"/>
      <c r="AC541" s="86"/>
      <c r="AD541" s="86"/>
      <c r="AE541" s="86"/>
      <c r="AF541" s="86"/>
    </row>
    <row r="542" spans="1:32">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c r="AA542" s="86"/>
      <c r="AB542" s="86"/>
      <c r="AC542" s="86"/>
      <c r="AD542" s="86"/>
      <c r="AE542" s="86"/>
      <c r="AF542" s="86"/>
    </row>
    <row r="543" spans="1:32">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c r="AA543" s="86"/>
      <c r="AB543" s="86"/>
      <c r="AC543" s="86"/>
      <c r="AD543" s="86"/>
      <c r="AE543" s="86"/>
      <c r="AF543" s="86"/>
    </row>
    <row r="544" spans="1:32">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c r="AA544" s="86"/>
      <c r="AB544" s="86"/>
      <c r="AC544" s="86"/>
      <c r="AD544" s="86"/>
      <c r="AE544" s="86"/>
      <c r="AF544" s="86"/>
    </row>
    <row r="545" spans="1:32">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c r="AA545" s="86"/>
      <c r="AB545" s="86"/>
      <c r="AC545" s="86"/>
      <c r="AD545" s="86"/>
      <c r="AE545" s="86"/>
      <c r="AF545" s="86"/>
    </row>
    <row r="546" spans="1:32">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c r="AA546" s="86"/>
      <c r="AB546" s="86"/>
      <c r="AC546" s="86"/>
      <c r="AD546" s="86"/>
      <c r="AE546" s="86"/>
      <c r="AF546" s="86"/>
    </row>
    <row r="547" spans="1:32">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c r="AA547" s="86"/>
      <c r="AB547" s="86"/>
      <c r="AC547" s="86"/>
      <c r="AD547" s="86"/>
      <c r="AE547" s="86"/>
      <c r="AF547" s="86"/>
    </row>
    <row r="548" spans="1:32">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c r="AA548" s="86"/>
      <c r="AB548" s="86"/>
      <c r="AC548" s="86"/>
      <c r="AD548" s="86"/>
      <c r="AE548" s="86"/>
      <c r="AF548" s="86"/>
    </row>
    <row r="549" spans="1:32">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6"/>
      <c r="AA549" s="86"/>
      <c r="AB549" s="86"/>
      <c r="AC549" s="86"/>
      <c r="AD549" s="86"/>
      <c r="AE549" s="86"/>
      <c r="AF549" s="86"/>
    </row>
    <row r="550" spans="1:32">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c r="AA550" s="86"/>
      <c r="AB550" s="86"/>
      <c r="AC550" s="86"/>
      <c r="AD550" s="86"/>
      <c r="AE550" s="86"/>
      <c r="AF550" s="86"/>
    </row>
    <row r="551" spans="1:32">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6"/>
      <c r="AA551" s="86"/>
      <c r="AB551" s="86"/>
      <c r="AC551" s="86"/>
      <c r="AD551" s="86"/>
      <c r="AE551" s="86"/>
      <c r="AF551" s="86"/>
    </row>
    <row r="552" spans="1:32">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c r="AA552" s="86"/>
      <c r="AB552" s="86"/>
      <c r="AC552" s="86"/>
      <c r="AD552" s="86"/>
      <c r="AE552" s="86"/>
      <c r="AF552" s="86"/>
    </row>
    <row r="553" spans="1:32">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c r="AA553" s="86"/>
      <c r="AB553" s="86"/>
      <c r="AC553" s="86"/>
      <c r="AD553" s="86"/>
      <c r="AE553" s="86"/>
      <c r="AF553" s="86"/>
    </row>
    <row r="554" spans="1:32">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c r="AA554" s="86"/>
      <c r="AB554" s="86"/>
      <c r="AC554" s="86"/>
      <c r="AD554" s="86"/>
      <c r="AE554" s="86"/>
      <c r="AF554" s="86"/>
    </row>
    <row r="555" spans="1:32">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c r="AA555" s="86"/>
      <c r="AB555" s="86"/>
      <c r="AC555" s="86"/>
      <c r="AD555" s="86"/>
      <c r="AE555" s="86"/>
      <c r="AF555" s="86"/>
    </row>
    <row r="556" spans="1:32">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c r="AA556" s="86"/>
      <c r="AB556" s="86"/>
      <c r="AC556" s="86"/>
      <c r="AD556" s="86"/>
      <c r="AE556" s="86"/>
      <c r="AF556" s="86"/>
    </row>
    <row r="557" spans="1:32">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6"/>
      <c r="AA557" s="86"/>
      <c r="AB557" s="86"/>
      <c r="AC557" s="86"/>
      <c r="AD557" s="86"/>
      <c r="AE557" s="86"/>
      <c r="AF557" s="86"/>
    </row>
    <row r="558" spans="1:32">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c r="AA558" s="86"/>
      <c r="AB558" s="86"/>
      <c r="AC558" s="86"/>
      <c r="AD558" s="86"/>
      <c r="AE558" s="86"/>
      <c r="AF558" s="86"/>
    </row>
    <row r="559" spans="1:32">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c r="AA559" s="86"/>
      <c r="AB559" s="86"/>
      <c r="AC559" s="86"/>
      <c r="AD559" s="86"/>
      <c r="AE559" s="86"/>
      <c r="AF559" s="86"/>
    </row>
    <row r="560" spans="1:32">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c r="AA560" s="86"/>
      <c r="AB560" s="86"/>
      <c r="AC560" s="86"/>
      <c r="AD560" s="86"/>
      <c r="AE560" s="86"/>
      <c r="AF560" s="86"/>
    </row>
    <row r="561" spans="1:32">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c r="AA561" s="86"/>
      <c r="AB561" s="86"/>
      <c r="AC561" s="86"/>
      <c r="AD561" s="86"/>
      <c r="AE561" s="86"/>
      <c r="AF561" s="86"/>
    </row>
    <row r="562" spans="1:32">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c r="AA562" s="86"/>
      <c r="AB562" s="86"/>
      <c r="AC562" s="86"/>
      <c r="AD562" s="86"/>
      <c r="AE562" s="86"/>
      <c r="AF562" s="86"/>
    </row>
    <row r="563" spans="1:32">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c r="AA563" s="86"/>
      <c r="AB563" s="86"/>
      <c r="AC563" s="86"/>
      <c r="AD563" s="86"/>
      <c r="AE563" s="86"/>
      <c r="AF563" s="86"/>
    </row>
    <row r="564" spans="1:32">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c r="AA564" s="86"/>
      <c r="AB564" s="86"/>
      <c r="AC564" s="86"/>
      <c r="AD564" s="86"/>
      <c r="AE564" s="86"/>
      <c r="AF564" s="86"/>
    </row>
    <row r="565" spans="1:32">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6"/>
      <c r="AA565" s="86"/>
      <c r="AB565" s="86"/>
      <c r="AC565" s="86"/>
      <c r="AD565" s="86"/>
      <c r="AE565" s="86"/>
      <c r="AF565" s="86"/>
    </row>
    <row r="566" spans="1:32">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c r="AA566" s="86"/>
      <c r="AB566" s="86"/>
      <c r="AC566" s="86"/>
      <c r="AD566" s="86"/>
      <c r="AE566" s="86"/>
      <c r="AF566" s="86"/>
    </row>
    <row r="567" spans="1:32">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c r="AA567" s="86"/>
      <c r="AB567" s="86"/>
      <c r="AC567" s="86"/>
      <c r="AD567" s="86"/>
      <c r="AE567" s="86"/>
      <c r="AF567" s="86"/>
    </row>
    <row r="568" spans="1:32">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c r="AA568" s="86"/>
      <c r="AB568" s="86"/>
      <c r="AC568" s="86"/>
      <c r="AD568" s="86"/>
      <c r="AE568" s="86"/>
      <c r="AF568" s="86"/>
    </row>
    <row r="569" spans="1:32">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6"/>
      <c r="AA569" s="86"/>
      <c r="AB569" s="86"/>
      <c r="AC569" s="86"/>
      <c r="AD569" s="86"/>
      <c r="AE569" s="86"/>
      <c r="AF569" s="86"/>
    </row>
    <row r="570" spans="1:32">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c r="AA570" s="86"/>
      <c r="AB570" s="86"/>
      <c r="AC570" s="86"/>
      <c r="AD570" s="86"/>
      <c r="AE570" s="86"/>
      <c r="AF570" s="86"/>
    </row>
    <row r="571" spans="1:32">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c r="AA571" s="86"/>
      <c r="AB571" s="86"/>
      <c r="AC571" s="86"/>
      <c r="AD571" s="86"/>
      <c r="AE571" s="86"/>
      <c r="AF571" s="86"/>
    </row>
    <row r="572" spans="1:32">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c r="AA572" s="86"/>
      <c r="AB572" s="86"/>
      <c r="AC572" s="86"/>
      <c r="AD572" s="86"/>
      <c r="AE572" s="86"/>
      <c r="AF572" s="86"/>
    </row>
    <row r="573" spans="1:32">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c r="AA573" s="86"/>
      <c r="AB573" s="86"/>
      <c r="AC573" s="86"/>
      <c r="AD573" s="86"/>
      <c r="AE573" s="86"/>
      <c r="AF573" s="86"/>
    </row>
    <row r="574" spans="1:32">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c r="AA574" s="86"/>
      <c r="AB574" s="86"/>
      <c r="AC574" s="86"/>
      <c r="AD574" s="86"/>
      <c r="AE574" s="86"/>
      <c r="AF574" s="86"/>
    </row>
    <row r="575" spans="1:32">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6"/>
      <c r="AA575" s="86"/>
      <c r="AB575" s="86"/>
      <c r="AC575" s="86"/>
      <c r="AD575" s="86"/>
      <c r="AE575" s="86"/>
      <c r="AF575" s="86"/>
    </row>
    <row r="576" spans="1:32">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c r="AA576" s="86"/>
      <c r="AB576" s="86"/>
      <c r="AC576" s="86"/>
      <c r="AD576" s="86"/>
      <c r="AE576" s="86"/>
      <c r="AF576" s="86"/>
    </row>
    <row r="577" spans="1:32">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6"/>
      <c r="AA577" s="86"/>
      <c r="AB577" s="86"/>
      <c r="AC577" s="86"/>
      <c r="AD577" s="86"/>
      <c r="AE577" s="86"/>
      <c r="AF577" s="86"/>
    </row>
    <row r="578" spans="1:32">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c r="AF578" s="86"/>
    </row>
    <row r="579" spans="1:32">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c r="AA579" s="86"/>
      <c r="AB579" s="86"/>
      <c r="AC579" s="86"/>
      <c r="AD579" s="86"/>
      <c r="AE579" s="86"/>
      <c r="AF579" s="86"/>
    </row>
    <row r="580" spans="1:32">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c r="AA580" s="86"/>
      <c r="AB580" s="86"/>
      <c r="AC580" s="86"/>
      <c r="AD580" s="86"/>
      <c r="AE580" s="86"/>
      <c r="AF580" s="86"/>
    </row>
    <row r="581" spans="1:32">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6"/>
      <c r="AA581" s="86"/>
      <c r="AB581" s="86"/>
      <c r="AC581" s="86"/>
      <c r="AD581" s="86"/>
      <c r="AE581" s="86"/>
      <c r="AF581" s="86"/>
    </row>
    <row r="582" spans="1:32">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c r="AA582" s="86"/>
      <c r="AB582" s="86"/>
      <c r="AC582" s="86"/>
      <c r="AD582" s="86"/>
      <c r="AE582" s="86"/>
      <c r="AF582" s="86"/>
    </row>
    <row r="583" spans="1:32">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6"/>
      <c r="AA583" s="86"/>
      <c r="AB583" s="86"/>
      <c r="AC583" s="86"/>
      <c r="AD583" s="86"/>
      <c r="AE583" s="86"/>
      <c r="AF583" s="86"/>
    </row>
    <row r="584" spans="1:32">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c r="AA584" s="86"/>
      <c r="AB584" s="86"/>
      <c r="AC584" s="86"/>
      <c r="AD584" s="86"/>
      <c r="AE584" s="86"/>
      <c r="AF584" s="86"/>
    </row>
    <row r="585" spans="1:32">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c r="AA585" s="86"/>
      <c r="AB585" s="86"/>
      <c r="AC585" s="86"/>
      <c r="AD585" s="86"/>
      <c r="AE585" s="86"/>
      <c r="AF585" s="86"/>
    </row>
    <row r="586" spans="1:32">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c r="AA586" s="86"/>
      <c r="AB586" s="86"/>
      <c r="AC586" s="86"/>
      <c r="AD586" s="86"/>
      <c r="AE586" s="86"/>
      <c r="AF586" s="86"/>
    </row>
    <row r="587" spans="1:32">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6"/>
      <c r="AA587" s="86"/>
      <c r="AB587" s="86"/>
      <c r="AC587" s="86"/>
      <c r="AD587" s="86"/>
      <c r="AE587" s="86"/>
      <c r="AF587" s="86"/>
    </row>
    <row r="588" spans="1:32">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c r="AA588" s="86"/>
      <c r="AB588" s="86"/>
      <c r="AC588" s="86"/>
      <c r="AD588" s="86"/>
      <c r="AE588" s="86"/>
      <c r="AF588" s="86"/>
    </row>
    <row r="589" spans="1:32">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c r="AA589" s="86"/>
      <c r="AB589" s="86"/>
      <c r="AC589" s="86"/>
      <c r="AD589" s="86"/>
      <c r="AE589" s="86"/>
      <c r="AF589" s="86"/>
    </row>
    <row r="590" spans="1:32">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c r="AA590" s="86"/>
      <c r="AB590" s="86"/>
      <c r="AC590" s="86"/>
      <c r="AD590" s="86"/>
      <c r="AE590" s="86"/>
      <c r="AF590" s="86"/>
    </row>
    <row r="591" spans="1:32">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6"/>
      <c r="AA591" s="86"/>
      <c r="AB591" s="86"/>
      <c r="AC591" s="86"/>
      <c r="AD591" s="86"/>
      <c r="AE591" s="86"/>
      <c r="AF591" s="86"/>
    </row>
    <row r="592" spans="1:32">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c r="AA592" s="86"/>
      <c r="AB592" s="86"/>
      <c r="AC592" s="86"/>
      <c r="AD592" s="86"/>
      <c r="AE592" s="86"/>
      <c r="AF592" s="86"/>
    </row>
    <row r="593" spans="1:32">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6"/>
      <c r="AA593" s="86"/>
      <c r="AB593" s="86"/>
      <c r="AC593" s="86"/>
      <c r="AD593" s="86"/>
      <c r="AE593" s="86"/>
      <c r="AF593" s="86"/>
    </row>
    <row r="594" spans="1:32">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c r="AA594" s="86"/>
      <c r="AB594" s="86"/>
      <c r="AC594" s="86"/>
      <c r="AD594" s="86"/>
      <c r="AE594" s="86"/>
      <c r="AF594" s="86"/>
    </row>
    <row r="595" spans="1:32">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c r="AA595" s="86"/>
      <c r="AB595" s="86"/>
      <c r="AC595" s="86"/>
      <c r="AD595" s="86"/>
      <c r="AE595" s="86"/>
      <c r="AF595" s="86"/>
    </row>
    <row r="596" spans="1:32">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c r="AA596" s="86"/>
      <c r="AB596" s="86"/>
      <c r="AC596" s="86"/>
      <c r="AD596" s="86"/>
      <c r="AE596" s="86"/>
      <c r="AF596" s="86"/>
    </row>
    <row r="597" spans="1:32">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6"/>
      <c r="AA597" s="86"/>
      <c r="AB597" s="86"/>
      <c r="AC597" s="86"/>
      <c r="AD597" s="86"/>
      <c r="AE597" s="86"/>
      <c r="AF597" s="86"/>
    </row>
    <row r="598" spans="1:32">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c r="AA598" s="86"/>
      <c r="AB598" s="86"/>
      <c r="AC598" s="86"/>
      <c r="AD598" s="86"/>
      <c r="AE598" s="86"/>
      <c r="AF598" s="86"/>
    </row>
    <row r="599" spans="1:32">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c r="AA599" s="86"/>
      <c r="AB599" s="86"/>
      <c r="AC599" s="86"/>
      <c r="AD599" s="86"/>
      <c r="AE599" s="86"/>
      <c r="AF599" s="86"/>
    </row>
    <row r="600" spans="1:32">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c r="AA600" s="86"/>
      <c r="AB600" s="86"/>
      <c r="AC600" s="86"/>
      <c r="AD600" s="86"/>
      <c r="AE600" s="86"/>
      <c r="AF600" s="86"/>
    </row>
    <row r="601" spans="1:32">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6"/>
      <c r="AA601" s="86"/>
      <c r="AB601" s="86"/>
      <c r="AC601" s="86"/>
      <c r="AD601" s="86"/>
      <c r="AE601" s="86"/>
      <c r="AF601" s="86"/>
    </row>
    <row r="602" spans="1:32">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c r="AA602" s="86"/>
      <c r="AB602" s="86"/>
      <c r="AC602" s="86"/>
      <c r="AD602" s="86"/>
      <c r="AE602" s="86"/>
      <c r="AF602" s="86"/>
    </row>
    <row r="603" spans="1:32">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c r="AA603" s="86"/>
      <c r="AB603" s="86"/>
      <c r="AC603" s="86"/>
      <c r="AD603" s="86"/>
      <c r="AE603" s="86"/>
      <c r="AF603" s="86"/>
    </row>
    <row r="604" spans="1:32">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c r="AA604" s="86"/>
      <c r="AB604" s="86"/>
      <c r="AC604" s="86"/>
      <c r="AD604" s="86"/>
      <c r="AE604" s="86"/>
      <c r="AF604" s="86"/>
    </row>
    <row r="605" spans="1:32">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6"/>
      <c r="AA605" s="86"/>
      <c r="AB605" s="86"/>
      <c r="AC605" s="86"/>
      <c r="AD605" s="86"/>
      <c r="AE605" s="86"/>
      <c r="AF605" s="86"/>
    </row>
    <row r="606" spans="1:32">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c r="AA606" s="86"/>
      <c r="AB606" s="86"/>
      <c r="AC606" s="86"/>
      <c r="AD606" s="86"/>
      <c r="AE606" s="86"/>
      <c r="AF606" s="86"/>
    </row>
    <row r="607" spans="1:32">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6"/>
      <c r="AA607" s="86"/>
      <c r="AB607" s="86"/>
      <c r="AC607" s="86"/>
      <c r="AD607" s="86"/>
      <c r="AE607" s="86"/>
      <c r="AF607" s="86"/>
    </row>
    <row r="608" spans="1:32">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c r="AA608" s="86"/>
      <c r="AB608" s="86"/>
      <c r="AC608" s="86"/>
      <c r="AD608" s="86"/>
      <c r="AE608" s="86"/>
      <c r="AF608" s="86"/>
    </row>
    <row r="609" spans="1:32">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c r="AA609" s="86"/>
      <c r="AB609" s="86"/>
      <c r="AC609" s="86"/>
      <c r="AD609" s="86"/>
      <c r="AE609" s="86"/>
      <c r="AF609" s="86"/>
    </row>
    <row r="610" spans="1:32">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c r="AA610" s="86"/>
      <c r="AB610" s="86"/>
      <c r="AC610" s="86"/>
      <c r="AD610" s="86"/>
      <c r="AE610" s="86"/>
      <c r="AF610" s="86"/>
    </row>
    <row r="611" spans="1:32">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c r="AA611" s="86"/>
      <c r="AB611" s="86"/>
      <c r="AC611" s="86"/>
      <c r="AD611" s="86"/>
      <c r="AE611" s="86"/>
      <c r="AF611" s="86"/>
    </row>
    <row r="612" spans="1:32">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c r="AA612" s="86"/>
      <c r="AB612" s="86"/>
      <c r="AC612" s="86"/>
      <c r="AD612" s="86"/>
      <c r="AE612" s="86"/>
      <c r="AF612" s="86"/>
    </row>
    <row r="613" spans="1:32">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6"/>
      <c r="AA613" s="86"/>
      <c r="AB613" s="86"/>
      <c r="AC613" s="86"/>
      <c r="AD613" s="86"/>
      <c r="AE613" s="86"/>
      <c r="AF613" s="86"/>
    </row>
    <row r="614" spans="1:32">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c r="AA614" s="86"/>
      <c r="AB614" s="86"/>
      <c r="AC614" s="86"/>
      <c r="AD614" s="86"/>
      <c r="AE614" s="86"/>
      <c r="AF614" s="86"/>
    </row>
    <row r="615" spans="1:32">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c r="AA615" s="86"/>
      <c r="AB615" s="86"/>
      <c r="AC615" s="86"/>
      <c r="AD615" s="86"/>
      <c r="AE615" s="86"/>
      <c r="AF615" s="86"/>
    </row>
    <row r="616" spans="1:32">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c r="AA616" s="86"/>
      <c r="AB616" s="86"/>
      <c r="AC616" s="86"/>
      <c r="AD616" s="86"/>
      <c r="AE616" s="86"/>
      <c r="AF616" s="86"/>
    </row>
    <row r="617" spans="1:32">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6"/>
      <c r="AA617" s="86"/>
      <c r="AB617" s="86"/>
      <c r="AC617" s="86"/>
      <c r="AD617" s="86"/>
      <c r="AE617" s="86"/>
      <c r="AF617" s="86"/>
    </row>
    <row r="618" spans="1:32">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c r="AA618" s="86"/>
      <c r="AB618" s="86"/>
      <c r="AC618" s="86"/>
      <c r="AD618" s="86"/>
      <c r="AE618" s="86"/>
      <c r="AF618" s="86"/>
    </row>
    <row r="619" spans="1:32">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c r="AA619" s="86"/>
      <c r="AB619" s="86"/>
      <c r="AC619" s="86"/>
      <c r="AD619" s="86"/>
      <c r="AE619" s="86"/>
      <c r="AF619" s="86"/>
    </row>
    <row r="620" spans="1:32">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c r="AA620" s="86"/>
      <c r="AB620" s="86"/>
      <c r="AC620" s="86"/>
      <c r="AD620" s="86"/>
      <c r="AE620" s="86"/>
      <c r="AF620" s="86"/>
    </row>
    <row r="621" spans="1:32">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6"/>
      <c r="AA621" s="86"/>
      <c r="AB621" s="86"/>
      <c r="AC621" s="86"/>
      <c r="AD621" s="86"/>
      <c r="AE621" s="86"/>
      <c r="AF621" s="86"/>
    </row>
    <row r="622" spans="1:32">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c r="AA622" s="86"/>
      <c r="AB622" s="86"/>
      <c r="AC622" s="86"/>
      <c r="AD622" s="86"/>
      <c r="AE622" s="86"/>
      <c r="AF622" s="86"/>
    </row>
    <row r="623" spans="1:32">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6"/>
      <c r="AA623" s="86"/>
      <c r="AB623" s="86"/>
      <c r="AC623" s="86"/>
      <c r="AD623" s="86"/>
      <c r="AE623" s="86"/>
      <c r="AF623" s="86"/>
    </row>
    <row r="624" spans="1:32">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c r="AA624" s="86"/>
      <c r="AB624" s="86"/>
      <c r="AC624" s="86"/>
      <c r="AD624" s="86"/>
      <c r="AE624" s="86"/>
      <c r="AF624" s="86"/>
    </row>
    <row r="625" spans="1:32">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c r="AA625" s="86"/>
      <c r="AB625" s="86"/>
      <c r="AC625" s="86"/>
      <c r="AD625" s="86"/>
      <c r="AE625" s="86"/>
      <c r="AF625" s="86"/>
    </row>
    <row r="626" spans="1:32">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c r="AA626" s="86"/>
      <c r="AB626" s="86"/>
      <c r="AC626" s="86"/>
      <c r="AD626" s="86"/>
      <c r="AE626" s="86"/>
      <c r="AF626" s="86"/>
    </row>
    <row r="627" spans="1:32">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c r="AA627" s="86"/>
      <c r="AB627" s="86"/>
      <c r="AC627" s="86"/>
      <c r="AD627" s="86"/>
      <c r="AE627" s="86"/>
      <c r="AF627" s="86"/>
    </row>
    <row r="628" spans="1:32">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c r="AA628" s="86"/>
      <c r="AB628" s="86"/>
      <c r="AC628" s="86"/>
      <c r="AD628" s="86"/>
      <c r="AE628" s="86"/>
      <c r="AF628" s="86"/>
    </row>
    <row r="629" spans="1:32">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c r="AA629" s="86"/>
      <c r="AB629" s="86"/>
      <c r="AC629" s="86"/>
      <c r="AD629" s="86"/>
      <c r="AE629" s="86"/>
      <c r="AF629" s="86"/>
    </row>
    <row r="630" spans="1:32">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c r="AA630" s="86"/>
      <c r="AB630" s="86"/>
      <c r="AC630" s="86"/>
      <c r="AD630" s="86"/>
      <c r="AE630" s="86"/>
      <c r="AF630" s="86"/>
    </row>
    <row r="631" spans="1:32">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c r="AA631" s="86"/>
      <c r="AB631" s="86"/>
      <c r="AC631" s="86"/>
      <c r="AD631" s="86"/>
      <c r="AE631" s="86"/>
      <c r="AF631" s="86"/>
    </row>
    <row r="632" spans="1:32">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c r="AA632" s="86"/>
      <c r="AB632" s="86"/>
      <c r="AC632" s="86"/>
      <c r="AD632" s="86"/>
      <c r="AE632" s="86"/>
      <c r="AF632" s="86"/>
    </row>
    <row r="633" spans="1:32">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c r="AA633" s="86"/>
      <c r="AB633" s="86"/>
      <c r="AC633" s="86"/>
      <c r="AD633" s="86"/>
      <c r="AE633" s="86"/>
      <c r="AF633" s="86"/>
    </row>
    <row r="634" spans="1:32">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c r="AA634" s="86"/>
      <c r="AB634" s="86"/>
      <c r="AC634" s="86"/>
      <c r="AD634" s="86"/>
      <c r="AE634" s="86"/>
      <c r="AF634" s="86"/>
    </row>
    <row r="635" spans="1:32">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c r="AA635" s="86"/>
      <c r="AB635" s="86"/>
      <c r="AC635" s="86"/>
      <c r="AD635" s="86"/>
      <c r="AE635" s="86"/>
      <c r="AF635" s="86"/>
    </row>
    <row r="636" spans="1:32">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c r="AA636" s="86"/>
      <c r="AB636" s="86"/>
      <c r="AC636" s="86"/>
      <c r="AD636" s="86"/>
      <c r="AE636" s="86"/>
      <c r="AF636" s="86"/>
    </row>
    <row r="637" spans="1:32">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c r="AA637" s="86"/>
      <c r="AB637" s="86"/>
      <c r="AC637" s="86"/>
      <c r="AD637" s="86"/>
      <c r="AE637" s="86"/>
      <c r="AF637" s="86"/>
    </row>
    <row r="638" spans="1:32">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c r="AA638" s="86"/>
      <c r="AB638" s="86"/>
      <c r="AC638" s="86"/>
      <c r="AD638" s="86"/>
      <c r="AE638" s="86"/>
      <c r="AF638" s="86"/>
    </row>
    <row r="639" spans="1:32">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6"/>
      <c r="AA639" s="86"/>
      <c r="AB639" s="86"/>
      <c r="AC639" s="86"/>
      <c r="AD639" s="86"/>
      <c r="AE639" s="86"/>
      <c r="AF639" s="86"/>
    </row>
    <row r="640" spans="1:32">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c r="AA640" s="86"/>
      <c r="AB640" s="86"/>
      <c r="AC640" s="86"/>
      <c r="AD640" s="86"/>
      <c r="AE640" s="86"/>
      <c r="AF640" s="86"/>
    </row>
    <row r="641" spans="1:32">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6"/>
      <c r="AA641" s="86"/>
      <c r="AB641" s="86"/>
      <c r="AC641" s="86"/>
      <c r="AD641" s="86"/>
      <c r="AE641" s="86"/>
      <c r="AF641" s="86"/>
    </row>
    <row r="642" spans="1:32">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c r="AA642" s="86"/>
      <c r="AB642" s="86"/>
      <c r="AC642" s="86"/>
      <c r="AD642" s="86"/>
      <c r="AE642" s="86"/>
      <c r="AF642" s="86"/>
    </row>
    <row r="643" spans="1:32">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6"/>
      <c r="AA643" s="86"/>
      <c r="AB643" s="86"/>
      <c r="AC643" s="86"/>
      <c r="AD643" s="86"/>
      <c r="AE643" s="86"/>
      <c r="AF643" s="86"/>
    </row>
    <row r="644" spans="1:32">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c r="AA644" s="86"/>
      <c r="AB644" s="86"/>
      <c r="AC644" s="86"/>
      <c r="AD644" s="86"/>
      <c r="AE644" s="86"/>
      <c r="AF644" s="86"/>
    </row>
    <row r="645" spans="1:32">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6"/>
      <c r="AA645" s="86"/>
      <c r="AB645" s="86"/>
      <c r="AC645" s="86"/>
      <c r="AD645" s="86"/>
      <c r="AE645" s="86"/>
      <c r="AF645" s="86"/>
    </row>
    <row r="646" spans="1:32">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c r="AA646" s="86"/>
      <c r="AB646" s="86"/>
      <c r="AC646" s="86"/>
      <c r="AD646" s="86"/>
      <c r="AE646" s="86"/>
      <c r="AF646" s="86"/>
    </row>
    <row r="647" spans="1:32">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6"/>
      <c r="AA647" s="86"/>
      <c r="AB647" s="86"/>
      <c r="AC647" s="86"/>
      <c r="AD647" s="86"/>
      <c r="AE647" s="86"/>
      <c r="AF647" s="86"/>
    </row>
    <row r="648" spans="1:32">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c r="AA648" s="86"/>
      <c r="AB648" s="86"/>
      <c r="AC648" s="86"/>
      <c r="AD648" s="86"/>
      <c r="AE648" s="86"/>
      <c r="AF648" s="86"/>
    </row>
    <row r="649" spans="1:32">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6"/>
      <c r="AA649" s="86"/>
      <c r="AB649" s="86"/>
      <c r="AC649" s="86"/>
      <c r="AD649" s="86"/>
      <c r="AE649" s="86"/>
      <c r="AF649" s="86"/>
    </row>
    <row r="650" spans="1:32">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c r="AA650" s="86"/>
      <c r="AB650" s="86"/>
      <c r="AC650" s="86"/>
      <c r="AD650" s="86"/>
      <c r="AE650" s="86"/>
      <c r="AF650" s="86"/>
    </row>
    <row r="651" spans="1:32">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6"/>
      <c r="AA651" s="86"/>
      <c r="AB651" s="86"/>
      <c r="AC651" s="86"/>
      <c r="AD651" s="86"/>
      <c r="AE651" s="86"/>
      <c r="AF651" s="86"/>
    </row>
    <row r="652" spans="1:32">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c r="AA652" s="86"/>
      <c r="AB652" s="86"/>
      <c r="AC652" s="86"/>
      <c r="AD652" s="86"/>
      <c r="AE652" s="86"/>
      <c r="AF652" s="86"/>
    </row>
    <row r="653" spans="1:32">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c r="AA653" s="86"/>
      <c r="AB653" s="86"/>
      <c r="AC653" s="86"/>
      <c r="AD653" s="86"/>
      <c r="AE653" s="86"/>
      <c r="AF653" s="86"/>
    </row>
    <row r="654" spans="1:32">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c r="AA654" s="86"/>
      <c r="AB654" s="86"/>
      <c r="AC654" s="86"/>
      <c r="AD654" s="86"/>
      <c r="AE654" s="86"/>
      <c r="AF654" s="86"/>
    </row>
    <row r="655" spans="1:32">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c r="AA655" s="86"/>
      <c r="AB655" s="86"/>
      <c r="AC655" s="86"/>
      <c r="AD655" s="86"/>
      <c r="AE655" s="86"/>
      <c r="AF655" s="86"/>
    </row>
    <row r="656" spans="1:32">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c r="AA656" s="86"/>
      <c r="AB656" s="86"/>
      <c r="AC656" s="86"/>
      <c r="AD656" s="86"/>
      <c r="AE656" s="86"/>
      <c r="AF656" s="86"/>
    </row>
    <row r="657" spans="1:32">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c r="AA657" s="86"/>
      <c r="AB657" s="86"/>
      <c r="AC657" s="86"/>
      <c r="AD657" s="86"/>
      <c r="AE657" s="86"/>
      <c r="AF657" s="86"/>
    </row>
    <row r="658" spans="1:32">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c r="AA658" s="86"/>
      <c r="AB658" s="86"/>
      <c r="AC658" s="86"/>
      <c r="AD658" s="86"/>
      <c r="AE658" s="86"/>
      <c r="AF658" s="86"/>
    </row>
    <row r="659" spans="1:32">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c r="AA659" s="86"/>
      <c r="AB659" s="86"/>
      <c r="AC659" s="86"/>
      <c r="AD659" s="86"/>
      <c r="AE659" s="86"/>
      <c r="AF659" s="86"/>
    </row>
    <row r="660" spans="1:32">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c r="AA660" s="86"/>
      <c r="AB660" s="86"/>
      <c r="AC660" s="86"/>
      <c r="AD660" s="86"/>
      <c r="AE660" s="86"/>
      <c r="AF660" s="86"/>
    </row>
    <row r="661" spans="1:32">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c r="AA661" s="86"/>
      <c r="AB661" s="86"/>
      <c r="AC661" s="86"/>
      <c r="AD661" s="86"/>
      <c r="AE661" s="86"/>
      <c r="AF661" s="86"/>
    </row>
    <row r="662" spans="1:32">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c r="AA662" s="86"/>
      <c r="AB662" s="86"/>
      <c r="AC662" s="86"/>
      <c r="AD662" s="86"/>
      <c r="AE662" s="86"/>
      <c r="AF662" s="86"/>
    </row>
    <row r="663" spans="1:32">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c r="AA663" s="86"/>
      <c r="AB663" s="86"/>
      <c r="AC663" s="86"/>
      <c r="AD663" s="86"/>
      <c r="AE663" s="86"/>
      <c r="AF663" s="86"/>
    </row>
    <row r="664" spans="1:32">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c r="AA664" s="86"/>
      <c r="AB664" s="86"/>
      <c r="AC664" s="86"/>
      <c r="AD664" s="86"/>
      <c r="AE664" s="86"/>
      <c r="AF664" s="86"/>
    </row>
    <row r="665" spans="1:32">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c r="AA665" s="86"/>
      <c r="AB665" s="86"/>
      <c r="AC665" s="86"/>
      <c r="AD665" s="86"/>
      <c r="AE665" s="86"/>
      <c r="AF665" s="86"/>
    </row>
    <row r="666" spans="1:32">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c r="AA666" s="86"/>
      <c r="AB666" s="86"/>
      <c r="AC666" s="86"/>
      <c r="AD666" s="86"/>
      <c r="AE666" s="86"/>
      <c r="AF666" s="86"/>
    </row>
    <row r="667" spans="1:32">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c r="AA667" s="86"/>
      <c r="AB667" s="86"/>
      <c r="AC667" s="86"/>
      <c r="AD667" s="86"/>
      <c r="AE667" s="86"/>
      <c r="AF667" s="86"/>
    </row>
    <row r="668" spans="1:32">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c r="AA668" s="86"/>
      <c r="AB668" s="86"/>
      <c r="AC668" s="86"/>
      <c r="AD668" s="86"/>
      <c r="AE668" s="86"/>
      <c r="AF668" s="86"/>
    </row>
    <row r="669" spans="1:32">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c r="AA669" s="86"/>
      <c r="AB669" s="86"/>
      <c r="AC669" s="86"/>
      <c r="AD669" s="86"/>
      <c r="AE669" s="86"/>
      <c r="AF669" s="86"/>
    </row>
    <row r="670" spans="1:32">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c r="AA670" s="86"/>
      <c r="AB670" s="86"/>
      <c r="AC670" s="86"/>
      <c r="AD670" s="86"/>
      <c r="AE670" s="86"/>
      <c r="AF670" s="86"/>
    </row>
    <row r="671" spans="1:32">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c r="AA671" s="86"/>
      <c r="AB671" s="86"/>
      <c r="AC671" s="86"/>
      <c r="AD671" s="86"/>
      <c r="AE671" s="86"/>
      <c r="AF671" s="86"/>
    </row>
    <row r="672" spans="1:32">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c r="AA672" s="86"/>
      <c r="AB672" s="86"/>
      <c r="AC672" s="86"/>
      <c r="AD672" s="86"/>
      <c r="AE672" s="86"/>
      <c r="AF672" s="86"/>
    </row>
    <row r="673" spans="1:32">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c r="AA673" s="86"/>
      <c r="AB673" s="86"/>
      <c r="AC673" s="86"/>
      <c r="AD673" s="86"/>
      <c r="AE673" s="86"/>
      <c r="AF673" s="86"/>
    </row>
    <row r="674" spans="1:32">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c r="AA674" s="86"/>
      <c r="AB674" s="86"/>
      <c r="AC674" s="86"/>
      <c r="AD674" s="86"/>
      <c r="AE674" s="86"/>
      <c r="AF674" s="86"/>
    </row>
    <row r="675" spans="1:32">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c r="AA675" s="86"/>
      <c r="AB675" s="86"/>
      <c r="AC675" s="86"/>
      <c r="AD675" s="86"/>
      <c r="AE675" s="86"/>
      <c r="AF675" s="86"/>
    </row>
    <row r="676" spans="1:32">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c r="AA676" s="86"/>
      <c r="AB676" s="86"/>
      <c r="AC676" s="86"/>
      <c r="AD676" s="86"/>
      <c r="AE676" s="86"/>
      <c r="AF676" s="86"/>
    </row>
    <row r="677" spans="1:32">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c r="AA677" s="86"/>
      <c r="AB677" s="86"/>
      <c r="AC677" s="86"/>
      <c r="AD677" s="86"/>
      <c r="AE677" s="86"/>
      <c r="AF677" s="86"/>
    </row>
    <row r="678" spans="1:32">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c r="AA678" s="86"/>
      <c r="AB678" s="86"/>
      <c r="AC678" s="86"/>
      <c r="AD678" s="86"/>
      <c r="AE678" s="86"/>
      <c r="AF678" s="86"/>
    </row>
    <row r="679" spans="1:32">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c r="AA679" s="86"/>
      <c r="AB679" s="86"/>
      <c r="AC679" s="86"/>
      <c r="AD679" s="86"/>
      <c r="AE679" s="86"/>
      <c r="AF679" s="86"/>
    </row>
    <row r="680" spans="1:32">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c r="AA680" s="86"/>
      <c r="AB680" s="86"/>
      <c r="AC680" s="86"/>
      <c r="AD680" s="86"/>
      <c r="AE680" s="86"/>
      <c r="AF680" s="86"/>
    </row>
    <row r="681" spans="1:32">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c r="AA681" s="86"/>
      <c r="AB681" s="86"/>
      <c r="AC681" s="86"/>
      <c r="AD681" s="86"/>
      <c r="AE681" s="86"/>
      <c r="AF681" s="86"/>
    </row>
    <row r="682" spans="1:32">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c r="AA682" s="86"/>
      <c r="AB682" s="86"/>
      <c r="AC682" s="86"/>
      <c r="AD682" s="86"/>
      <c r="AE682" s="86"/>
      <c r="AF682" s="86"/>
    </row>
    <row r="683" spans="1:32">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c r="AA683" s="86"/>
      <c r="AB683" s="86"/>
      <c r="AC683" s="86"/>
      <c r="AD683" s="86"/>
      <c r="AE683" s="86"/>
      <c r="AF683" s="86"/>
    </row>
    <row r="684" spans="1:32">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c r="AA684" s="86"/>
      <c r="AB684" s="86"/>
      <c r="AC684" s="86"/>
      <c r="AD684" s="86"/>
      <c r="AE684" s="86"/>
      <c r="AF684" s="86"/>
    </row>
    <row r="685" spans="1:32">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c r="AA685" s="86"/>
      <c r="AB685" s="86"/>
      <c r="AC685" s="86"/>
      <c r="AD685" s="86"/>
      <c r="AE685" s="86"/>
      <c r="AF685" s="86"/>
    </row>
    <row r="686" spans="1:32">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c r="AA686" s="86"/>
      <c r="AB686" s="86"/>
      <c r="AC686" s="86"/>
      <c r="AD686" s="86"/>
      <c r="AE686" s="86"/>
      <c r="AF686" s="86"/>
    </row>
    <row r="687" spans="1:32">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c r="AA687" s="86"/>
      <c r="AB687" s="86"/>
      <c r="AC687" s="86"/>
      <c r="AD687" s="86"/>
      <c r="AE687" s="86"/>
      <c r="AF687" s="86"/>
    </row>
    <row r="688" spans="1:32">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c r="AA688" s="86"/>
      <c r="AB688" s="86"/>
      <c r="AC688" s="86"/>
      <c r="AD688" s="86"/>
      <c r="AE688" s="86"/>
      <c r="AF688" s="86"/>
    </row>
    <row r="689" spans="1:32">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c r="AA689" s="86"/>
      <c r="AB689" s="86"/>
      <c r="AC689" s="86"/>
      <c r="AD689" s="86"/>
      <c r="AE689" s="86"/>
      <c r="AF689" s="86"/>
    </row>
    <row r="690" spans="1:32">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c r="AA690" s="86"/>
      <c r="AB690" s="86"/>
      <c r="AC690" s="86"/>
      <c r="AD690" s="86"/>
      <c r="AE690" s="86"/>
      <c r="AF690" s="86"/>
    </row>
    <row r="691" spans="1:32">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c r="AA691" s="86"/>
      <c r="AB691" s="86"/>
      <c r="AC691" s="86"/>
      <c r="AD691" s="86"/>
      <c r="AE691" s="86"/>
      <c r="AF691" s="86"/>
    </row>
    <row r="692" spans="1:32">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c r="AA692" s="86"/>
      <c r="AB692" s="86"/>
      <c r="AC692" s="86"/>
      <c r="AD692" s="86"/>
      <c r="AE692" s="86"/>
      <c r="AF692" s="86"/>
    </row>
    <row r="693" spans="1:32">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c r="AA693" s="86"/>
      <c r="AB693" s="86"/>
      <c r="AC693" s="86"/>
      <c r="AD693" s="86"/>
      <c r="AE693" s="86"/>
      <c r="AF693" s="86"/>
    </row>
    <row r="694" spans="1:32">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c r="AA694" s="86"/>
      <c r="AB694" s="86"/>
      <c r="AC694" s="86"/>
      <c r="AD694" s="86"/>
      <c r="AE694" s="86"/>
      <c r="AF694" s="86"/>
    </row>
    <row r="695" spans="1:32">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c r="AA695" s="86"/>
      <c r="AB695" s="86"/>
      <c r="AC695" s="86"/>
      <c r="AD695" s="86"/>
      <c r="AE695" s="86"/>
      <c r="AF695" s="86"/>
    </row>
    <row r="696" spans="1:32">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c r="AA696" s="86"/>
      <c r="AB696" s="86"/>
      <c r="AC696" s="86"/>
      <c r="AD696" s="86"/>
      <c r="AE696" s="86"/>
      <c r="AF696" s="86"/>
    </row>
    <row r="697" spans="1:32">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c r="AA697" s="86"/>
      <c r="AB697" s="86"/>
      <c r="AC697" s="86"/>
      <c r="AD697" s="86"/>
      <c r="AE697" s="86"/>
      <c r="AF697" s="86"/>
    </row>
    <row r="698" spans="1:32">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c r="AA698" s="86"/>
      <c r="AB698" s="86"/>
      <c r="AC698" s="86"/>
      <c r="AD698" s="86"/>
      <c r="AE698" s="86"/>
      <c r="AF698" s="86"/>
    </row>
    <row r="699" spans="1:32">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c r="AA699" s="86"/>
      <c r="AB699" s="86"/>
      <c r="AC699" s="86"/>
      <c r="AD699" s="86"/>
      <c r="AE699" s="86"/>
      <c r="AF699" s="86"/>
    </row>
    <row r="700" spans="1:32">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c r="AA700" s="86"/>
      <c r="AB700" s="86"/>
      <c r="AC700" s="86"/>
      <c r="AD700" s="86"/>
      <c r="AE700" s="86"/>
      <c r="AF700" s="86"/>
    </row>
    <row r="701" spans="1:32">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c r="AA701" s="86"/>
      <c r="AB701" s="86"/>
      <c r="AC701" s="86"/>
      <c r="AD701" s="86"/>
      <c r="AE701" s="86"/>
      <c r="AF701" s="86"/>
    </row>
    <row r="702" spans="1:32">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c r="AA702" s="86"/>
      <c r="AB702" s="86"/>
      <c r="AC702" s="86"/>
      <c r="AD702" s="86"/>
      <c r="AE702" s="86"/>
      <c r="AF702" s="86"/>
    </row>
    <row r="703" spans="1:32">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c r="AA703" s="86"/>
      <c r="AB703" s="86"/>
      <c r="AC703" s="86"/>
      <c r="AD703" s="86"/>
      <c r="AE703" s="86"/>
      <c r="AF703" s="86"/>
    </row>
    <row r="704" spans="1:32">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c r="AA704" s="86"/>
      <c r="AB704" s="86"/>
      <c r="AC704" s="86"/>
      <c r="AD704" s="86"/>
      <c r="AE704" s="86"/>
      <c r="AF704" s="86"/>
    </row>
    <row r="705" spans="1:32">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c r="AA705" s="86"/>
      <c r="AB705" s="86"/>
      <c r="AC705" s="86"/>
      <c r="AD705" s="86"/>
      <c r="AE705" s="86"/>
      <c r="AF705" s="86"/>
    </row>
    <row r="706" spans="1:32">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c r="AA706" s="86"/>
      <c r="AB706" s="86"/>
      <c r="AC706" s="86"/>
      <c r="AD706" s="86"/>
      <c r="AE706" s="86"/>
      <c r="AF706" s="86"/>
    </row>
    <row r="707" spans="1:32">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c r="AA707" s="86"/>
      <c r="AB707" s="86"/>
      <c r="AC707" s="86"/>
      <c r="AD707" s="86"/>
      <c r="AE707" s="86"/>
      <c r="AF707" s="86"/>
    </row>
    <row r="708" spans="1:32">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c r="AA708" s="86"/>
      <c r="AB708" s="86"/>
      <c r="AC708" s="86"/>
      <c r="AD708" s="86"/>
      <c r="AE708" s="86"/>
      <c r="AF708" s="86"/>
    </row>
    <row r="709" spans="1:32">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c r="AA709" s="86"/>
      <c r="AB709" s="86"/>
      <c r="AC709" s="86"/>
      <c r="AD709" s="86"/>
      <c r="AE709" s="86"/>
      <c r="AF709" s="86"/>
    </row>
    <row r="710" spans="1:32">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c r="AA710" s="86"/>
      <c r="AB710" s="86"/>
      <c r="AC710" s="86"/>
      <c r="AD710" s="86"/>
      <c r="AE710" s="86"/>
      <c r="AF710" s="86"/>
    </row>
    <row r="711" spans="1:32">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c r="AA711" s="86"/>
      <c r="AB711" s="86"/>
      <c r="AC711" s="86"/>
      <c r="AD711" s="86"/>
      <c r="AE711" s="86"/>
      <c r="AF711" s="86"/>
    </row>
    <row r="712" spans="1:32">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c r="AA712" s="86"/>
      <c r="AB712" s="86"/>
      <c r="AC712" s="86"/>
      <c r="AD712" s="86"/>
      <c r="AE712" s="86"/>
      <c r="AF712" s="86"/>
    </row>
    <row r="713" spans="1:32">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c r="AA713" s="86"/>
      <c r="AB713" s="86"/>
      <c r="AC713" s="86"/>
      <c r="AD713" s="86"/>
      <c r="AE713" s="86"/>
      <c r="AF713" s="86"/>
    </row>
    <row r="714" spans="1:32">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c r="AA714" s="86"/>
      <c r="AB714" s="86"/>
      <c r="AC714" s="86"/>
      <c r="AD714" s="86"/>
      <c r="AE714" s="86"/>
      <c r="AF714" s="86"/>
    </row>
    <row r="715" spans="1:32">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c r="AA715" s="86"/>
      <c r="AB715" s="86"/>
      <c r="AC715" s="86"/>
      <c r="AD715" s="86"/>
      <c r="AE715" s="86"/>
      <c r="AF715" s="86"/>
    </row>
    <row r="716" spans="1:32">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c r="AA716" s="86"/>
      <c r="AB716" s="86"/>
      <c r="AC716" s="86"/>
      <c r="AD716" s="86"/>
      <c r="AE716" s="86"/>
      <c r="AF716" s="86"/>
    </row>
    <row r="717" spans="1:32">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c r="AA717" s="86"/>
      <c r="AB717" s="86"/>
      <c r="AC717" s="86"/>
      <c r="AD717" s="86"/>
      <c r="AE717" s="86"/>
      <c r="AF717" s="86"/>
    </row>
    <row r="718" spans="1:32">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c r="AA718" s="86"/>
      <c r="AB718" s="86"/>
      <c r="AC718" s="86"/>
      <c r="AD718" s="86"/>
      <c r="AE718" s="86"/>
      <c r="AF718" s="86"/>
    </row>
    <row r="719" spans="1:32">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c r="AA719" s="86"/>
      <c r="AB719" s="86"/>
      <c r="AC719" s="86"/>
      <c r="AD719" s="86"/>
      <c r="AE719" s="86"/>
      <c r="AF719" s="86"/>
    </row>
    <row r="720" spans="1:32">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c r="AA720" s="86"/>
      <c r="AB720" s="86"/>
      <c r="AC720" s="86"/>
      <c r="AD720" s="86"/>
      <c r="AE720" s="86"/>
      <c r="AF720" s="86"/>
    </row>
    <row r="721" spans="1:32">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c r="AA721" s="86"/>
      <c r="AB721" s="86"/>
      <c r="AC721" s="86"/>
      <c r="AD721" s="86"/>
      <c r="AE721" s="86"/>
      <c r="AF721" s="86"/>
    </row>
    <row r="722" spans="1:32">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c r="AA722" s="86"/>
      <c r="AB722" s="86"/>
      <c r="AC722" s="86"/>
      <c r="AD722" s="86"/>
      <c r="AE722" s="86"/>
      <c r="AF722" s="86"/>
    </row>
    <row r="723" spans="1:32">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c r="AA723" s="86"/>
      <c r="AB723" s="86"/>
      <c r="AC723" s="86"/>
      <c r="AD723" s="86"/>
      <c r="AE723" s="86"/>
      <c r="AF723" s="86"/>
    </row>
    <row r="724" spans="1:32">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c r="AA724" s="86"/>
      <c r="AB724" s="86"/>
      <c r="AC724" s="86"/>
      <c r="AD724" s="86"/>
      <c r="AE724" s="86"/>
      <c r="AF724" s="86"/>
    </row>
    <row r="725" spans="1:32">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c r="AA725" s="86"/>
      <c r="AB725" s="86"/>
      <c r="AC725" s="86"/>
      <c r="AD725" s="86"/>
      <c r="AE725" s="86"/>
      <c r="AF725" s="86"/>
    </row>
    <row r="726" spans="1:32">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c r="AA726" s="86"/>
      <c r="AB726" s="86"/>
      <c r="AC726" s="86"/>
      <c r="AD726" s="86"/>
      <c r="AE726" s="86"/>
      <c r="AF726" s="86"/>
    </row>
    <row r="727" spans="1:32">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c r="AA727" s="86"/>
      <c r="AB727" s="86"/>
      <c r="AC727" s="86"/>
      <c r="AD727" s="86"/>
      <c r="AE727" s="86"/>
      <c r="AF727" s="86"/>
    </row>
    <row r="728" spans="1:32">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c r="AA728" s="86"/>
      <c r="AB728" s="86"/>
      <c r="AC728" s="86"/>
      <c r="AD728" s="86"/>
      <c r="AE728" s="86"/>
      <c r="AF728" s="86"/>
    </row>
    <row r="729" spans="1:32">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c r="AA729" s="86"/>
      <c r="AB729" s="86"/>
      <c r="AC729" s="86"/>
      <c r="AD729" s="86"/>
      <c r="AE729" s="86"/>
      <c r="AF729" s="86"/>
    </row>
    <row r="730" spans="1:32">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c r="AA730" s="86"/>
      <c r="AB730" s="86"/>
      <c r="AC730" s="86"/>
      <c r="AD730" s="86"/>
      <c r="AE730" s="86"/>
      <c r="AF730" s="86"/>
    </row>
    <row r="731" spans="1:32">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c r="AA731" s="86"/>
      <c r="AB731" s="86"/>
      <c r="AC731" s="86"/>
      <c r="AD731" s="86"/>
      <c r="AE731" s="86"/>
      <c r="AF731" s="86"/>
    </row>
    <row r="732" spans="1:32">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c r="AA732" s="86"/>
      <c r="AB732" s="86"/>
      <c r="AC732" s="86"/>
      <c r="AD732" s="86"/>
      <c r="AE732" s="86"/>
      <c r="AF732" s="86"/>
    </row>
    <row r="733" spans="1:32">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c r="AA733" s="86"/>
      <c r="AB733" s="86"/>
      <c r="AC733" s="86"/>
      <c r="AD733" s="86"/>
      <c r="AE733" s="86"/>
      <c r="AF733" s="86"/>
    </row>
    <row r="734" spans="1:32">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c r="AA734" s="86"/>
      <c r="AB734" s="86"/>
      <c r="AC734" s="86"/>
      <c r="AD734" s="86"/>
      <c r="AE734" s="86"/>
      <c r="AF734" s="86"/>
    </row>
    <row r="735" spans="1:32">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c r="AA735" s="86"/>
      <c r="AB735" s="86"/>
      <c r="AC735" s="86"/>
      <c r="AD735" s="86"/>
      <c r="AE735" s="86"/>
      <c r="AF735" s="86"/>
    </row>
    <row r="736" spans="1:32">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c r="AA736" s="86"/>
      <c r="AB736" s="86"/>
      <c r="AC736" s="86"/>
      <c r="AD736" s="86"/>
      <c r="AE736" s="86"/>
      <c r="AF736" s="86"/>
    </row>
    <row r="737" spans="1:32">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c r="AA737" s="86"/>
      <c r="AB737" s="86"/>
      <c r="AC737" s="86"/>
      <c r="AD737" s="86"/>
      <c r="AE737" s="86"/>
      <c r="AF737" s="86"/>
    </row>
    <row r="738" spans="1:32">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c r="AA738" s="86"/>
      <c r="AB738" s="86"/>
      <c r="AC738" s="86"/>
      <c r="AD738" s="86"/>
      <c r="AE738" s="86"/>
      <c r="AF738" s="86"/>
    </row>
    <row r="739" spans="1:32">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c r="AA739" s="86"/>
      <c r="AB739" s="86"/>
      <c r="AC739" s="86"/>
      <c r="AD739" s="86"/>
      <c r="AE739" s="86"/>
      <c r="AF739" s="86"/>
    </row>
    <row r="740" spans="1:32">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c r="AA740" s="86"/>
      <c r="AB740" s="86"/>
      <c r="AC740" s="86"/>
      <c r="AD740" s="86"/>
      <c r="AE740" s="86"/>
      <c r="AF740" s="86"/>
    </row>
    <row r="741" spans="1:32">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c r="AA741" s="86"/>
      <c r="AB741" s="86"/>
      <c r="AC741" s="86"/>
      <c r="AD741" s="86"/>
      <c r="AE741" s="86"/>
      <c r="AF741" s="86"/>
    </row>
    <row r="742" spans="1:32">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c r="AA742" s="86"/>
      <c r="AB742" s="86"/>
      <c r="AC742" s="86"/>
      <c r="AD742" s="86"/>
      <c r="AE742" s="86"/>
      <c r="AF742" s="86"/>
    </row>
    <row r="743" spans="1:32">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c r="AA743" s="86"/>
      <c r="AB743" s="86"/>
      <c r="AC743" s="86"/>
      <c r="AD743" s="86"/>
      <c r="AE743" s="86"/>
      <c r="AF743" s="86"/>
    </row>
    <row r="744" spans="1:32">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c r="AA744" s="86"/>
      <c r="AB744" s="86"/>
      <c r="AC744" s="86"/>
      <c r="AD744" s="86"/>
      <c r="AE744" s="86"/>
      <c r="AF744" s="86"/>
    </row>
    <row r="745" spans="1:32">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c r="AA745" s="86"/>
      <c r="AB745" s="86"/>
      <c r="AC745" s="86"/>
      <c r="AD745" s="86"/>
      <c r="AE745" s="86"/>
      <c r="AF745" s="86"/>
    </row>
    <row r="746" spans="1:32">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c r="AA746" s="86"/>
      <c r="AB746" s="86"/>
      <c r="AC746" s="86"/>
      <c r="AD746" s="86"/>
      <c r="AE746" s="86"/>
      <c r="AF746" s="86"/>
    </row>
    <row r="747" spans="1:32">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c r="AA747" s="86"/>
      <c r="AB747" s="86"/>
      <c r="AC747" s="86"/>
      <c r="AD747" s="86"/>
      <c r="AE747" s="86"/>
      <c r="AF747" s="86"/>
    </row>
    <row r="748" spans="1:32">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c r="AA748" s="86"/>
      <c r="AB748" s="86"/>
      <c r="AC748" s="86"/>
      <c r="AD748" s="86"/>
      <c r="AE748" s="86"/>
      <c r="AF748" s="86"/>
    </row>
    <row r="749" spans="1:32">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c r="AA749" s="86"/>
      <c r="AB749" s="86"/>
      <c r="AC749" s="86"/>
      <c r="AD749" s="86"/>
      <c r="AE749" s="86"/>
      <c r="AF749" s="86"/>
    </row>
    <row r="750" spans="1:32">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c r="AA750" s="86"/>
      <c r="AB750" s="86"/>
      <c r="AC750" s="86"/>
      <c r="AD750" s="86"/>
      <c r="AE750" s="86"/>
      <c r="AF750" s="86"/>
    </row>
    <row r="751" spans="1:32">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c r="AA751" s="86"/>
      <c r="AB751" s="86"/>
      <c r="AC751" s="86"/>
      <c r="AD751" s="86"/>
      <c r="AE751" s="86"/>
      <c r="AF751" s="86"/>
    </row>
    <row r="752" spans="1:32">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c r="AA752" s="86"/>
      <c r="AB752" s="86"/>
      <c r="AC752" s="86"/>
      <c r="AD752" s="86"/>
      <c r="AE752" s="86"/>
      <c r="AF752" s="86"/>
    </row>
    <row r="753" spans="1:32">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c r="AA753" s="86"/>
      <c r="AB753" s="86"/>
      <c r="AC753" s="86"/>
      <c r="AD753" s="86"/>
      <c r="AE753" s="86"/>
      <c r="AF753" s="86"/>
    </row>
    <row r="754" spans="1:32">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c r="AA754" s="86"/>
      <c r="AB754" s="86"/>
      <c r="AC754" s="86"/>
      <c r="AD754" s="86"/>
      <c r="AE754" s="86"/>
      <c r="AF754" s="86"/>
    </row>
    <row r="755" spans="1:32">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c r="AA755" s="86"/>
      <c r="AB755" s="86"/>
      <c r="AC755" s="86"/>
      <c r="AD755" s="86"/>
      <c r="AE755" s="86"/>
      <c r="AF755" s="86"/>
    </row>
    <row r="756" spans="1:32">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c r="AA756" s="86"/>
      <c r="AB756" s="86"/>
      <c r="AC756" s="86"/>
      <c r="AD756" s="86"/>
      <c r="AE756" s="86"/>
      <c r="AF756" s="86"/>
    </row>
    <row r="757" spans="1:32">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c r="AA757" s="86"/>
      <c r="AB757" s="86"/>
      <c r="AC757" s="86"/>
      <c r="AD757" s="86"/>
      <c r="AE757" s="86"/>
      <c r="AF757" s="86"/>
    </row>
    <row r="758" spans="1:32">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c r="AA758" s="86"/>
      <c r="AB758" s="86"/>
      <c r="AC758" s="86"/>
      <c r="AD758" s="86"/>
      <c r="AE758" s="86"/>
      <c r="AF758" s="86"/>
    </row>
    <row r="759" spans="1:32">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c r="AA759" s="86"/>
      <c r="AB759" s="86"/>
      <c r="AC759" s="86"/>
      <c r="AD759" s="86"/>
      <c r="AE759" s="86"/>
      <c r="AF759" s="86"/>
    </row>
    <row r="760" spans="1:32">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c r="AA760" s="86"/>
      <c r="AB760" s="86"/>
      <c r="AC760" s="86"/>
      <c r="AD760" s="86"/>
      <c r="AE760" s="86"/>
      <c r="AF760" s="86"/>
    </row>
    <row r="761" spans="1:32">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c r="AA761" s="86"/>
      <c r="AB761" s="86"/>
      <c r="AC761" s="86"/>
      <c r="AD761" s="86"/>
      <c r="AE761" s="86"/>
      <c r="AF761" s="86"/>
    </row>
    <row r="762" spans="1:32">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c r="AA762" s="86"/>
      <c r="AB762" s="86"/>
      <c r="AC762" s="86"/>
      <c r="AD762" s="86"/>
      <c r="AE762" s="86"/>
      <c r="AF762" s="86"/>
    </row>
    <row r="763" spans="1:32">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c r="AA763" s="86"/>
      <c r="AB763" s="86"/>
      <c r="AC763" s="86"/>
      <c r="AD763" s="86"/>
      <c r="AE763" s="86"/>
      <c r="AF763" s="86"/>
    </row>
    <row r="764" spans="1:32">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c r="AA764" s="86"/>
      <c r="AB764" s="86"/>
      <c r="AC764" s="86"/>
      <c r="AD764" s="86"/>
      <c r="AE764" s="86"/>
      <c r="AF764" s="86"/>
    </row>
    <row r="765" spans="1:32">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c r="AA765" s="86"/>
      <c r="AB765" s="86"/>
      <c r="AC765" s="86"/>
      <c r="AD765" s="86"/>
      <c r="AE765" s="86"/>
      <c r="AF765" s="86"/>
    </row>
    <row r="766" spans="1:32">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c r="AA766" s="86"/>
      <c r="AB766" s="86"/>
      <c r="AC766" s="86"/>
      <c r="AD766" s="86"/>
      <c r="AE766" s="86"/>
      <c r="AF766" s="86"/>
    </row>
    <row r="767" spans="1:32">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c r="AA767" s="86"/>
      <c r="AB767" s="86"/>
      <c r="AC767" s="86"/>
      <c r="AD767" s="86"/>
      <c r="AE767" s="86"/>
      <c r="AF767" s="86"/>
    </row>
    <row r="768" spans="1:32">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c r="AA768" s="86"/>
      <c r="AB768" s="86"/>
      <c r="AC768" s="86"/>
      <c r="AD768" s="86"/>
      <c r="AE768" s="86"/>
      <c r="AF768" s="86"/>
    </row>
    <row r="769" spans="1:32">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c r="AA769" s="86"/>
      <c r="AB769" s="86"/>
      <c r="AC769" s="86"/>
      <c r="AD769" s="86"/>
      <c r="AE769" s="86"/>
      <c r="AF769" s="86"/>
    </row>
    <row r="770" spans="1:32">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c r="AA770" s="86"/>
      <c r="AB770" s="86"/>
      <c r="AC770" s="86"/>
      <c r="AD770" s="86"/>
      <c r="AE770" s="86"/>
      <c r="AF770" s="86"/>
    </row>
    <row r="771" spans="1:32">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c r="AA771" s="86"/>
      <c r="AB771" s="86"/>
      <c r="AC771" s="86"/>
      <c r="AD771" s="86"/>
      <c r="AE771" s="86"/>
      <c r="AF771" s="86"/>
    </row>
    <row r="772" spans="1:32">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c r="AA772" s="86"/>
      <c r="AB772" s="86"/>
      <c r="AC772" s="86"/>
      <c r="AD772" s="86"/>
      <c r="AE772" s="86"/>
      <c r="AF772" s="86"/>
    </row>
    <row r="773" spans="1:32">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c r="AA773" s="86"/>
      <c r="AB773" s="86"/>
      <c r="AC773" s="86"/>
      <c r="AD773" s="86"/>
      <c r="AE773" s="86"/>
      <c r="AF773" s="86"/>
    </row>
    <row r="774" spans="1:32">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c r="AA774" s="86"/>
      <c r="AB774" s="86"/>
      <c r="AC774" s="86"/>
      <c r="AD774" s="86"/>
      <c r="AE774" s="86"/>
      <c r="AF774" s="86"/>
    </row>
    <row r="775" spans="1:32">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c r="AA775" s="86"/>
      <c r="AB775" s="86"/>
      <c r="AC775" s="86"/>
      <c r="AD775" s="86"/>
      <c r="AE775" s="86"/>
      <c r="AF775" s="86"/>
    </row>
    <row r="776" spans="1:32">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c r="AA776" s="86"/>
      <c r="AB776" s="86"/>
      <c r="AC776" s="86"/>
      <c r="AD776" s="86"/>
      <c r="AE776" s="86"/>
      <c r="AF776" s="86"/>
    </row>
    <row r="777" spans="1:32">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c r="AA777" s="86"/>
      <c r="AB777" s="86"/>
      <c r="AC777" s="86"/>
      <c r="AD777" s="86"/>
      <c r="AE777" s="86"/>
      <c r="AF777" s="86"/>
    </row>
    <row r="778" spans="1:32">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c r="AA778" s="86"/>
      <c r="AB778" s="86"/>
      <c r="AC778" s="86"/>
      <c r="AD778" s="86"/>
      <c r="AE778" s="86"/>
      <c r="AF778" s="86"/>
    </row>
    <row r="779" spans="1:32">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c r="AA779" s="86"/>
      <c r="AB779" s="86"/>
      <c r="AC779" s="86"/>
      <c r="AD779" s="86"/>
      <c r="AE779" s="86"/>
      <c r="AF779" s="86"/>
    </row>
    <row r="780" spans="1:32">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c r="AA780" s="86"/>
      <c r="AB780" s="86"/>
      <c r="AC780" s="86"/>
      <c r="AD780" s="86"/>
      <c r="AE780" s="86"/>
      <c r="AF780" s="86"/>
    </row>
    <row r="781" spans="1:32">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c r="AA781" s="86"/>
      <c r="AB781" s="86"/>
      <c r="AC781" s="86"/>
      <c r="AD781" s="86"/>
      <c r="AE781" s="86"/>
      <c r="AF781" s="86"/>
    </row>
    <row r="782" spans="1:32">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c r="AA782" s="86"/>
      <c r="AB782" s="86"/>
      <c r="AC782" s="86"/>
      <c r="AD782" s="86"/>
      <c r="AE782" s="86"/>
      <c r="AF782" s="86"/>
    </row>
    <row r="783" spans="1:32">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c r="AA783" s="86"/>
      <c r="AB783" s="86"/>
      <c r="AC783" s="86"/>
      <c r="AD783" s="86"/>
      <c r="AE783" s="86"/>
      <c r="AF783" s="86"/>
    </row>
    <row r="784" spans="1:32">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c r="AA784" s="86"/>
      <c r="AB784" s="86"/>
      <c r="AC784" s="86"/>
      <c r="AD784" s="86"/>
      <c r="AE784" s="86"/>
      <c r="AF784" s="86"/>
    </row>
    <row r="785" spans="1:32">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c r="AA785" s="86"/>
      <c r="AB785" s="86"/>
      <c r="AC785" s="86"/>
      <c r="AD785" s="86"/>
      <c r="AE785" s="86"/>
      <c r="AF785" s="86"/>
    </row>
    <row r="786" spans="1:32">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c r="AA786" s="86"/>
      <c r="AB786" s="86"/>
      <c r="AC786" s="86"/>
      <c r="AD786" s="86"/>
      <c r="AE786" s="86"/>
      <c r="AF786" s="86"/>
    </row>
    <row r="787" spans="1:32">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c r="AA787" s="86"/>
      <c r="AB787" s="86"/>
      <c r="AC787" s="86"/>
      <c r="AD787" s="86"/>
      <c r="AE787" s="86"/>
      <c r="AF787" s="86"/>
    </row>
    <row r="788" spans="1:32">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c r="AA788" s="86"/>
      <c r="AB788" s="86"/>
      <c r="AC788" s="86"/>
      <c r="AD788" s="86"/>
      <c r="AE788" s="86"/>
      <c r="AF788" s="86"/>
    </row>
    <row r="789" spans="1:32">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c r="AA789" s="86"/>
      <c r="AB789" s="86"/>
      <c r="AC789" s="86"/>
      <c r="AD789" s="86"/>
      <c r="AE789" s="86"/>
      <c r="AF789" s="86"/>
    </row>
    <row r="790" spans="1:32">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c r="AA790" s="86"/>
      <c r="AB790" s="86"/>
      <c r="AC790" s="86"/>
      <c r="AD790" s="86"/>
      <c r="AE790" s="86"/>
      <c r="AF790" s="86"/>
    </row>
    <row r="791" spans="1:32">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c r="AA791" s="86"/>
      <c r="AB791" s="86"/>
      <c r="AC791" s="86"/>
      <c r="AD791" s="86"/>
      <c r="AE791" s="86"/>
      <c r="AF791" s="86"/>
    </row>
    <row r="792" spans="1:32">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c r="AA792" s="86"/>
      <c r="AB792" s="86"/>
      <c r="AC792" s="86"/>
      <c r="AD792" s="86"/>
      <c r="AE792" s="86"/>
      <c r="AF792" s="86"/>
    </row>
    <row r="793" spans="1:32">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c r="AA793" s="86"/>
      <c r="AB793" s="86"/>
      <c r="AC793" s="86"/>
      <c r="AD793" s="86"/>
      <c r="AE793" s="86"/>
      <c r="AF793" s="86"/>
    </row>
    <row r="794" spans="1:32">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c r="AA794" s="86"/>
      <c r="AB794" s="86"/>
      <c r="AC794" s="86"/>
      <c r="AD794" s="86"/>
      <c r="AE794" s="86"/>
      <c r="AF794" s="86"/>
    </row>
    <row r="795" spans="1:32">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c r="AA795" s="86"/>
      <c r="AB795" s="86"/>
      <c r="AC795" s="86"/>
      <c r="AD795" s="86"/>
      <c r="AE795" s="86"/>
      <c r="AF795" s="86"/>
    </row>
    <row r="796" spans="1:32">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c r="AA796" s="86"/>
      <c r="AB796" s="86"/>
      <c r="AC796" s="86"/>
      <c r="AD796" s="86"/>
      <c r="AE796" s="86"/>
      <c r="AF796" s="86"/>
    </row>
    <row r="797" spans="1:32">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c r="AA797" s="86"/>
      <c r="AB797" s="86"/>
      <c r="AC797" s="86"/>
      <c r="AD797" s="86"/>
      <c r="AE797" s="86"/>
      <c r="AF797" s="86"/>
    </row>
    <row r="798" spans="1:32">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c r="AA798" s="86"/>
      <c r="AB798" s="86"/>
      <c r="AC798" s="86"/>
      <c r="AD798" s="86"/>
      <c r="AE798" s="86"/>
      <c r="AF798" s="86"/>
    </row>
    <row r="799" spans="1:32">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c r="AA799" s="86"/>
      <c r="AB799" s="86"/>
      <c r="AC799" s="86"/>
      <c r="AD799" s="86"/>
      <c r="AE799" s="86"/>
      <c r="AF799" s="86"/>
    </row>
    <row r="800" spans="1:32">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c r="AA800" s="86"/>
      <c r="AB800" s="86"/>
      <c r="AC800" s="86"/>
      <c r="AD800" s="86"/>
      <c r="AE800" s="86"/>
      <c r="AF800" s="86"/>
    </row>
    <row r="801" spans="1:32">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c r="AA801" s="86"/>
      <c r="AB801" s="86"/>
      <c r="AC801" s="86"/>
      <c r="AD801" s="86"/>
      <c r="AE801" s="86"/>
      <c r="AF801" s="86"/>
    </row>
    <row r="802" spans="1:32">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c r="AA802" s="86"/>
      <c r="AB802" s="86"/>
      <c r="AC802" s="86"/>
      <c r="AD802" s="86"/>
      <c r="AE802" s="86"/>
      <c r="AF802" s="86"/>
    </row>
    <row r="803" spans="1:32">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c r="AA803" s="86"/>
      <c r="AB803" s="86"/>
      <c r="AC803" s="86"/>
      <c r="AD803" s="86"/>
      <c r="AE803" s="86"/>
      <c r="AF803" s="86"/>
    </row>
    <row r="804" spans="1:32">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c r="AA804" s="86"/>
      <c r="AB804" s="86"/>
      <c r="AC804" s="86"/>
      <c r="AD804" s="86"/>
      <c r="AE804" s="86"/>
      <c r="AF804" s="86"/>
    </row>
    <row r="805" spans="1:32">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c r="AA805" s="86"/>
      <c r="AB805" s="86"/>
      <c r="AC805" s="86"/>
      <c r="AD805" s="86"/>
      <c r="AE805" s="86"/>
      <c r="AF805" s="86"/>
    </row>
    <row r="806" spans="1:32">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c r="AA806" s="86"/>
      <c r="AB806" s="86"/>
      <c r="AC806" s="86"/>
      <c r="AD806" s="86"/>
      <c r="AE806" s="86"/>
      <c r="AF806" s="86"/>
    </row>
    <row r="807" spans="1:32">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c r="AA807" s="86"/>
      <c r="AB807" s="86"/>
      <c r="AC807" s="86"/>
      <c r="AD807" s="86"/>
      <c r="AE807" s="86"/>
      <c r="AF807" s="86"/>
    </row>
    <row r="808" spans="1:32">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c r="AA808" s="86"/>
      <c r="AB808" s="86"/>
      <c r="AC808" s="86"/>
      <c r="AD808" s="86"/>
      <c r="AE808" s="86"/>
      <c r="AF808" s="86"/>
    </row>
    <row r="809" spans="1:32">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c r="AA809" s="86"/>
      <c r="AB809" s="86"/>
      <c r="AC809" s="86"/>
      <c r="AD809" s="86"/>
      <c r="AE809" s="86"/>
      <c r="AF809" s="86"/>
    </row>
    <row r="810" spans="1:32">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c r="AA810" s="86"/>
      <c r="AB810" s="86"/>
      <c r="AC810" s="86"/>
      <c r="AD810" s="86"/>
      <c r="AE810" s="86"/>
      <c r="AF810" s="86"/>
    </row>
    <row r="811" spans="1:32">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c r="AA811" s="86"/>
      <c r="AB811" s="86"/>
      <c r="AC811" s="86"/>
      <c r="AD811" s="86"/>
      <c r="AE811" s="86"/>
      <c r="AF811" s="86"/>
    </row>
    <row r="812" spans="1:32">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c r="AA812" s="86"/>
      <c r="AB812" s="86"/>
      <c r="AC812" s="86"/>
      <c r="AD812" s="86"/>
      <c r="AE812" s="86"/>
      <c r="AF812" s="86"/>
    </row>
    <row r="813" spans="1:32">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c r="AA813" s="86"/>
      <c r="AB813" s="86"/>
      <c r="AC813" s="86"/>
      <c r="AD813" s="86"/>
      <c r="AE813" s="86"/>
      <c r="AF813" s="86"/>
    </row>
    <row r="814" spans="1:32">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c r="AA814" s="86"/>
      <c r="AB814" s="86"/>
      <c r="AC814" s="86"/>
      <c r="AD814" s="86"/>
      <c r="AE814" s="86"/>
      <c r="AF814" s="86"/>
    </row>
    <row r="815" spans="1:32">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c r="AA815" s="86"/>
      <c r="AB815" s="86"/>
      <c r="AC815" s="86"/>
      <c r="AD815" s="86"/>
      <c r="AE815" s="86"/>
      <c r="AF815" s="86"/>
    </row>
    <row r="816" spans="1:32">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c r="AA816" s="86"/>
      <c r="AB816" s="86"/>
      <c r="AC816" s="86"/>
      <c r="AD816" s="86"/>
      <c r="AE816" s="86"/>
      <c r="AF816" s="86"/>
    </row>
    <row r="817" spans="1:32">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c r="AA817" s="86"/>
      <c r="AB817" s="86"/>
      <c r="AC817" s="86"/>
      <c r="AD817" s="86"/>
      <c r="AE817" s="86"/>
      <c r="AF817" s="86"/>
    </row>
    <row r="818" spans="1:32">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c r="AA818" s="86"/>
      <c r="AB818" s="86"/>
      <c r="AC818" s="86"/>
      <c r="AD818" s="86"/>
      <c r="AE818" s="86"/>
      <c r="AF818" s="86"/>
    </row>
    <row r="819" spans="1:32">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c r="AA819" s="86"/>
      <c r="AB819" s="86"/>
      <c r="AC819" s="86"/>
      <c r="AD819" s="86"/>
      <c r="AE819" s="86"/>
      <c r="AF819" s="86"/>
    </row>
    <row r="820" spans="1:32">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c r="AA820" s="86"/>
      <c r="AB820" s="86"/>
      <c r="AC820" s="86"/>
      <c r="AD820" s="86"/>
      <c r="AE820" s="86"/>
      <c r="AF820" s="86"/>
    </row>
    <row r="821" spans="1:32">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c r="AA821" s="86"/>
      <c r="AB821" s="86"/>
      <c r="AC821" s="86"/>
      <c r="AD821" s="86"/>
      <c r="AE821" s="86"/>
      <c r="AF821" s="86"/>
    </row>
    <row r="822" spans="1:32">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c r="AA822" s="86"/>
      <c r="AB822" s="86"/>
      <c r="AC822" s="86"/>
      <c r="AD822" s="86"/>
      <c r="AE822" s="86"/>
      <c r="AF822" s="86"/>
    </row>
    <row r="823" spans="1:32">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c r="AA823" s="86"/>
      <c r="AB823" s="86"/>
      <c r="AC823" s="86"/>
      <c r="AD823" s="86"/>
      <c r="AE823" s="86"/>
      <c r="AF823" s="86"/>
    </row>
    <row r="824" spans="1:32">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c r="AA824" s="86"/>
      <c r="AB824" s="86"/>
      <c r="AC824" s="86"/>
      <c r="AD824" s="86"/>
      <c r="AE824" s="86"/>
      <c r="AF824" s="86"/>
    </row>
    <row r="825" spans="1:32">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c r="AA825" s="86"/>
      <c r="AB825" s="86"/>
      <c r="AC825" s="86"/>
      <c r="AD825" s="86"/>
      <c r="AE825" s="86"/>
      <c r="AF825" s="86"/>
    </row>
    <row r="826" spans="1:32">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c r="AA826" s="86"/>
      <c r="AB826" s="86"/>
      <c r="AC826" s="86"/>
      <c r="AD826" s="86"/>
      <c r="AE826" s="86"/>
      <c r="AF826" s="86"/>
    </row>
    <row r="827" spans="1:32">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c r="AA827" s="86"/>
      <c r="AB827" s="86"/>
      <c r="AC827" s="86"/>
      <c r="AD827" s="86"/>
      <c r="AE827" s="86"/>
      <c r="AF827" s="86"/>
    </row>
    <row r="828" spans="1:32">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c r="AA828" s="86"/>
      <c r="AB828" s="86"/>
      <c r="AC828" s="86"/>
      <c r="AD828" s="86"/>
      <c r="AE828" s="86"/>
      <c r="AF828" s="86"/>
    </row>
    <row r="829" spans="1:32">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c r="AA829" s="86"/>
      <c r="AB829" s="86"/>
      <c r="AC829" s="86"/>
      <c r="AD829" s="86"/>
      <c r="AE829" s="86"/>
      <c r="AF829" s="86"/>
    </row>
    <row r="830" spans="1:32">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c r="AA830" s="86"/>
      <c r="AB830" s="86"/>
      <c r="AC830" s="86"/>
      <c r="AD830" s="86"/>
      <c r="AE830" s="86"/>
      <c r="AF830" s="86"/>
    </row>
    <row r="831" spans="1:32">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c r="AA831" s="86"/>
      <c r="AB831" s="86"/>
      <c r="AC831" s="86"/>
      <c r="AD831" s="86"/>
      <c r="AE831" s="86"/>
      <c r="AF831" s="86"/>
    </row>
    <row r="832" spans="1:32">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c r="AA832" s="86"/>
      <c r="AB832" s="86"/>
      <c r="AC832" s="86"/>
      <c r="AD832" s="86"/>
      <c r="AE832" s="86"/>
      <c r="AF832" s="86"/>
    </row>
    <row r="833" spans="1:32">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c r="AA833" s="86"/>
      <c r="AB833" s="86"/>
      <c r="AC833" s="86"/>
      <c r="AD833" s="86"/>
      <c r="AE833" s="86"/>
      <c r="AF833" s="86"/>
    </row>
    <row r="834" spans="1:32">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c r="AA834" s="86"/>
      <c r="AB834" s="86"/>
      <c r="AC834" s="86"/>
      <c r="AD834" s="86"/>
      <c r="AE834" s="86"/>
      <c r="AF834" s="86"/>
    </row>
    <row r="835" spans="1:32">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c r="AA835" s="86"/>
      <c r="AB835" s="86"/>
      <c r="AC835" s="86"/>
      <c r="AD835" s="86"/>
      <c r="AE835" s="86"/>
      <c r="AF835" s="86"/>
    </row>
    <row r="836" spans="1:32">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c r="AA836" s="86"/>
      <c r="AB836" s="86"/>
      <c r="AC836" s="86"/>
      <c r="AD836" s="86"/>
      <c r="AE836" s="86"/>
      <c r="AF836" s="86"/>
    </row>
    <row r="837" spans="1:32">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c r="AA837" s="86"/>
      <c r="AB837" s="86"/>
      <c r="AC837" s="86"/>
      <c r="AD837" s="86"/>
      <c r="AE837" s="86"/>
      <c r="AF837" s="86"/>
    </row>
    <row r="838" spans="1:32">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c r="AA838" s="86"/>
      <c r="AB838" s="86"/>
      <c r="AC838" s="86"/>
      <c r="AD838" s="86"/>
      <c r="AE838" s="86"/>
      <c r="AF838" s="86"/>
    </row>
    <row r="839" spans="1:32">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c r="AA839" s="86"/>
      <c r="AB839" s="86"/>
      <c r="AC839" s="86"/>
      <c r="AD839" s="86"/>
      <c r="AE839" s="86"/>
      <c r="AF839" s="86"/>
    </row>
    <row r="840" spans="1:32">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c r="AA840" s="86"/>
      <c r="AB840" s="86"/>
      <c r="AC840" s="86"/>
      <c r="AD840" s="86"/>
      <c r="AE840" s="86"/>
      <c r="AF840" s="86"/>
    </row>
    <row r="841" spans="1:32">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c r="AA841" s="86"/>
      <c r="AB841" s="86"/>
      <c r="AC841" s="86"/>
      <c r="AD841" s="86"/>
      <c r="AE841" s="86"/>
      <c r="AF841" s="86"/>
    </row>
    <row r="842" spans="1:32">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c r="AA842" s="86"/>
      <c r="AB842" s="86"/>
      <c r="AC842" s="86"/>
      <c r="AD842" s="86"/>
      <c r="AE842" s="86"/>
      <c r="AF842" s="86"/>
    </row>
    <row r="843" spans="1:32">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c r="AA843" s="86"/>
      <c r="AB843" s="86"/>
      <c r="AC843" s="86"/>
      <c r="AD843" s="86"/>
      <c r="AE843" s="86"/>
      <c r="AF843" s="86"/>
    </row>
    <row r="844" spans="1:32">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c r="AA844" s="86"/>
      <c r="AB844" s="86"/>
      <c r="AC844" s="86"/>
      <c r="AD844" s="86"/>
      <c r="AE844" s="86"/>
      <c r="AF844" s="86"/>
    </row>
    <row r="845" spans="1:32">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c r="AA845" s="86"/>
      <c r="AB845" s="86"/>
      <c r="AC845" s="86"/>
      <c r="AD845" s="86"/>
      <c r="AE845" s="86"/>
      <c r="AF845" s="86"/>
    </row>
    <row r="846" spans="1:32">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c r="AA846" s="86"/>
      <c r="AB846" s="86"/>
      <c r="AC846" s="86"/>
      <c r="AD846" s="86"/>
      <c r="AE846" s="86"/>
      <c r="AF846" s="86"/>
    </row>
    <row r="847" spans="1:32">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c r="AA847" s="86"/>
      <c r="AB847" s="86"/>
      <c r="AC847" s="86"/>
      <c r="AD847" s="86"/>
      <c r="AE847" s="86"/>
      <c r="AF847" s="86"/>
    </row>
    <row r="848" spans="1:32">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c r="AA848" s="86"/>
      <c r="AB848" s="86"/>
      <c r="AC848" s="86"/>
      <c r="AD848" s="86"/>
      <c r="AE848" s="86"/>
      <c r="AF848" s="86"/>
    </row>
    <row r="849" spans="1:32">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c r="AA849" s="86"/>
      <c r="AB849" s="86"/>
      <c r="AC849" s="86"/>
      <c r="AD849" s="86"/>
      <c r="AE849" s="86"/>
      <c r="AF849" s="86"/>
    </row>
    <row r="850" spans="1:32">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c r="AA850" s="86"/>
      <c r="AB850" s="86"/>
      <c r="AC850" s="86"/>
      <c r="AD850" s="86"/>
      <c r="AE850" s="86"/>
      <c r="AF850" s="86"/>
    </row>
    <row r="851" spans="1:32">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c r="AA851" s="86"/>
      <c r="AB851" s="86"/>
      <c r="AC851" s="86"/>
      <c r="AD851" s="86"/>
      <c r="AE851" s="86"/>
      <c r="AF851" s="86"/>
    </row>
    <row r="852" spans="1:32">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c r="AA852" s="86"/>
      <c r="AB852" s="86"/>
      <c r="AC852" s="86"/>
      <c r="AD852" s="86"/>
      <c r="AE852" s="86"/>
      <c r="AF852" s="86"/>
    </row>
    <row r="853" spans="1:32">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c r="AA853" s="86"/>
      <c r="AB853" s="86"/>
      <c r="AC853" s="86"/>
      <c r="AD853" s="86"/>
      <c r="AE853" s="86"/>
      <c r="AF853" s="86"/>
    </row>
    <row r="854" spans="1:32">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c r="AA854" s="86"/>
      <c r="AB854" s="86"/>
      <c r="AC854" s="86"/>
      <c r="AD854" s="86"/>
      <c r="AE854" s="86"/>
      <c r="AF854" s="86"/>
    </row>
    <row r="855" spans="1:32">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c r="AA855" s="86"/>
      <c r="AB855" s="86"/>
      <c r="AC855" s="86"/>
      <c r="AD855" s="86"/>
      <c r="AE855" s="86"/>
      <c r="AF855" s="86"/>
    </row>
    <row r="856" spans="1:32">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c r="AA856" s="86"/>
      <c r="AB856" s="86"/>
      <c r="AC856" s="86"/>
      <c r="AD856" s="86"/>
      <c r="AE856" s="86"/>
      <c r="AF856" s="86"/>
    </row>
    <row r="857" spans="1:32">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c r="AA857" s="86"/>
      <c r="AB857" s="86"/>
      <c r="AC857" s="86"/>
      <c r="AD857" s="86"/>
      <c r="AE857" s="86"/>
      <c r="AF857" s="86"/>
    </row>
    <row r="858" spans="1:32">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c r="AA858" s="86"/>
      <c r="AB858" s="86"/>
      <c r="AC858" s="86"/>
      <c r="AD858" s="86"/>
      <c r="AE858" s="86"/>
      <c r="AF858" s="86"/>
    </row>
    <row r="859" spans="1:32">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c r="AA859" s="86"/>
      <c r="AB859" s="86"/>
      <c r="AC859" s="86"/>
      <c r="AD859" s="86"/>
      <c r="AE859" s="86"/>
      <c r="AF859" s="86"/>
    </row>
    <row r="860" spans="1:32">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c r="AA860" s="86"/>
      <c r="AB860" s="86"/>
      <c r="AC860" s="86"/>
      <c r="AD860" s="86"/>
      <c r="AE860" s="86"/>
      <c r="AF860" s="86"/>
    </row>
    <row r="861" spans="1:32">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c r="AA861" s="86"/>
      <c r="AB861" s="86"/>
      <c r="AC861" s="86"/>
      <c r="AD861" s="86"/>
      <c r="AE861" s="86"/>
      <c r="AF861" s="86"/>
    </row>
    <row r="862" spans="1:32">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c r="AA862" s="86"/>
      <c r="AB862" s="86"/>
      <c r="AC862" s="86"/>
      <c r="AD862" s="86"/>
      <c r="AE862" s="86"/>
      <c r="AF862" s="86"/>
    </row>
    <row r="863" spans="1:32">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c r="AA863" s="86"/>
      <c r="AB863" s="86"/>
      <c r="AC863" s="86"/>
      <c r="AD863" s="86"/>
      <c r="AE863" s="86"/>
      <c r="AF863" s="86"/>
    </row>
    <row r="864" spans="1:32">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c r="AA864" s="86"/>
      <c r="AB864" s="86"/>
      <c r="AC864" s="86"/>
      <c r="AD864" s="86"/>
      <c r="AE864" s="86"/>
      <c r="AF864" s="86"/>
    </row>
    <row r="865" spans="1:32">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c r="AA865" s="86"/>
      <c r="AB865" s="86"/>
      <c r="AC865" s="86"/>
      <c r="AD865" s="86"/>
      <c r="AE865" s="86"/>
      <c r="AF865" s="86"/>
    </row>
    <row r="866" spans="1:32">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c r="AA866" s="86"/>
      <c r="AB866" s="86"/>
      <c r="AC866" s="86"/>
      <c r="AD866" s="86"/>
      <c r="AE866" s="86"/>
      <c r="AF866" s="86"/>
    </row>
    <row r="867" spans="1:32">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c r="AA867" s="86"/>
      <c r="AB867" s="86"/>
      <c r="AC867" s="86"/>
      <c r="AD867" s="86"/>
      <c r="AE867" s="86"/>
      <c r="AF867" s="86"/>
    </row>
    <row r="868" spans="1:32">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c r="AA868" s="86"/>
      <c r="AB868" s="86"/>
      <c r="AC868" s="86"/>
      <c r="AD868" s="86"/>
      <c r="AE868" s="86"/>
      <c r="AF868" s="86"/>
    </row>
    <row r="869" spans="1:32">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c r="AA869" s="86"/>
      <c r="AB869" s="86"/>
      <c r="AC869" s="86"/>
      <c r="AD869" s="86"/>
      <c r="AE869" s="86"/>
      <c r="AF869" s="86"/>
    </row>
    <row r="870" spans="1:32">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c r="AA870" s="86"/>
      <c r="AB870" s="86"/>
      <c r="AC870" s="86"/>
      <c r="AD870" s="86"/>
      <c r="AE870" s="86"/>
      <c r="AF870" s="86"/>
    </row>
    <row r="871" spans="1:32">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c r="AA871" s="86"/>
      <c r="AB871" s="86"/>
      <c r="AC871" s="86"/>
      <c r="AD871" s="86"/>
      <c r="AE871" s="86"/>
      <c r="AF871" s="86"/>
    </row>
    <row r="872" spans="1:32">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c r="AA872" s="86"/>
      <c r="AB872" s="86"/>
      <c r="AC872" s="86"/>
      <c r="AD872" s="86"/>
      <c r="AE872" s="86"/>
      <c r="AF872" s="86"/>
    </row>
    <row r="873" spans="1:32">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c r="AA873" s="86"/>
      <c r="AB873" s="86"/>
      <c r="AC873" s="86"/>
      <c r="AD873" s="86"/>
      <c r="AE873" s="86"/>
      <c r="AF873" s="86"/>
    </row>
    <row r="874" spans="1:32">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c r="AA874" s="86"/>
      <c r="AB874" s="86"/>
      <c r="AC874" s="86"/>
      <c r="AD874" s="86"/>
      <c r="AE874" s="86"/>
      <c r="AF874" s="86"/>
    </row>
    <row r="875" spans="1:32">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c r="AA875" s="86"/>
      <c r="AB875" s="86"/>
      <c r="AC875" s="86"/>
      <c r="AD875" s="86"/>
      <c r="AE875" s="86"/>
      <c r="AF875" s="86"/>
    </row>
    <row r="876" spans="1:32">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c r="AA876" s="86"/>
      <c r="AB876" s="86"/>
      <c r="AC876" s="86"/>
      <c r="AD876" s="86"/>
      <c r="AE876" s="86"/>
      <c r="AF876" s="86"/>
    </row>
    <row r="877" spans="1:32">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c r="AA877" s="86"/>
      <c r="AB877" s="86"/>
      <c r="AC877" s="86"/>
      <c r="AD877" s="86"/>
      <c r="AE877" s="86"/>
      <c r="AF877" s="86"/>
    </row>
    <row r="878" spans="1:32">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c r="AA878" s="86"/>
      <c r="AB878" s="86"/>
      <c r="AC878" s="86"/>
      <c r="AD878" s="86"/>
      <c r="AE878" s="86"/>
      <c r="AF878" s="86"/>
    </row>
    <row r="879" spans="1:32">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c r="AA879" s="86"/>
      <c r="AB879" s="86"/>
      <c r="AC879" s="86"/>
      <c r="AD879" s="86"/>
      <c r="AE879" s="86"/>
      <c r="AF879" s="86"/>
    </row>
    <row r="880" spans="1:32">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c r="AA880" s="86"/>
      <c r="AB880" s="86"/>
      <c r="AC880" s="86"/>
      <c r="AD880" s="86"/>
      <c r="AE880" s="86"/>
      <c r="AF880" s="86"/>
    </row>
    <row r="881" spans="1:32">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c r="AA881" s="86"/>
      <c r="AB881" s="86"/>
      <c r="AC881" s="86"/>
      <c r="AD881" s="86"/>
      <c r="AE881" s="86"/>
      <c r="AF881" s="86"/>
    </row>
    <row r="882" spans="1:32">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c r="AA882" s="86"/>
      <c r="AB882" s="86"/>
      <c r="AC882" s="86"/>
      <c r="AD882" s="86"/>
      <c r="AE882" s="86"/>
      <c r="AF882" s="86"/>
    </row>
    <row r="883" spans="1:32">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c r="AA883" s="86"/>
      <c r="AB883" s="86"/>
      <c r="AC883" s="86"/>
      <c r="AD883" s="86"/>
      <c r="AE883" s="86"/>
      <c r="AF883" s="86"/>
    </row>
    <row r="884" spans="1:32">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c r="AA884" s="86"/>
      <c r="AB884" s="86"/>
      <c r="AC884" s="86"/>
      <c r="AD884" s="86"/>
      <c r="AE884" s="86"/>
      <c r="AF884" s="86"/>
    </row>
    <row r="885" spans="1:32">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c r="AA885" s="86"/>
      <c r="AB885" s="86"/>
      <c r="AC885" s="86"/>
      <c r="AD885" s="86"/>
      <c r="AE885" s="86"/>
      <c r="AF885" s="86"/>
    </row>
    <row r="886" spans="1:32">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c r="AA886" s="86"/>
      <c r="AB886" s="86"/>
      <c r="AC886" s="86"/>
      <c r="AD886" s="86"/>
      <c r="AE886" s="86"/>
      <c r="AF886" s="86"/>
    </row>
    <row r="887" spans="1:32">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c r="AA887" s="86"/>
      <c r="AB887" s="86"/>
      <c r="AC887" s="86"/>
      <c r="AD887" s="86"/>
      <c r="AE887" s="86"/>
      <c r="AF887" s="86"/>
    </row>
    <row r="888" spans="1:32">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c r="AA888" s="86"/>
      <c r="AB888" s="86"/>
      <c r="AC888" s="86"/>
      <c r="AD888" s="86"/>
      <c r="AE888" s="86"/>
      <c r="AF888" s="86"/>
    </row>
    <row r="889" spans="1:32">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c r="AA889" s="86"/>
      <c r="AB889" s="86"/>
      <c r="AC889" s="86"/>
      <c r="AD889" s="86"/>
      <c r="AE889" s="86"/>
      <c r="AF889" s="86"/>
    </row>
    <row r="890" spans="1:32">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c r="AA890" s="86"/>
      <c r="AB890" s="86"/>
      <c r="AC890" s="86"/>
      <c r="AD890" s="86"/>
      <c r="AE890" s="86"/>
      <c r="AF890" s="86"/>
    </row>
    <row r="891" spans="1:32">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c r="AA891" s="86"/>
      <c r="AB891" s="86"/>
      <c r="AC891" s="86"/>
      <c r="AD891" s="86"/>
      <c r="AE891" s="86"/>
      <c r="AF891" s="86"/>
    </row>
    <row r="892" spans="1:32">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c r="AA892" s="86"/>
      <c r="AB892" s="86"/>
      <c r="AC892" s="86"/>
      <c r="AD892" s="86"/>
      <c r="AE892" s="86"/>
      <c r="AF892" s="86"/>
    </row>
    <row r="893" spans="1:32">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c r="AA893" s="86"/>
      <c r="AB893" s="86"/>
      <c r="AC893" s="86"/>
      <c r="AD893" s="86"/>
      <c r="AE893" s="86"/>
      <c r="AF893" s="86"/>
    </row>
    <row r="894" spans="1:32">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c r="AA894" s="86"/>
      <c r="AB894" s="86"/>
      <c r="AC894" s="86"/>
      <c r="AD894" s="86"/>
      <c r="AE894" s="86"/>
      <c r="AF894" s="86"/>
    </row>
    <row r="895" spans="1:32">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c r="AA895" s="86"/>
      <c r="AB895" s="86"/>
      <c r="AC895" s="86"/>
      <c r="AD895" s="86"/>
      <c r="AE895" s="86"/>
      <c r="AF895" s="86"/>
    </row>
    <row r="896" spans="1:32">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c r="AA896" s="86"/>
      <c r="AB896" s="86"/>
      <c r="AC896" s="86"/>
      <c r="AD896" s="86"/>
      <c r="AE896" s="86"/>
      <c r="AF896" s="86"/>
    </row>
    <row r="897" spans="1:32">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c r="AA897" s="86"/>
      <c r="AB897" s="86"/>
      <c r="AC897" s="86"/>
      <c r="AD897" s="86"/>
      <c r="AE897" s="86"/>
      <c r="AF897" s="86"/>
    </row>
    <row r="898" spans="1:32">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c r="AA898" s="86"/>
      <c r="AB898" s="86"/>
      <c r="AC898" s="86"/>
      <c r="AD898" s="86"/>
      <c r="AE898" s="86"/>
      <c r="AF898" s="86"/>
    </row>
    <row r="899" spans="1:32">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c r="AA899" s="86"/>
      <c r="AB899" s="86"/>
      <c r="AC899" s="86"/>
      <c r="AD899" s="86"/>
      <c r="AE899" s="86"/>
      <c r="AF899" s="86"/>
    </row>
    <row r="900" spans="1:32">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c r="AA900" s="86"/>
      <c r="AB900" s="86"/>
      <c r="AC900" s="86"/>
      <c r="AD900" s="86"/>
      <c r="AE900" s="86"/>
      <c r="AF900" s="86"/>
    </row>
    <row r="901" spans="1:32">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c r="AA901" s="86"/>
      <c r="AB901" s="86"/>
      <c r="AC901" s="86"/>
      <c r="AD901" s="86"/>
      <c r="AE901" s="86"/>
      <c r="AF901" s="86"/>
    </row>
    <row r="902" spans="1:32">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c r="AA902" s="86"/>
      <c r="AB902" s="86"/>
      <c r="AC902" s="86"/>
      <c r="AD902" s="86"/>
      <c r="AE902" s="86"/>
      <c r="AF902" s="86"/>
    </row>
    <row r="903" spans="1:32">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c r="AA903" s="86"/>
      <c r="AB903" s="86"/>
      <c r="AC903" s="86"/>
      <c r="AD903" s="86"/>
      <c r="AE903" s="86"/>
      <c r="AF903" s="86"/>
    </row>
    <row r="904" spans="1:32">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c r="AA904" s="86"/>
      <c r="AB904" s="86"/>
      <c r="AC904" s="86"/>
      <c r="AD904" s="86"/>
      <c r="AE904" s="86"/>
      <c r="AF904" s="86"/>
    </row>
    <row r="905" spans="1:32">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c r="AA905" s="86"/>
      <c r="AB905" s="86"/>
      <c r="AC905" s="86"/>
      <c r="AD905" s="86"/>
      <c r="AE905" s="86"/>
      <c r="AF905" s="86"/>
    </row>
    <row r="906" spans="1:32">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c r="AA906" s="86"/>
      <c r="AB906" s="86"/>
      <c r="AC906" s="86"/>
      <c r="AD906" s="86"/>
      <c r="AE906" s="86"/>
      <c r="AF906" s="86"/>
    </row>
    <row r="907" spans="1:32">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c r="AA907" s="86"/>
      <c r="AB907" s="86"/>
      <c r="AC907" s="86"/>
      <c r="AD907" s="86"/>
      <c r="AE907" s="86"/>
      <c r="AF907" s="86"/>
    </row>
    <row r="908" spans="1:32">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c r="AA908" s="86"/>
      <c r="AB908" s="86"/>
      <c r="AC908" s="86"/>
      <c r="AD908" s="86"/>
      <c r="AE908" s="86"/>
      <c r="AF908" s="86"/>
    </row>
    <row r="909" spans="1:32">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c r="AA909" s="86"/>
      <c r="AB909" s="86"/>
      <c r="AC909" s="86"/>
      <c r="AD909" s="86"/>
      <c r="AE909" s="86"/>
      <c r="AF909" s="86"/>
    </row>
    <row r="910" spans="1:32">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c r="AA910" s="86"/>
      <c r="AB910" s="86"/>
      <c r="AC910" s="86"/>
      <c r="AD910" s="86"/>
      <c r="AE910" s="86"/>
      <c r="AF910" s="86"/>
    </row>
    <row r="911" spans="1:32">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c r="AA911" s="86"/>
      <c r="AB911" s="86"/>
      <c r="AC911" s="86"/>
      <c r="AD911" s="86"/>
      <c r="AE911" s="86"/>
      <c r="AF911" s="86"/>
    </row>
    <row r="912" spans="1:32">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c r="AA912" s="86"/>
      <c r="AB912" s="86"/>
      <c r="AC912" s="86"/>
      <c r="AD912" s="86"/>
      <c r="AE912" s="86"/>
      <c r="AF912" s="86"/>
    </row>
    <row r="913" spans="1:32">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c r="AA913" s="86"/>
      <c r="AB913" s="86"/>
      <c r="AC913" s="86"/>
      <c r="AD913" s="86"/>
      <c r="AE913" s="86"/>
      <c r="AF913" s="86"/>
    </row>
    <row r="914" spans="1:32">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c r="AA914" s="86"/>
      <c r="AB914" s="86"/>
      <c r="AC914" s="86"/>
      <c r="AD914" s="86"/>
      <c r="AE914" s="86"/>
      <c r="AF914" s="86"/>
    </row>
    <row r="915" spans="1:32">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c r="AA915" s="86"/>
      <c r="AB915" s="86"/>
      <c r="AC915" s="86"/>
      <c r="AD915" s="86"/>
      <c r="AE915" s="86"/>
      <c r="AF915" s="86"/>
    </row>
    <row r="916" spans="1:32">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c r="AA916" s="86"/>
      <c r="AB916" s="86"/>
      <c r="AC916" s="86"/>
      <c r="AD916" s="86"/>
      <c r="AE916" s="86"/>
      <c r="AF916" s="86"/>
    </row>
    <row r="917" spans="1:32">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c r="AA917" s="86"/>
      <c r="AB917" s="86"/>
      <c r="AC917" s="86"/>
      <c r="AD917" s="86"/>
      <c r="AE917" s="86"/>
      <c r="AF917" s="86"/>
    </row>
    <row r="918" spans="1:32">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c r="AA918" s="86"/>
      <c r="AB918" s="86"/>
      <c r="AC918" s="86"/>
      <c r="AD918" s="86"/>
      <c r="AE918" s="86"/>
      <c r="AF918" s="86"/>
    </row>
    <row r="919" spans="1:32">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c r="AA919" s="86"/>
      <c r="AB919" s="86"/>
      <c r="AC919" s="86"/>
      <c r="AD919" s="86"/>
      <c r="AE919" s="86"/>
      <c r="AF919" s="86"/>
    </row>
    <row r="920" spans="1:32">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c r="AA920" s="86"/>
      <c r="AB920" s="86"/>
      <c r="AC920" s="86"/>
      <c r="AD920" s="86"/>
      <c r="AE920" s="86"/>
      <c r="AF920" s="86"/>
    </row>
    <row r="921" spans="1:32">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c r="AA921" s="86"/>
      <c r="AB921" s="86"/>
      <c r="AC921" s="86"/>
      <c r="AD921" s="86"/>
      <c r="AE921" s="86"/>
      <c r="AF921" s="86"/>
    </row>
    <row r="922" spans="1:32">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c r="AA922" s="86"/>
      <c r="AB922" s="86"/>
      <c r="AC922" s="86"/>
      <c r="AD922" s="86"/>
      <c r="AE922" s="86"/>
      <c r="AF922" s="86"/>
    </row>
    <row r="923" spans="1:32">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c r="AA923" s="86"/>
      <c r="AB923" s="86"/>
      <c r="AC923" s="86"/>
      <c r="AD923" s="86"/>
      <c r="AE923" s="86"/>
      <c r="AF923" s="86"/>
    </row>
    <row r="924" spans="1:32">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c r="AA924" s="86"/>
      <c r="AB924" s="86"/>
      <c r="AC924" s="86"/>
      <c r="AD924" s="86"/>
      <c r="AE924" s="86"/>
      <c r="AF924" s="86"/>
    </row>
    <row r="925" spans="1:32">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c r="AA925" s="86"/>
      <c r="AB925" s="86"/>
      <c r="AC925" s="86"/>
      <c r="AD925" s="86"/>
      <c r="AE925" s="86"/>
      <c r="AF925" s="86"/>
    </row>
    <row r="926" spans="1:32">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c r="AA926" s="86"/>
      <c r="AB926" s="86"/>
      <c r="AC926" s="86"/>
      <c r="AD926" s="86"/>
      <c r="AE926" s="86"/>
      <c r="AF926" s="86"/>
    </row>
    <row r="927" spans="1:32">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c r="AA927" s="86"/>
      <c r="AB927" s="86"/>
      <c r="AC927" s="86"/>
      <c r="AD927" s="86"/>
      <c r="AE927" s="86"/>
      <c r="AF927" s="86"/>
    </row>
    <row r="928" spans="1:32">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c r="AA928" s="86"/>
      <c r="AB928" s="86"/>
      <c r="AC928" s="86"/>
      <c r="AD928" s="86"/>
      <c r="AE928" s="86"/>
      <c r="AF928" s="86"/>
    </row>
    <row r="929" spans="1:32">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c r="AA929" s="86"/>
      <c r="AB929" s="86"/>
      <c r="AC929" s="86"/>
      <c r="AD929" s="86"/>
      <c r="AE929" s="86"/>
      <c r="AF929" s="86"/>
    </row>
    <row r="930" spans="1:32">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c r="AA930" s="86"/>
      <c r="AB930" s="86"/>
      <c r="AC930" s="86"/>
      <c r="AD930" s="86"/>
      <c r="AE930" s="86"/>
      <c r="AF930" s="86"/>
    </row>
    <row r="931" spans="1:32">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c r="AA931" s="86"/>
      <c r="AB931" s="86"/>
      <c r="AC931" s="86"/>
      <c r="AD931" s="86"/>
      <c r="AE931" s="86"/>
      <c r="AF931" s="86"/>
    </row>
    <row r="932" spans="1:32">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c r="AA932" s="86"/>
      <c r="AB932" s="86"/>
      <c r="AC932" s="86"/>
      <c r="AD932" s="86"/>
      <c r="AE932" s="86"/>
      <c r="AF932" s="86"/>
    </row>
    <row r="933" spans="1:32">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c r="AA933" s="86"/>
      <c r="AB933" s="86"/>
      <c r="AC933" s="86"/>
      <c r="AD933" s="86"/>
      <c r="AE933" s="86"/>
      <c r="AF933" s="86"/>
    </row>
    <row r="934" spans="1:32">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c r="AA934" s="86"/>
      <c r="AB934" s="86"/>
      <c r="AC934" s="86"/>
      <c r="AD934" s="86"/>
      <c r="AE934" s="86"/>
      <c r="AF934" s="86"/>
    </row>
    <row r="935" spans="1:32">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c r="AA935" s="86"/>
      <c r="AB935" s="86"/>
      <c r="AC935" s="86"/>
      <c r="AD935" s="86"/>
      <c r="AE935" s="86"/>
      <c r="AF935" s="86"/>
    </row>
    <row r="936" spans="1:32">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c r="AA936" s="86"/>
      <c r="AB936" s="86"/>
      <c r="AC936" s="86"/>
      <c r="AD936" s="86"/>
      <c r="AE936" s="86"/>
      <c r="AF936" s="86"/>
    </row>
    <row r="937" spans="1:32">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c r="AA937" s="86"/>
      <c r="AB937" s="86"/>
      <c r="AC937" s="86"/>
      <c r="AD937" s="86"/>
      <c r="AE937" s="86"/>
      <c r="AF937" s="86"/>
    </row>
    <row r="938" spans="1:32">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c r="AA938" s="86"/>
      <c r="AB938" s="86"/>
      <c r="AC938" s="86"/>
      <c r="AD938" s="86"/>
      <c r="AE938" s="86"/>
      <c r="AF938" s="86"/>
    </row>
    <row r="939" spans="1:32">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c r="AA939" s="86"/>
      <c r="AB939" s="86"/>
      <c r="AC939" s="86"/>
      <c r="AD939" s="86"/>
      <c r="AE939" s="86"/>
      <c r="AF939" s="86"/>
    </row>
    <row r="940" spans="1:32">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c r="AA940" s="86"/>
      <c r="AB940" s="86"/>
      <c r="AC940" s="86"/>
      <c r="AD940" s="86"/>
      <c r="AE940" s="86"/>
      <c r="AF940" s="86"/>
    </row>
    <row r="941" spans="1:32">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c r="AA941" s="86"/>
      <c r="AB941" s="86"/>
      <c r="AC941" s="86"/>
      <c r="AD941" s="86"/>
      <c r="AE941" s="86"/>
      <c r="AF941" s="86"/>
    </row>
    <row r="942" spans="1:32">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c r="AA942" s="86"/>
      <c r="AB942" s="86"/>
      <c r="AC942" s="86"/>
      <c r="AD942" s="86"/>
      <c r="AE942" s="86"/>
      <c r="AF942" s="86"/>
    </row>
    <row r="943" spans="1:32">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c r="AA943" s="86"/>
      <c r="AB943" s="86"/>
      <c r="AC943" s="86"/>
      <c r="AD943" s="86"/>
      <c r="AE943" s="86"/>
      <c r="AF943" s="86"/>
    </row>
    <row r="944" spans="1:32">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c r="AA944" s="86"/>
      <c r="AB944" s="86"/>
      <c r="AC944" s="86"/>
      <c r="AD944" s="86"/>
      <c r="AE944" s="86"/>
      <c r="AF944" s="86"/>
    </row>
    <row r="945" spans="1:32">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c r="AA945" s="86"/>
      <c r="AB945" s="86"/>
      <c r="AC945" s="86"/>
      <c r="AD945" s="86"/>
      <c r="AE945" s="86"/>
      <c r="AF945" s="86"/>
    </row>
    <row r="946" spans="1:32">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c r="AA946" s="86"/>
      <c r="AB946" s="86"/>
      <c r="AC946" s="86"/>
      <c r="AD946" s="86"/>
      <c r="AE946" s="86"/>
      <c r="AF946" s="86"/>
    </row>
    <row r="947" spans="1:32">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6"/>
      <c r="AA947" s="86"/>
      <c r="AB947" s="86"/>
      <c r="AC947" s="86"/>
      <c r="AD947" s="86"/>
      <c r="AE947" s="86"/>
      <c r="AF947" s="86"/>
    </row>
    <row r="948" spans="1:32">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c r="AA948" s="86"/>
      <c r="AB948" s="86"/>
      <c r="AC948" s="86"/>
      <c r="AD948" s="86"/>
      <c r="AE948" s="86"/>
      <c r="AF948" s="86"/>
    </row>
    <row r="949" spans="1:32">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6"/>
      <c r="AA949" s="86"/>
      <c r="AB949" s="86"/>
      <c r="AC949" s="86"/>
      <c r="AD949" s="86"/>
      <c r="AE949" s="86"/>
      <c r="AF949" s="86"/>
    </row>
    <row r="950" spans="1:32">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c r="AA950" s="86"/>
      <c r="AB950" s="86"/>
      <c r="AC950" s="86"/>
      <c r="AD950" s="86"/>
      <c r="AE950" s="86"/>
      <c r="AF950" s="86"/>
    </row>
    <row r="951" spans="1:32">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6"/>
      <c r="AA951" s="86"/>
      <c r="AB951" s="86"/>
      <c r="AC951" s="86"/>
      <c r="AD951" s="86"/>
      <c r="AE951" s="86"/>
      <c r="AF951" s="86"/>
    </row>
    <row r="952" spans="1:32">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c r="AA952" s="86"/>
      <c r="AB952" s="86"/>
      <c r="AC952" s="86"/>
      <c r="AD952" s="86"/>
      <c r="AE952" s="86"/>
      <c r="AF952" s="86"/>
    </row>
    <row r="953" spans="1:32">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6"/>
      <c r="AA953" s="86"/>
      <c r="AB953" s="86"/>
      <c r="AC953" s="86"/>
      <c r="AD953" s="86"/>
      <c r="AE953" s="86"/>
      <c r="AF953" s="86"/>
    </row>
    <row r="954" spans="1:32">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c r="AA954" s="86"/>
      <c r="AB954" s="86"/>
      <c r="AC954" s="86"/>
      <c r="AD954" s="86"/>
      <c r="AE954" s="86"/>
      <c r="AF954" s="86"/>
    </row>
    <row r="955" spans="1:32">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6"/>
      <c r="AA955" s="86"/>
      <c r="AB955" s="86"/>
      <c r="AC955" s="86"/>
      <c r="AD955" s="86"/>
      <c r="AE955" s="86"/>
      <c r="AF955" s="86"/>
    </row>
    <row r="956" spans="1:32">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c r="AA956" s="86"/>
      <c r="AB956" s="86"/>
      <c r="AC956" s="86"/>
      <c r="AD956" s="86"/>
      <c r="AE956" s="86"/>
      <c r="AF956" s="86"/>
    </row>
    <row r="957" spans="1:32">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6"/>
      <c r="AA957" s="86"/>
      <c r="AB957" s="86"/>
      <c r="AC957" s="86"/>
      <c r="AD957" s="86"/>
      <c r="AE957" s="86"/>
      <c r="AF957" s="86"/>
    </row>
    <row r="958" spans="1:32">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c r="AA958" s="86"/>
      <c r="AB958" s="86"/>
      <c r="AC958" s="86"/>
      <c r="AD958" s="86"/>
      <c r="AE958" s="86"/>
      <c r="AF958" s="86"/>
    </row>
    <row r="959" spans="1:32">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6"/>
      <c r="AA959" s="86"/>
      <c r="AB959" s="86"/>
      <c r="AC959" s="86"/>
      <c r="AD959" s="86"/>
      <c r="AE959" s="86"/>
      <c r="AF959" s="86"/>
    </row>
    <row r="960" spans="1:32">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c r="AA960" s="86"/>
      <c r="AB960" s="86"/>
      <c r="AC960" s="86"/>
      <c r="AD960" s="86"/>
      <c r="AE960" s="86"/>
      <c r="AF960" s="86"/>
    </row>
    <row r="961" spans="1:32">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6"/>
      <c r="AA961" s="86"/>
      <c r="AB961" s="86"/>
      <c r="AC961" s="86"/>
      <c r="AD961" s="86"/>
      <c r="AE961" s="86"/>
      <c r="AF961" s="86"/>
    </row>
    <row r="962" spans="1:32">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c r="AA962" s="86"/>
      <c r="AB962" s="86"/>
      <c r="AC962" s="86"/>
      <c r="AD962" s="86"/>
      <c r="AE962" s="86"/>
      <c r="AF962" s="86"/>
    </row>
    <row r="963" spans="1:32">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6"/>
      <c r="AA963" s="86"/>
      <c r="AB963" s="86"/>
      <c r="AC963" s="86"/>
      <c r="AD963" s="86"/>
      <c r="AE963" s="86"/>
      <c r="AF963" s="86"/>
    </row>
    <row r="964" spans="1:32">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c r="AA964" s="86"/>
      <c r="AB964" s="86"/>
      <c r="AC964" s="86"/>
      <c r="AD964" s="86"/>
      <c r="AE964" s="86"/>
      <c r="AF964" s="86"/>
    </row>
    <row r="965" spans="1:32">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6"/>
      <c r="AA965" s="86"/>
      <c r="AB965" s="86"/>
      <c r="AC965" s="86"/>
      <c r="AD965" s="86"/>
      <c r="AE965" s="86"/>
      <c r="AF965" s="86"/>
    </row>
    <row r="966" spans="1:32">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c r="AA966" s="86"/>
      <c r="AB966" s="86"/>
      <c r="AC966" s="86"/>
      <c r="AD966" s="86"/>
      <c r="AE966" s="86"/>
      <c r="AF966" s="86"/>
    </row>
    <row r="967" spans="1:32">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6"/>
      <c r="AA967" s="86"/>
      <c r="AB967" s="86"/>
      <c r="AC967" s="86"/>
      <c r="AD967" s="86"/>
      <c r="AE967" s="86"/>
      <c r="AF967" s="86"/>
    </row>
    <row r="968" spans="1:32">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c r="AA968" s="86"/>
      <c r="AB968" s="86"/>
      <c r="AC968" s="86"/>
      <c r="AD968" s="86"/>
      <c r="AE968" s="86"/>
      <c r="AF968" s="86"/>
    </row>
    <row r="969" spans="1:32">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6"/>
      <c r="AA969" s="86"/>
      <c r="AB969" s="86"/>
      <c r="AC969" s="86"/>
      <c r="AD969" s="86"/>
      <c r="AE969" s="86"/>
      <c r="AF969" s="86"/>
    </row>
    <row r="970" spans="1:32">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c r="AA970" s="86"/>
      <c r="AB970" s="86"/>
      <c r="AC970" s="86"/>
      <c r="AD970" s="86"/>
      <c r="AE970" s="86"/>
      <c r="AF970" s="86"/>
    </row>
    <row r="971" spans="1:32">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6"/>
      <c r="AA971" s="86"/>
      <c r="AB971" s="86"/>
      <c r="AC971" s="86"/>
      <c r="AD971" s="86"/>
      <c r="AE971" s="86"/>
      <c r="AF971" s="86"/>
    </row>
    <row r="972" spans="1:32">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c r="AA972" s="86"/>
      <c r="AB972" s="86"/>
      <c r="AC972" s="86"/>
      <c r="AD972" s="86"/>
      <c r="AE972" s="86"/>
      <c r="AF972" s="86"/>
    </row>
    <row r="973" spans="1:32">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6"/>
      <c r="AA973" s="86"/>
      <c r="AB973" s="86"/>
      <c r="AC973" s="86"/>
      <c r="AD973" s="86"/>
      <c r="AE973" s="86"/>
      <c r="AF973" s="86"/>
    </row>
    <row r="974" spans="1:32">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c r="AA974" s="86"/>
      <c r="AB974" s="86"/>
      <c r="AC974" s="86"/>
      <c r="AD974" s="86"/>
      <c r="AE974" s="86"/>
      <c r="AF974" s="86"/>
    </row>
    <row r="975" spans="1:32">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6"/>
      <c r="AA975" s="86"/>
      <c r="AB975" s="86"/>
      <c r="AC975" s="86"/>
      <c r="AD975" s="86"/>
      <c r="AE975" s="86"/>
      <c r="AF975" s="86"/>
    </row>
    <row r="976" spans="1:32">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c r="AA976" s="86"/>
      <c r="AB976" s="86"/>
      <c r="AC976" s="86"/>
      <c r="AD976" s="86"/>
      <c r="AE976" s="86"/>
      <c r="AF976" s="86"/>
    </row>
    <row r="977" spans="1:32">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6"/>
      <c r="AA977" s="86"/>
      <c r="AB977" s="86"/>
      <c r="AC977" s="86"/>
      <c r="AD977" s="86"/>
      <c r="AE977" s="86"/>
      <c r="AF977" s="86"/>
    </row>
    <row r="978" spans="1:32">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c r="AA978" s="86"/>
      <c r="AB978" s="86"/>
      <c r="AC978" s="86"/>
      <c r="AD978" s="86"/>
      <c r="AE978" s="86"/>
      <c r="AF978" s="86"/>
    </row>
    <row r="979" spans="1:32">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6"/>
      <c r="AA979" s="86"/>
      <c r="AB979" s="86"/>
      <c r="AC979" s="86"/>
      <c r="AD979" s="86"/>
      <c r="AE979" s="86"/>
      <c r="AF979" s="86"/>
    </row>
    <row r="980" spans="1:32">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c r="AA980" s="86"/>
      <c r="AB980" s="86"/>
      <c r="AC980" s="86"/>
      <c r="AD980" s="86"/>
      <c r="AE980" s="86"/>
      <c r="AF980" s="86"/>
    </row>
    <row r="981" spans="1:32">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6"/>
      <c r="AA981" s="86"/>
      <c r="AB981" s="86"/>
      <c r="AC981" s="86"/>
      <c r="AD981" s="86"/>
      <c r="AE981" s="86"/>
      <c r="AF981" s="86"/>
    </row>
    <row r="982" spans="1:32">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c r="AA982" s="86"/>
      <c r="AB982" s="86"/>
      <c r="AC982" s="86"/>
      <c r="AD982" s="86"/>
      <c r="AE982" s="86"/>
      <c r="AF982" s="86"/>
    </row>
    <row r="983" spans="1:32">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6"/>
      <c r="AA983" s="86"/>
      <c r="AB983" s="86"/>
      <c r="AC983" s="86"/>
      <c r="AD983" s="86"/>
      <c r="AE983" s="86"/>
      <c r="AF983" s="86"/>
    </row>
    <row r="984" spans="1:32">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c r="AA984" s="86"/>
      <c r="AB984" s="86"/>
      <c r="AC984" s="86"/>
      <c r="AD984" s="86"/>
      <c r="AE984" s="86"/>
      <c r="AF984" s="86"/>
    </row>
    <row r="985" spans="1:32">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6"/>
      <c r="AA985" s="86"/>
      <c r="AB985" s="86"/>
      <c r="AC985" s="86"/>
      <c r="AD985" s="86"/>
      <c r="AE985" s="86"/>
      <c r="AF985" s="86"/>
    </row>
    <row r="986" spans="1:32">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c r="AA986" s="86"/>
      <c r="AB986" s="86"/>
      <c r="AC986" s="86"/>
      <c r="AD986" s="86"/>
      <c r="AE986" s="86"/>
      <c r="AF986" s="86"/>
    </row>
    <row r="987" spans="1:32">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6"/>
      <c r="AA987" s="86"/>
      <c r="AB987" s="86"/>
      <c r="AC987" s="86"/>
      <c r="AD987" s="86"/>
      <c r="AE987" s="86"/>
      <c r="AF987" s="86"/>
    </row>
    <row r="988" spans="1:32">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c r="AA988" s="86"/>
      <c r="AB988" s="86"/>
      <c r="AC988" s="86"/>
      <c r="AD988" s="86"/>
      <c r="AE988" s="86"/>
      <c r="AF988" s="86"/>
    </row>
    <row r="989" spans="1:32">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6"/>
      <c r="AA989" s="86"/>
      <c r="AB989" s="86"/>
      <c r="AC989" s="86"/>
      <c r="AD989" s="86"/>
      <c r="AE989" s="86"/>
      <c r="AF989" s="86"/>
    </row>
    <row r="990" spans="1:32">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c r="AA990" s="86"/>
      <c r="AB990" s="86"/>
      <c r="AC990" s="86"/>
      <c r="AD990" s="86"/>
      <c r="AE990" s="86"/>
      <c r="AF990" s="86"/>
    </row>
    <row r="991" spans="1:32">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6"/>
      <c r="AA991" s="86"/>
      <c r="AB991" s="86"/>
      <c r="AC991" s="86"/>
      <c r="AD991" s="86"/>
      <c r="AE991" s="86"/>
      <c r="AF991" s="86"/>
    </row>
    <row r="992" spans="1:32">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c r="AA992" s="86"/>
      <c r="AB992" s="86"/>
      <c r="AC992" s="86"/>
      <c r="AD992" s="86"/>
      <c r="AE992" s="86"/>
      <c r="AF992" s="86"/>
    </row>
    <row r="993" spans="1:32">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6"/>
      <c r="AA993" s="86"/>
      <c r="AB993" s="86"/>
      <c r="AC993" s="86"/>
      <c r="AD993" s="86"/>
      <c r="AE993" s="86"/>
      <c r="AF993" s="86"/>
    </row>
    <row r="994" spans="1:32">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c r="AA994" s="86"/>
      <c r="AB994" s="86"/>
      <c r="AC994" s="86"/>
      <c r="AD994" s="86"/>
      <c r="AE994" s="86"/>
      <c r="AF994" s="86"/>
    </row>
    <row r="995" spans="1:32">
      <c r="A995" s="86"/>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86"/>
      <c r="AA995" s="86"/>
      <c r="AB995" s="86"/>
      <c r="AC995" s="86"/>
      <c r="AD995" s="86"/>
      <c r="AE995" s="86"/>
      <c r="AF995" s="86"/>
    </row>
    <row r="996" spans="1:32">
      <c r="A996" s="86"/>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c r="AA996" s="86"/>
      <c r="AB996" s="86"/>
      <c r="AC996" s="86"/>
      <c r="AD996" s="86"/>
      <c r="AE996" s="86"/>
      <c r="AF996" s="86"/>
    </row>
    <row r="997" spans="1:32">
      <c r="A997" s="86"/>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86"/>
      <c r="AA997" s="86"/>
      <c r="AB997" s="86"/>
      <c r="AC997" s="86"/>
      <c r="AD997" s="86"/>
      <c r="AE997" s="86"/>
      <c r="AF997" s="86"/>
    </row>
    <row r="998" spans="1:32">
      <c r="A998" s="86"/>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c r="AA998" s="86"/>
      <c r="AB998" s="86"/>
      <c r="AC998" s="86"/>
      <c r="AD998" s="86"/>
      <c r="AE998" s="86"/>
      <c r="AF998" s="86"/>
    </row>
    <row r="999" spans="1:32">
      <c r="A999" s="86"/>
      <c r="B999" s="86"/>
      <c r="C999" s="86"/>
      <c r="D999" s="86"/>
      <c r="E999" s="86"/>
      <c r="F999" s="86"/>
      <c r="G999" s="86"/>
      <c r="H999" s="86"/>
      <c r="I999" s="86"/>
      <c r="J999" s="86"/>
      <c r="K999" s="86"/>
      <c r="L999" s="86"/>
      <c r="M999" s="86"/>
      <c r="N999" s="86"/>
      <c r="O999" s="86"/>
      <c r="P999" s="86"/>
      <c r="Q999" s="86"/>
      <c r="R999" s="86"/>
      <c r="S999" s="86"/>
      <c r="T999" s="86"/>
      <c r="U999" s="86"/>
      <c r="V999" s="86"/>
      <c r="W999" s="86"/>
      <c r="X999" s="86"/>
      <c r="Y999" s="86"/>
      <c r="Z999" s="86"/>
      <c r="AA999" s="86"/>
      <c r="AB999" s="86"/>
      <c r="AC999" s="86"/>
      <c r="AD999" s="86"/>
      <c r="AE999" s="86"/>
      <c r="AF999" s="86"/>
    </row>
    <row r="1000" spans="1:32">
      <c r="A1000" s="86"/>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6"/>
      <c r="AA1000" s="86"/>
      <c r="AB1000" s="86"/>
      <c r="AC1000" s="86"/>
      <c r="AD1000" s="86"/>
      <c r="AE1000" s="86"/>
      <c r="AF1000" s="86"/>
    </row>
    <row r="1001" spans="1:32">
      <c r="A1001" s="86"/>
      <c r="B1001" s="86"/>
      <c r="C1001" s="86"/>
      <c r="D1001" s="86"/>
      <c r="E1001" s="86"/>
      <c r="F1001" s="86"/>
      <c r="G1001" s="86"/>
      <c r="H1001" s="86"/>
      <c r="I1001" s="86"/>
      <c r="J1001" s="86"/>
      <c r="K1001" s="86"/>
      <c r="L1001" s="86"/>
      <c r="M1001" s="86"/>
      <c r="N1001" s="86"/>
      <c r="O1001" s="86"/>
      <c r="P1001" s="86"/>
      <c r="Q1001" s="86"/>
      <c r="R1001" s="86"/>
      <c r="S1001" s="86"/>
      <c r="T1001" s="86"/>
      <c r="U1001" s="86"/>
      <c r="V1001" s="86"/>
      <c r="W1001" s="86"/>
      <c r="X1001" s="86"/>
      <c r="Y1001" s="86"/>
      <c r="Z1001" s="86"/>
      <c r="AA1001" s="86"/>
      <c r="AB1001" s="86"/>
      <c r="AC1001" s="86"/>
      <c r="AD1001" s="86"/>
      <c r="AE1001" s="86"/>
      <c r="AF1001" s="86"/>
    </row>
    <row r="1002" spans="1:32">
      <c r="A1002" s="86"/>
      <c r="B1002" s="86"/>
      <c r="C1002" s="86"/>
      <c r="D1002" s="86"/>
      <c r="E1002" s="86"/>
      <c r="F1002" s="86"/>
      <c r="G1002" s="86"/>
      <c r="H1002" s="86"/>
      <c r="I1002" s="86"/>
      <c r="J1002" s="86"/>
      <c r="K1002" s="86"/>
      <c r="L1002" s="86"/>
      <c r="M1002" s="86"/>
      <c r="N1002" s="86"/>
      <c r="O1002" s="86"/>
      <c r="P1002" s="86"/>
      <c r="Q1002" s="86"/>
      <c r="R1002" s="86"/>
      <c r="S1002" s="86"/>
      <c r="T1002" s="86"/>
      <c r="U1002" s="86"/>
      <c r="V1002" s="86"/>
      <c r="W1002" s="86"/>
      <c r="X1002" s="86"/>
      <c r="Y1002" s="86"/>
      <c r="Z1002" s="86"/>
      <c r="AA1002" s="86"/>
      <c r="AB1002" s="86"/>
      <c r="AC1002" s="86"/>
      <c r="AD1002" s="86"/>
      <c r="AE1002" s="86"/>
      <c r="AF1002" s="86"/>
    </row>
    <row r="1003" spans="1:32">
      <c r="A1003" s="86"/>
      <c r="B1003" s="86"/>
      <c r="C1003" s="86"/>
      <c r="D1003" s="86"/>
      <c r="E1003" s="86"/>
      <c r="F1003" s="86"/>
      <c r="G1003" s="86"/>
      <c r="H1003" s="86"/>
      <c r="I1003" s="86"/>
      <c r="J1003" s="86"/>
      <c r="K1003" s="86"/>
      <c r="L1003" s="86"/>
      <c r="M1003" s="86"/>
      <c r="N1003" s="86"/>
      <c r="O1003" s="86"/>
      <c r="P1003" s="86"/>
      <c r="Q1003" s="86"/>
      <c r="R1003" s="86"/>
      <c r="S1003" s="86"/>
      <c r="T1003" s="86"/>
      <c r="U1003" s="86"/>
      <c r="V1003" s="86"/>
      <c r="W1003" s="86"/>
      <c r="X1003" s="86"/>
      <c r="Y1003" s="86"/>
      <c r="Z1003" s="86"/>
      <c r="AA1003" s="86"/>
      <c r="AB1003" s="86"/>
      <c r="AC1003" s="86"/>
      <c r="AD1003" s="86"/>
      <c r="AE1003" s="86"/>
      <c r="AF1003" s="86"/>
    </row>
    <row r="1004" spans="1:32">
      <c r="A1004" s="86"/>
      <c r="B1004" s="86"/>
      <c r="C1004" s="86"/>
      <c r="D1004" s="86"/>
      <c r="E1004" s="86"/>
      <c r="F1004" s="86"/>
      <c r="G1004" s="86"/>
      <c r="H1004" s="86"/>
      <c r="I1004" s="86"/>
      <c r="J1004" s="86"/>
      <c r="K1004" s="86"/>
      <c r="L1004" s="86"/>
      <c r="M1004" s="86"/>
      <c r="N1004" s="86"/>
      <c r="O1004" s="86"/>
      <c r="P1004" s="86"/>
      <c r="Q1004" s="86"/>
      <c r="R1004" s="86"/>
      <c r="S1004" s="86"/>
      <c r="T1004" s="86"/>
      <c r="U1004" s="86"/>
      <c r="V1004" s="86"/>
      <c r="W1004" s="86"/>
      <c r="X1004" s="86"/>
      <c r="Y1004" s="86"/>
      <c r="Z1004" s="86"/>
      <c r="AA1004" s="86"/>
      <c r="AB1004" s="86"/>
      <c r="AC1004" s="86"/>
      <c r="AD1004" s="86"/>
      <c r="AE1004" s="86"/>
      <c r="AF1004" s="86"/>
    </row>
    <row r="1005" spans="1:32">
      <c r="A1005" s="86"/>
      <c r="B1005" s="86"/>
      <c r="C1005" s="86"/>
      <c r="D1005" s="86"/>
      <c r="E1005" s="86"/>
      <c r="F1005" s="86"/>
      <c r="G1005" s="86"/>
      <c r="H1005" s="86"/>
      <c r="I1005" s="86"/>
      <c r="J1005" s="86"/>
      <c r="K1005" s="86"/>
      <c r="L1005" s="86"/>
      <c r="M1005" s="86"/>
      <c r="N1005" s="86"/>
      <c r="O1005" s="86"/>
      <c r="P1005" s="86"/>
      <c r="Q1005" s="86"/>
      <c r="R1005" s="86"/>
      <c r="S1005" s="86"/>
      <c r="T1005" s="86"/>
      <c r="U1005" s="86"/>
      <c r="V1005" s="86"/>
      <c r="W1005" s="86"/>
      <c r="X1005" s="86"/>
      <c r="Y1005" s="86"/>
      <c r="Z1005" s="86"/>
      <c r="AA1005" s="86"/>
      <c r="AB1005" s="86"/>
      <c r="AC1005" s="86"/>
      <c r="AD1005" s="86"/>
      <c r="AE1005" s="86"/>
      <c r="AF1005" s="86"/>
    </row>
    <row r="1006" spans="1:32">
      <c r="A1006" s="86"/>
      <c r="B1006" s="86"/>
      <c r="C1006" s="86"/>
      <c r="D1006" s="86"/>
      <c r="E1006" s="86"/>
      <c r="F1006" s="86"/>
      <c r="G1006" s="86"/>
      <c r="H1006" s="86"/>
      <c r="I1006" s="86"/>
      <c r="J1006" s="86"/>
      <c r="K1006" s="86"/>
      <c r="L1006" s="86"/>
      <c r="M1006" s="86"/>
      <c r="N1006" s="86"/>
      <c r="O1006" s="86"/>
      <c r="P1006" s="86"/>
      <c r="Q1006" s="86"/>
      <c r="R1006" s="86"/>
      <c r="S1006" s="86"/>
      <c r="T1006" s="86"/>
      <c r="U1006" s="86"/>
      <c r="V1006" s="86"/>
      <c r="W1006" s="86"/>
      <c r="X1006" s="86"/>
      <c r="Y1006" s="86"/>
      <c r="Z1006" s="86"/>
      <c r="AA1006" s="86"/>
      <c r="AB1006" s="86"/>
      <c r="AC1006" s="86"/>
      <c r="AD1006" s="86"/>
      <c r="AE1006" s="86"/>
      <c r="AF1006" s="86"/>
    </row>
    <row r="1007" spans="1:32">
      <c r="A1007" s="86"/>
      <c r="B1007" s="86"/>
      <c r="C1007" s="86"/>
      <c r="D1007" s="86"/>
      <c r="E1007" s="86"/>
      <c r="F1007" s="86"/>
      <c r="G1007" s="86"/>
      <c r="H1007" s="86"/>
      <c r="I1007" s="86"/>
      <c r="J1007" s="86"/>
      <c r="K1007" s="86"/>
      <c r="L1007" s="86"/>
      <c r="M1007" s="86"/>
      <c r="N1007" s="86"/>
      <c r="O1007" s="86"/>
      <c r="P1007" s="86"/>
      <c r="Q1007" s="86"/>
      <c r="R1007" s="86"/>
      <c r="S1007" s="86"/>
      <c r="T1007" s="86"/>
      <c r="U1007" s="86"/>
      <c r="V1007" s="86"/>
      <c r="W1007" s="86"/>
      <c r="X1007" s="86"/>
      <c r="Y1007" s="86"/>
      <c r="Z1007" s="86"/>
      <c r="AA1007" s="86"/>
      <c r="AB1007" s="86"/>
      <c r="AC1007" s="86"/>
      <c r="AD1007" s="86"/>
      <c r="AE1007" s="86"/>
      <c r="AF1007" s="86"/>
    </row>
    <row r="1008" spans="1:32">
      <c r="A1008" s="86"/>
      <c r="B1008" s="86"/>
      <c r="C1008" s="86"/>
      <c r="D1008" s="86"/>
      <c r="E1008" s="86"/>
      <c r="F1008" s="86"/>
      <c r="G1008" s="86"/>
      <c r="H1008" s="86"/>
      <c r="I1008" s="86"/>
      <c r="J1008" s="86"/>
      <c r="K1008" s="86"/>
      <c r="L1008" s="86"/>
      <c r="M1008" s="86"/>
      <c r="N1008" s="86"/>
      <c r="O1008" s="86"/>
      <c r="P1008" s="86"/>
      <c r="Q1008" s="86"/>
      <c r="R1008" s="86"/>
      <c r="S1008" s="86"/>
      <c r="T1008" s="86"/>
      <c r="U1008" s="86"/>
      <c r="V1008" s="86"/>
      <c r="W1008" s="86"/>
      <c r="X1008" s="86"/>
      <c r="Y1008" s="86"/>
      <c r="Z1008" s="86"/>
      <c r="AA1008" s="86"/>
      <c r="AB1008" s="86"/>
      <c r="AC1008" s="86"/>
      <c r="AD1008" s="86"/>
      <c r="AE1008" s="86"/>
      <c r="AF1008" s="86"/>
    </row>
    <row r="1009" spans="1:32">
      <c r="A1009" s="86"/>
      <c r="B1009" s="86"/>
      <c r="C1009" s="86"/>
      <c r="D1009" s="86"/>
      <c r="E1009" s="86"/>
      <c r="F1009" s="86"/>
      <c r="G1009" s="86"/>
      <c r="H1009" s="86"/>
      <c r="I1009" s="86"/>
      <c r="J1009" s="86"/>
      <c r="K1009" s="86"/>
      <c r="L1009" s="86"/>
      <c r="M1009" s="86"/>
      <c r="N1009" s="86"/>
      <c r="O1009" s="86"/>
      <c r="P1009" s="86"/>
      <c r="Q1009" s="86"/>
      <c r="R1009" s="86"/>
      <c r="S1009" s="86"/>
      <c r="T1009" s="86"/>
      <c r="U1009" s="86"/>
      <c r="V1009" s="86"/>
      <c r="W1009" s="86"/>
      <c r="X1009" s="86"/>
      <c r="Y1009" s="86"/>
      <c r="Z1009" s="86"/>
      <c r="AA1009" s="86"/>
      <c r="AB1009" s="86"/>
      <c r="AC1009" s="86"/>
      <c r="AD1009" s="86"/>
      <c r="AE1009" s="86"/>
      <c r="AF1009" s="86"/>
    </row>
    <row r="1010" spans="1:32">
      <c r="A1010" s="86"/>
      <c r="B1010" s="86"/>
      <c r="C1010" s="86"/>
      <c r="D1010" s="86"/>
      <c r="E1010" s="86"/>
      <c r="F1010" s="86"/>
      <c r="G1010" s="86"/>
      <c r="H1010" s="86"/>
      <c r="I1010" s="86"/>
      <c r="J1010" s="86"/>
      <c r="K1010" s="86"/>
      <c r="L1010" s="86"/>
      <c r="M1010" s="86"/>
      <c r="N1010" s="86"/>
      <c r="O1010" s="86"/>
      <c r="P1010" s="86"/>
      <c r="Q1010" s="86"/>
      <c r="R1010" s="86"/>
      <c r="S1010" s="86"/>
      <c r="T1010" s="86"/>
      <c r="U1010" s="86"/>
      <c r="V1010" s="86"/>
      <c r="W1010" s="86"/>
      <c r="X1010" s="86"/>
      <c r="Y1010" s="86"/>
      <c r="Z1010" s="86"/>
      <c r="AA1010" s="86"/>
      <c r="AB1010" s="86"/>
      <c r="AC1010" s="86"/>
      <c r="AD1010" s="86"/>
      <c r="AE1010" s="86"/>
      <c r="AF1010" s="86"/>
    </row>
    <row r="1011" spans="1:32">
      <c r="A1011" s="86"/>
      <c r="B1011" s="86"/>
      <c r="C1011" s="86"/>
      <c r="D1011" s="86"/>
      <c r="E1011" s="86"/>
      <c r="F1011" s="86"/>
      <c r="G1011" s="86"/>
      <c r="H1011" s="86"/>
      <c r="I1011" s="86"/>
      <c r="J1011" s="86"/>
      <c r="K1011" s="86"/>
      <c r="L1011" s="86"/>
      <c r="M1011" s="86"/>
      <c r="N1011" s="86"/>
      <c r="O1011" s="86"/>
      <c r="P1011" s="86"/>
      <c r="Q1011" s="86"/>
      <c r="R1011" s="86"/>
      <c r="S1011" s="86"/>
      <c r="T1011" s="86"/>
      <c r="U1011" s="86"/>
      <c r="V1011" s="86"/>
      <c r="W1011" s="86"/>
      <c r="X1011" s="86"/>
      <c r="Y1011" s="86"/>
      <c r="Z1011" s="86"/>
      <c r="AA1011" s="86"/>
      <c r="AB1011" s="86"/>
      <c r="AC1011" s="86"/>
      <c r="AD1011" s="86"/>
      <c r="AE1011" s="86"/>
      <c r="AF1011" s="86"/>
    </row>
    <row r="1012" spans="1:32">
      <c r="A1012" s="86"/>
      <c r="B1012" s="86"/>
      <c r="C1012" s="86"/>
      <c r="D1012" s="86"/>
      <c r="E1012" s="86"/>
      <c r="F1012" s="86"/>
      <c r="G1012" s="86"/>
      <c r="H1012" s="86"/>
      <c r="I1012" s="86"/>
      <c r="J1012" s="86"/>
      <c r="K1012" s="86"/>
      <c r="L1012" s="86"/>
      <c r="M1012" s="86"/>
      <c r="N1012" s="86"/>
      <c r="O1012" s="86"/>
      <c r="P1012" s="86"/>
      <c r="Q1012" s="86"/>
      <c r="R1012" s="86"/>
      <c r="S1012" s="86"/>
      <c r="T1012" s="86"/>
      <c r="U1012" s="86"/>
      <c r="V1012" s="86"/>
      <c r="W1012" s="86"/>
      <c r="X1012" s="86"/>
      <c r="Y1012" s="86"/>
      <c r="Z1012" s="86"/>
      <c r="AA1012" s="86"/>
      <c r="AB1012" s="86"/>
      <c r="AC1012" s="86"/>
      <c r="AD1012" s="86"/>
      <c r="AE1012" s="86"/>
      <c r="AF1012" s="86"/>
    </row>
    <row r="1013" spans="1:32">
      <c r="A1013" s="86"/>
      <c r="B1013" s="86"/>
      <c r="C1013" s="86"/>
      <c r="D1013" s="86"/>
      <c r="E1013" s="86"/>
      <c r="F1013" s="86"/>
      <c r="G1013" s="86"/>
      <c r="H1013" s="86"/>
      <c r="I1013" s="86"/>
      <c r="J1013" s="86"/>
      <c r="K1013" s="86"/>
      <c r="L1013" s="86"/>
      <c r="M1013" s="86"/>
      <c r="N1013" s="86"/>
      <c r="O1013" s="86"/>
      <c r="P1013" s="86"/>
      <c r="Q1013" s="86"/>
      <c r="R1013" s="86"/>
      <c r="S1013" s="86"/>
      <c r="T1013" s="86"/>
      <c r="U1013" s="86"/>
      <c r="V1013" s="86"/>
      <c r="W1013" s="86"/>
      <c r="X1013" s="86"/>
      <c r="Y1013" s="86"/>
      <c r="Z1013" s="86"/>
      <c r="AA1013" s="86"/>
      <c r="AB1013" s="86"/>
      <c r="AC1013" s="86"/>
      <c r="AD1013" s="86"/>
      <c r="AE1013" s="86"/>
      <c r="AF1013" s="86"/>
    </row>
    <row r="1014" spans="1:32">
      <c r="A1014" s="86"/>
      <c r="B1014" s="86"/>
      <c r="C1014" s="86"/>
      <c r="D1014" s="86"/>
      <c r="E1014" s="86"/>
      <c r="F1014" s="86"/>
      <c r="G1014" s="86"/>
      <c r="H1014" s="86"/>
      <c r="I1014" s="86"/>
      <c r="J1014" s="86"/>
      <c r="K1014" s="86"/>
      <c r="L1014" s="86"/>
      <c r="M1014" s="86"/>
      <c r="N1014" s="86"/>
      <c r="O1014" s="86"/>
      <c r="P1014" s="86"/>
      <c r="Q1014" s="86"/>
      <c r="R1014" s="86"/>
      <c r="S1014" s="86"/>
      <c r="T1014" s="86"/>
      <c r="U1014" s="86"/>
      <c r="V1014" s="86"/>
      <c r="W1014" s="86"/>
      <c r="X1014" s="86"/>
      <c r="Y1014" s="86"/>
      <c r="Z1014" s="86"/>
      <c r="AA1014" s="86"/>
      <c r="AB1014" s="86"/>
      <c r="AC1014" s="86"/>
      <c r="AD1014" s="86"/>
      <c r="AE1014" s="86"/>
      <c r="AF1014" s="86"/>
    </row>
    <row r="1015" spans="1:32">
      <c r="A1015" s="86"/>
      <c r="B1015" s="86"/>
      <c r="C1015" s="86"/>
      <c r="D1015" s="86"/>
      <c r="E1015" s="86"/>
      <c r="F1015" s="86"/>
      <c r="G1015" s="86"/>
      <c r="H1015" s="86"/>
      <c r="I1015" s="86"/>
      <c r="J1015" s="86"/>
      <c r="K1015" s="86"/>
      <c r="L1015" s="86"/>
      <c r="M1015" s="86"/>
      <c r="N1015" s="86"/>
      <c r="O1015" s="86"/>
      <c r="P1015" s="86"/>
      <c r="Q1015" s="86"/>
      <c r="R1015" s="86"/>
      <c r="S1015" s="86"/>
      <c r="T1015" s="86"/>
      <c r="U1015" s="86"/>
      <c r="V1015" s="86"/>
      <c r="W1015" s="86"/>
      <c r="X1015" s="86"/>
      <c r="Y1015" s="86"/>
      <c r="Z1015" s="86"/>
      <c r="AA1015" s="86"/>
      <c r="AB1015" s="86"/>
      <c r="AC1015" s="86"/>
      <c r="AD1015" s="86"/>
      <c r="AE1015" s="86"/>
      <c r="AF1015" s="86"/>
    </row>
    <row r="1016" spans="1:32">
      <c r="A1016" s="86"/>
      <c r="B1016" s="86"/>
      <c r="C1016" s="86"/>
      <c r="D1016" s="86"/>
      <c r="E1016" s="86"/>
      <c r="F1016" s="86"/>
      <c r="G1016" s="86"/>
      <c r="H1016" s="86"/>
      <c r="I1016" s="86"/>
      <c r="J1016" s="86"/>
      <c r="K1016" s="86"/>
      <c r="L1016" s="86"/>
      <c r="M1016" s="86"/>
      <c r="N1016" s="86"/>
      <c r="O1016" s="86"/>
      <c r="P1016" s="86"/>
      <c r="Q1016" s="86"/>
      <c r="R1016" s="86"/>
      <c r="S1016" s="86"/>
      <c r="T1016" s="86"/>
      <c r="U1016" s="86"/>
      <c r="V1016" s="86"/>
      <c r="W1016" s="86"/>
      <c r="X1016" s="86"/>
      <c r="Y1016" s="86"/>
      <c r="Z1016" s="86"/>
      <c r="AA1016" s="86"/>
      <c r="AB1016" s="86"/>
      <c r="AC1016" s="86"/>
      <c r="AD1016" s="86"/>
      <c r="AE1016" s="86"/>
      <c r="AF1016" s="86"/>
    </row>
    <row r="1017" spans="1:32">
      <c r="A1017" s="86"/>
      <c r="B1017" s="86"/>
      <c r="C1017" s="86"/>
      <c r="D1017" s="86"/>
      <c r="E1017" s="86"/>
      <c r="F1017" s="86"/>
      <c r="G1017" s="86"/>
      <c r="H1017" s="86"/>
      <c r="I1017" s="86"/>
      <c r="J1017" s="86"/>
      <c r="K1017" s="86"/>
      <c r="L1017" s="86"/>
      <c r="M1017" s="86"/>
      <c r="N1017" s="86"/>
      <c r="O1017" s="86"/>
      <c r="P1017" s="86"/>
      <c r="Q1017" s="86"/>
      <c r="R1017" s="86"/>
      <c r="S1017" s="86"/>
      <c r="T1017" s="86"/>
      <c r="U1017" s="86"/>
      <c r="V1017" s="86"/>
      <c r="W1017" s="86"/>
      <c r="X1017" s="86"/>
      <c r="Y1017" s="86"/>
      <c r="Z1017" s="86"/>
      <c r="AA1017" s="86"/>
      <c r="AB1017" s="86"/>
      <c r="AC1017" s="86"/>
      <c r="AD1017" s="86"/>
      <c r="AE1017" s="86"/>
      <c r="AF1017" s="86"/>
    </row>
    <row r="1018" spans="1:32">
      <c r="A1018" s="86"/>
      <c r="B1018" s="86"/>
      <c r="C1018" s="86"/>
      <c r="D1018" s="86"/>
      <c r="E1018" s="86"/>
      <c r="F1018" s="86"/>
      <c r="G1018" s="86"/>
      <c r="H1018" s="86"/>
      <c r="I1018" s="86"/>
      <c r="J1018" s="86"/>
      <c r="K1018" s="86"/>
      <c r="L1018" s="86"/>
      <c r="M1018" s="86"/>
      <c r="N1018" s="86"/>
      <c r="O1018" s="86"/>
      <c r="P1018" s="86"/>
      <c r="Q1018" s="86"/>
      <c r="R1018" s="86"/>
      <c r="S1018" s="86"/>
      <c r="T1018" s="86"/>
      <c r="U1018" s="86"/>
      <c r="V1018" s="86"/>
      <c r="W1018" s="86"/>
      <c r="X1018" s="86"/>
      <c r="Y1018" s="86"/>
      <c r="Z1018" s="86"/>
      <c r="AA1018" s="86"/>
      <c r="AB1018" s="86"/>
      <c r="AC1018" s="86"/>
      <c r="AD1018" s="86"/>
      <c r="AE1018" s="86"/>
      <c r="AF1018" s="86"/>
    </row>
    <row r="1019" spans="1:32">
      <c r="A1019" s="86"/>
      <c r="B1019" s="86"/>
      <c r="C1019" s="86"/>
      <c r="D1019" s="86"/>
      <c r="E1019" s="86"/>
      <c r="F1019" s="86"/>
      <c r="G1019" s="86"/>
      <c r="H1019" s="86"/>
      <c r="I1019" s="86"/>
      <c r="J1019" s="86"/>
      <c r="K1019" s="86"/>
      <c r="L1019" s="86"/>
      <c r="M1019" s="86"/>
      <c r="N1019" s="86"/>
      <c r="O1019" s="86"/>
      <c r="P1019" s="86"/>
      <c r="Q1019" s="86"/>
      <c r="R1019" s="86"/>
      <c r="S1019" s="86"/>
      <c r="T1019" s="86"/>
      <c r="U1019" s="86"/>
      <c r="V1019" s="86"/>
      <c r="W1019" s="86"/>
      <c r="X1019" s="86"/>
      <c r="Y1019" s="86"/>
      <c r="Z1019" s="86"/>
      <c r="AA1019" s="86"/>
      <c r="AB1019" s="86"/>
      <c r="AC1019" s="86"/>
      <c r="AD1019" s="86"/>
      <c r="AE1019" s="86"/>
      <c r="AF1019" s="86"/>
    </row>
    <row r="1020" spans="1:32">
      <c r="A1020" s="86"/>
      <c r="B1020" s="86"/>
      <c r="C1020" s="86"/>
      <c r="D1020" s="86"/>
      <c r="E1020" s="86"/>
      <c r="F1020" s="86"/>
      <c r="G1020" s="86"/>
      <c r="H1020" s="86"/>
      <c r="I1020" s="86"/>
      <c r="J1020" s="86"/>
      <c r="K1020" s="86"/>
      <c r="L1020" s="86"/>
      <c r="M1020" s="86"/>
      <c r="N1020" s="86"/>
      <c r="O1020" s="86"/>
      <c r="P1020" s="86"/>
      <c r="Q1020" s="86"/>
      <c r="R1020" s="86"/>
      <c r="S1020" s="86"/>
      <c r="T1020" s="86"/>
      <c r="U1020" s="86"/>
      <c r="V1020" s="86"/>
      <c r="W1020" s="86"/>
      <c r="X1020" s="86"/>
      <c r="Y1020" s="86"/>
      <c r="Z1020" s="86"/>
      <c r="AA1020" s="86"/>
      <c r="AB1020" s="86"/>
      <c r="AC1020" s="86"/>
      <c r="AD1020" s="86"/>
      <c r="AE1020" s="86"/>
      <c r="AF1020" s="86"/>
    </row>
    <row r="1021" spans="1:32">
      <c r="A1021" s="86"/>
      <c r="B1021" s="86"/>
      <c r="C1021" s="86"/>
      <c r="D1021" s="86"/>
      <c r="E1021" s="86"/>
      <c r="F1021" s="86"/>
      <c r="G1021" s="86"/>
      <c r="H1021" s="86"/>
      <c r="I1021" s="86"/>
      <c r="J1021" s="86"/>
      <c r="K1021" s="86"/>
      <c r="L1021" s="86"/>
      <c r="M1021" s="86"/>
      <c r="N1021" s="86"/>
      <c r="O1021" s="86"/>
      <c r="P1021" s="86"/>
      <c r="Q1021" s="86"/>
      <c r="R1021" s="86"/>
      <c r="S1021" s="86"/>
      <c r="T1021" s="86"/>
      <c r="U1021" s="86"/>
      <c r="V1021" s="86"/>
      <c r="W1021" s="86"/>
      <c r="X1021" s="86"/>
      <c r="Y1021" s="86"/>
      <c r="Z1021" s="86"/>
      <c r="AA1021" s="86"/>
      <c r="AB1021" s="86"/>
      <c r="AC1021" s="86"/>
      <c r="AD1021" s="86"/>
      <c r="AE1021" s="86"/>
      <c r="AF1021" s="86"/>
    </row>
    <row r="1022" spans="1:32">
      <c r="A1022" s="86"/>
      <c r="B1022" s="86"/>
      <c r="C1022" s="86"/>
      <c r="D1022" s="86"/>
      <c r="E1022" s="86"/>
      <c r="F1022" s="86"/>
      <c r="G1022" s="86"/>
      <c r="H1022" s="86"/>
      <c r="I1022" s="86"/>
      <c r="J1022" s="86"/>
      <c r="K1022" s="86"/>
      <c r="L1022" s="86"/>
      <c r="M1022" s="86"/>
      <c r="N1022" s="86"/>
      <c r="O1022" s="86"/>
      <c r="P1022" s="86"/>
      <c r="Q1022" s="86"/>
      <c r="R1022" s="86"/>
      <c r="S1022" s="86"/>
      <c r="T1022" s="86"/>
      <c r="U1022" s="86"/>
      <c r="V1022" s="86"/>
      <c r="W1022" s="86"/>
      <c r="X1022" s="86"/>
      <c r="Y1022" s="86"/>
      <c r="Z1022" s="86"/>
      <c r="AA1022" s="86"/>
      <c r="AB1022" s="86"/>
      <c r="AC1022" s="86"/>
      <c r="AD1022" s="86"/>
      <c r="AE1022" s="86"/>
      <c r="AF1022" s="86"/>
    </row>
    <row r="1023" spans="1:32">
      <c r="A1023" s="86"/>
      <c r="B1023" s="86"/>
      <c r="C1023" s="86"/>
      <c r="D1023" s="86"/>
      <c r="E1023" s="86"/>
      <c r="F1023" s="86"/>
      <c r="G1023" s="86"/>
      <c r="H1023" s="86"/>
      <c r="I1023" s="86"/>
      <c r="J1023" s="86"/>
      <c r="K1023" s="86"/>
      <c r="L1023" s="86"/>
      <c r="M1023" s="86"/>
      <c r="N1023" s="86"/>
      <c r="O1023" s="86"/>
      <c r="P1023" s="86"/>
      <c r="Q1023" s="86"/>
      <c r="R1023" s="86"/>
      <c r="S1023" s="86"/>
      <c r="T1023" s="86"/>
      <c r="U1023" s="86"/>
      <c r="V1023" s="86"/>
      <c r="W1023" s="86"/>
      <c r="X1023" s="86"/>
      <c r="Y1023" s="86"/>
      <c r="Z1023" s="86"/>
      <c r="AA1023" s="86"/>
      <c r="AB1023" s="86"/>
      <c r="AC1023" s="86"/>
      <c r="AD1023" s="86"/>
      <c r="AE1023" s="86"/>
      <c r="AF1023" s="86"/>
    </row>
    <row r="1024" spans="1:32">
      <c r="A1024" s="86"/>
      <c r="B1024" s="86"/>
      <c r="C1024" s="86"/>
      <c r="D1024" s="86"/>
      <c r="E1024" s="86"/>
      <c r="F1024" s="86"/>
      <c r="G1024" s="86"/>
      <c r="H1024" s="86"/>
      <c r="I1024" s="86"/>
      <c r="J1024" s="86"/>
      <c r="K1024" s="86"/>
      <c r="L1024" s="86"/>
      <c r="M1024" s="86"/>
      <c r="N1024" s="86"/>
      <c r="O1024" s="86"/>
      <c r="P1024" s="86"/>
      <c r="Q1024" s="86"/>
      <c r="R1024" s="86"/>
      <c r="S1024" s="86"/>
      <c r="T1024" s="86"/>
      <c r="U1024" s="86"/>
      <c r="V1024" s="86"/>
      <c r="W1024" s="86"/>
      <c r="X1024" s="86"/>
      <c r="Y1024" s="86"/>
      <c r="Z1024" s="86"/>
      <c r="AA1024" s="86"/>
      <c r="AB1024" s="86"/>
      <c r="AC1024" s="86"/>
      <c r="AD1024" s="86"/>
      <c r="AE1024" s="86"/>
      <c r="AF1024" s="86"/>
    </row>
    <row r="1025" spans="1:32">
      <c r="A1025" s="86"/>
      <c r="B1025" s="86"/>
      <c r="C1025" s="86"/>
      <c r="D1025" s="86"/>
      <c r="E1025" s="86"/>
      <c r="F1025" s="86"/>
      <c r="G1025" s="86"/>
      <c r="H1025" s="86"/>
      <c r="I1025" s="86"/>
      <c r="J1025" s="86"/>
      <c r="K1025" s="86"/>
      <c r="L1025" s="86"/>
      <c r="M1025" s="86"/>
      <c r="N1025" s="86"/>
      <c r="O1025" s="86"/>
      <c r="P1025" s="86"/>
      <c r="Q1025" s="86"/>
      <c r="R1025" s="86"/>
      <c r="S1025" s="86"/>
      <c r="T1025" s="86"/>
      <c r="U1025" s="86"/>
      <c r="V1025" s="86"/>
      <c r="W1025" s="86"/>
      <c r="X1025" s="86"/>
      <c r="Y1025" s="86"/>
      <c r="Z1025" s="86"/>
      <c r="AA1025" s="86"/>
      <c r="AB1025" s="86"/>
      <c r="AC1025" s="86"/>
      <c r="AD1025" s="86"/>
      <c r="AE1025" s="86"/>
      <c r="AF1025" s="86"/>
    </row>
    <row r="1026" spans="1:32">
      <c r="A1026" s="86"/>
      <c r="B1026" s="86"/>
      <c r="C1026" s="86"/>
      <c r="D1026" s="86"/>
      <c r="E1026" s="86"/>
      <c r="F1026" s="86"/>
      <c r="G1026" s="86"/>
      <c r="H1026" s="86"/>
      <c r="I1026" s="86"/>
      <c r="J1026" s="86"/>
      <c r="K1026" s="86"/>
      <c r="L1026" s="86"/>
      <c r="M1026" s="86"/>
      <c r="N1026" s="86"/>
      <c r="O1026" s="86"/>
      <c r="P1026" s="86"/>
      <c r="Q1026" s="86"/>
      <c r="R1026" s="86"/>
      <c r="S1026" s="86"/>
      <c r="T1026" s="86"/>
      <c r="U1026" s="86"/>
      <c r="V1026" s="86"/>
      <c r="W1026" s="86"/>
      <c r="X1026" s="86"/>
      <c r="Y1026" s="86"/>
      <c r="Z1026" s="86"/>
      <c r="AA1026" s="86"/>
      <c r="AB1026" s="86"/>
      <c r="AC1026" s="86"/>
      <c r="AD1026" s="86"/>
      <c r="AE1026" s="86"/>
      <c r="AF1026" s="86"/>
    </row>
    <row r="1027" spans="1:32">
      <c r="A1027" s="86"/>
      <c r="B1027" s="86"/>
      <c r="C1027" s="86"/>
      <c r="D1027" s="86"/>
      <c r="E1027" s="86"/>
      <c r="F1027" s="86"/>
      <c r="G1027" s="86"/>
      <c r="H1027" s="86"/>
      <c r="I1027" s="86"/>
      <c r="J1027" s="86"/>
      <c r="K1027" s="86"/>
      <c r="L1027" s="86"/>
      <c r="M1027" s="86"/>
      <c r="N1027" s="86"/>
      <c r="O1027" s="86"/>
      <c r="P1027" s="86"/>
      <c r="Q1027" s="86"/>
      <c r="R1027" s="86"/>
      <c r="S1027" s="86"/>
      <c r="T1027" s="86"/>
      <c r="U1027" s="86"/>
      <c r="V1027" s="86"/>
      <c r="W1027" s="86"/>
      <c r="X1027" s="86"/>
      <c r="Y1027" s="86"/>
      <c r="Z1027" s="86"/>
      <c r="AA1027" s="86"/>
      <c r="AB1027" s="86"/>
      <c r="AC1027" s="86"/>
      <c r="AD1027" s="86"/>
      <c r="AE1027" s="86"/>
      <c r="AF1027" s="86"/>
    </row>
    <row r="1028" spans="1:32">
      <c r="A1028" s="86"/>
      <c r="B1028" s="86"/>
      <c r="C1028" s="86"/>
      <c r="D1028" s="86"/>
      <c r="E1028" s="86"/>
      <c r="F1028" s="86"/>
      <c r="G1028" s="86"/>
      <c r="H1028" s="86"/>
      <c r="I1028" s="86"/>
      <c r="J1028" s="86"/>
      <c r="K1028" s="86"/>
      <c r="L1028" s="86"/>
      <c r="M1028" s="86"/>
      <c r="N1028" s="86"/>
      <c r="O1028" s="86"/>
      <c r="P1028" s="86"/>
      <c r="Q1028" s="86"/>
      <c r="R1028" s="86"/>
      <c r="S1028" s="86"/>
      <c r="T1028" s="86"/>
      <c r="U1028" s="86"/>
      <c r="V1028" s="86"/>
      <c r="W1028" s="86"/>
      <c r="X1028" s="86"/>
      <c r="Y1028" s="86"/>
      <c r="Z1028" s="86"/>
      <c r="AA1028" s="86"/>
      <c r="AB1028" s="86"/>
      <c r="AC1028" s="86"/>
      <c r="AD1028" s="86"/>
      <c r="AE1028" s="86"/>
      <c r="AF1028" s="86"/>
    </row>
    <row r="1029" spans="1:32">
      <c r="A1029" s="86"/>
      <c r="B1029" s="86"/>
      <c r="C1029" s="86"/>
      <c r="D1029" s="86"/>
      <c r="E1029" s="86"/>
      <c r="F1029" s="86"/>
      <c r="G1029" s="86"/>
      <c r="H1029" s="86"/>
      <c r="I1029" s="86"/>
      <c r="J1029" s="86"/>
      <c r="K1029" s="86"/>
      <c r="L1029" s="86"/>
      <c r="M1029" s="86"/>
      <c r="N1029" s="86"/>
      <c r="O1029" s="86"/>
      <c r="P1029" s="86"/>
      <c r="Q1029" s="86"/>
      <c r="R1029" s="86"/>
      <c r="S1029" s="86"/>
      <c r="T1029" s="86"/>
      <c r="U1029" s="86"/>
      <c r="V1029" s="86"/>
      <c r="W1029" s="86"/>
      <c r="X1029" s="86"/>
      <c r="Y1029" s="86"/>
      <c r="Z1029" s="86"/>
      <c r="AA1029" s="86"/>
      <c r="AB1029" s="86"/>
      <c r="AC1029" s="86"/>
      <c r="AD1029" s="86"/>
      <c r="AE1029" s="86"/>
      <c r="AF1029" s="86"/>
    </row>
    <row r="1030" spans="1:32">
      <c r="A1030" s="86"/>
      <c r="B1030" s="86"/>
      <c r="C1030" s="86"/>
      <c r="D1030" s="86"/>
      <c r="E1030" s="86"/>
      <c r="F1030" s="86"/>
      <c r="G1030" s="86"/>
      <c r="H1030" s="86"/>
      <c r="I1030" s="86"/>
      <c r="J1030" s="86"/>
      <c r="K1030" s="86"/>
      <c r="L1030" s="86"/>
      <c r="M1030" s="86"/>
      <c r="N1030" s="86"/>
      <c r="O1030" s="86"/>
      <c r="P1030" s="86"/>
      <c r="Q1030" s="86"/>
      <c r="R1030" s="86"/>
      <c r="S1030" s="86"/>
      <c r="T1030" s="86"/>
      <c r="U1030" s="86"/>
      <c r="V1030" s="86"/>
      <c r="W1030" s="86"/>
      <c r="X1030" s="86"/>
      <c r="Y1030" s="86"/>
      <c r="Z1030" s="86"/>
      <c r="AA1030" s="86"/>
      <c r="AB1030" s="86"/>
      <c r="AC1030" s="86"/>
      <c r="AD1030" s="86"/>
      <c r="AE1030" s="86"/>
      <c r="AF1030" s="86"/>
    </row>
    <row r="1031" spans="1:32">
      <c r="A1031" s="86"/>
      <c r="B1031" s="86"/>
      <c r="C1031" s="86"/>
      <c r="D1031" s="86"/>
      <c r="E1031" s="86"/>
      <c r="F1031" s="86"/>
      <c r="G1031" s="86"/>
      <c r="H1031" s="86"/>
      <c r="I1031" s="86"/>
      <c r="J1031" s="86"/>
      <c r="K1031" s="86"/>
      <c r="L1031" s="86"/>
      <c r="M1031" s="86"/>
      <c r="N1031" s="86"/>
      <c r="O1031" s="86"/>
      <c r="P1031" s="86"/>
      <c r="Q1031" s="86"/>
      <c r="R1031" s="86"/>
      <c r="S1031" s="86"/>
      <c r="T1031" s="86"/>
      <c r="U1031" s="86"/>
      <c r="V1031" s="86"/>
      <c r="W1031" s="86"/>
      <c r="X1031" s="86"/>
      <c r="Y1031" s="86"/>
      <c r="Z1031" s="86"/>
      <c r="AA1031" s="86"/>
      <c r="AB1031" s="86"/>
      <c r="AC1031" s="86"/>
      <c r="AD1031" s="86"/>
      <c r="AE1031" s="86"/>
      <c r="AF1031" s="86"/>
    </row>
    <row r="1032" spans="1:32">
      <c r="A1032" s="86"/>
      <c r="B1032" s="86"/>
      <c r="C1032" s="86"/>
      <c r="D1032" s="86"/>
      <c r="E1032" s="86"/>
      <c r="F1032" s="86"/>
      <c r="G1032" s="86"/>
      <c r="H1032" s="86"/>
      <c r="I1032" s="86"/>
      <c r="J1032" s="86"/>
      <c r="K1032" s="86"/>
      <c r="L1032" s="86"/>
      <c r="M1032" s="86"/>
      <c r="N1032" s="86"/>
      <c r="O1032" s="86"/>
      <c r="P1032" s="86"/>
      <c r="Q1032" s="86"/>
      <c r="R1032" s="86"/>
      <c r="S1032" s="86"/>
      <c r="T1032" s="86"/>
      <c r="U1032" s="86"/>
      <c r="V1032" s="86"/>
      <c r="W1032" s="86"/>
      <c r="X1032" s="86"/>
      <c r="Y1032" s="86"/>
      <c r="Z1032" s="86"/>
      <c r="AA1032" s="86"/>
      <c r="AB1032" s="86"/>
      <c r="AC1032" s="86"/>
      <c r="AD1032" s="86"/>
      <c r="AE1032" s="86"/>
      <c r="AF1032" s="86"/>
    </row>
    <row r="1033" spans="1:32">
      <c r="A1033" s="86"/>
      <c r="B1033" s="86"/>
      <c r="C1033" s="86"/>
      <c r="D1033" s="86"/>
      <c r="E1033" s="86"/>
      <c r="F1033" s="86"/>
      <c r="G1033" s="86"/>
      <c r="H1033" s="86"/>
      <c r="I1033" s="86"/>
      <c r="J1033" s="86"/>
      <c r="K1033" s="86"/>
      <c r="L1033" s="86"/>
      <c r="M1033" s="86"/>
      <c r="N1033" s="86"/>
      <c r="O1033" s="86"/>
      <c r="P1033" s="86"/>
      <c r="Q1033" s="86"/>
      <c r="R1033" s="86"/>
      <c r="S1033" s="86"/>
      <c r="T1033" s="86"/>
      <c r="U1033" s="86"/>
      <c r="V1033" s="86"/>
      <c r="W1033" s="86"/>
      <c r="X1033" s="86"/>
      <c r="Y1033" s="86"/>
      <c r="Z1033" s="86"/>
      <c r="AA1033" s="86"/>
      <c r="AB1033" s="86"/>
      <c r="AC1033" s="86"/>
      <c r="AD1033" s="86"/>
      <c r="AE1033" s="86"/>
      <c r="AF1033" s="86"/>
    </row>
    <row r="1034" spans="1:32">
      <c r="A1034" s="86"/>
      <c r="B1034" s="86"/>
      <c r="C1034" s="86"/>
      <c r="D1034" s="86"/>
      <c r="E1034" s="86"/>
      <c r="F1034" s="86"/>
      <c r="G1034" s="86"/>
      <c r="H1034" s="86"/>
      <c r="I1034" s="86"/>
      <c r="J1034" s="86"/>
      <c r="K1034" s="86"/>
      <c r="L1034" s="86"/>
      <c r="M1034" s="86"/>
      <c r="N1034" s="86"/>
      <c r="O1034" s="86"/>
      <c r="P1034" s="86"/>
      <c r="Q1034" s="86"/>
      <c r="R1034" s="86"/>
      <c r="S1034" s="86"/>
      <c r="T1034" s="86"/>
      <c r="U1034" s="86"/>
      <c r="V1034" s="86"/>
      <c r="W1034" s="86"/>
      <c r="X1034" s="86"/>
      <c r="Y1034" s="86"/>
      <c r="Z1034" s="86"/>
      <c r="AA1034" s="86"/>
      <c r="AB1034" s="86"/>
      <c r="AC1034" s="86"/>
      <c r="AD1034" s="86"/>
      <c r="AE1034" s="86"/>
      <c r="AF1034" s="86"/>
    </row>
    <row r="1035" spans="1:32">
      <c r="A1035" s="86"/>
      <c r="B1035" s="86"/>
      <c r="C1035" s="86"/>
      <c r="D1035" s="86"/>
      <c r="E1035" s="86"/>
      <c r="F1035" s="86"/>
      <c r="G1035" s="86"/>
      <c r="H1035" s="86"/>
      <c r="I1035" s="86"/>
      <c r="J1035" s="86"/>
      <c r="K1035" s="86"/>
      <c r="L1035" s="86"/>
      <c r="M1035" s="86"/>
      <c r="N1035" s="86"/>
      <c r="O1035" s="86"/>
      <c r="P1035" s="86"/>
      <c r="Q1035" s="86"/>
      <c r="R1035" s="86"/>
      <c r="S1035" s="86"/>
      <c r="T1035" s="86"/>
      <c r="U1035" s="86"/>
      <c r="V1035" s="86"/>
      <c r="W1035" s="86"/>
      <c r="X1035" s="86"/>
      <c r="Y1035" s="86"/>
      <c r="Z1035" s="86"/>
      <c r="AA1035" s="86"/>
      <c r="AB1035" s="86"/>
      <c r="AC1035" s="86"/>
      <c r="AD1035" s="86"/>
      <c r="AE1035" s="86"/>
      <c r="AF1035" s="86"/>
    </row>
    <row r="1036" spans="1:32">
      <c r="A1036" s="86"/>
      <c r="B1036" s="86"/>
      <c r="C1036" s="86"/>
      <c r="D1036" s="86"/>
      <c r="E1036" s="86"/>
      <c r="F1036" s="86"/>
      <c r="G1036" s="86"/>
      <c r="H1036" s="86"/>
      <c r="I1036" s="86"/>
      <c r="J1036" s="86"/>
      <c r="K1036" s="86"/>
      <c r="L1036" s="86"/>
      <c r="M1036" s="86"/>
      <c r="N1036" s="86"/>
      <c r="O1036" s="86"/>
      <c r="P1036" s="86"/>
      <c r="Q1036" s="86"/>
      <c r="R1036" s="86"/>
      <c r="S1036" s="86"/>
      <c r="T1036" s="86"/>
      <c r="U1036" s="86"/>
      <c r="V1036" s="86"/>
      <c r="W1036" s="86"/>
      <c r="X1036" s="86"/>
      <c r="Y1036" s="86"/>
      <c r="Z1036" s="86"/>
      <c r="AA1036" s="86"/>
      <c r="AB1036" s="86"/>
      <c r="AC1036" s="86"/>
      <c r="AD1036" s="86"/>
      <c r="AE1036" s="86"/>
      <c r="AF1036" s="86"/>
    </row>
    <row r="1037" spans="1:32">
      <c r="A1037" s="86"/>
      <c r="B1037" s="86"/>
      <c r="C1037" s="86"/>
      <c r="D1037" s="86"/>
      <c r="E1037" s="86"/>
      <c r="F1037" s="86"/>
      <c r="G1037" s="86"/>
      <c r="H1037" s="86"/>
      <c r="I1037" s="86"/>
      <c r="J1037" s="86"/>
      <c r="K1037" s="86"/>
      <c r="L1037" s="86"/>
      <c r="M1037" s="86"/>
      <c r="N1037" s="86"/>
      <c r="O1037" s="86"/>
      <c r="P1037" s="86"/>
      <c r="Q1037" s="86"/>
      <c r="R1037" s="86"/>
      <c r="S1037" s="86"/>
      <c r="T1037" s="86"/>
      <c r="U1037" s="86"/>
      <c r="V1037" s="86"/>
      <c r="W1037" s="86"/>
      <c r="X1037" s="86"/>
      <c r="Y1037" s="86"/>
      <c r="Z1037" s="86"/>
      <c r="AA1037" s="86"/>
      <c r="AB1037" s="86"/>
      <c r="AC1037" s="86"/>
      <c r="AD1037" s="86"/>
      <c r="AE1037" s="86"/>
      <c r="AF1037" s="86"/>
    </row>
    <row r="1038" spans="1:32">
      <c r="A1038" s="86"/>
      <c r="B1038" s="86"/>
      <c r="C1038" s="86"/>
      <c r="D1038" s="86"/>
      <c r="E1038" s="86"/>
      <c r="F1038" s="86"/>
      <c r="G1038" s="86"/>
      <c r="H1038" s="86"/>
      <c r="I1038" s="86"/>
      <c r="J1038" s="86"/>
      <c r="K1038" s="86"/>
      <c r="L1038" s="86"/>
      <c r="M1038" s="86"/>
      <c r="N1038" s="86"/>
      <c r="O1038" s="86"/>
      <c r="P1038" s="86"/>
      <c r="Q1038" s="86"/>
      <c r="R1038" s="86"/>
      <c r="S1038" s="86"/>
      <c r="T1038" s="86"/>
      <c r="U1038" s="86"/>
      <c r="V1038" s="86"/>
      <c r="W1038" s="86"/>
      <c r="X1038" s="86"/>
      <c r="Y1038" s="86"/>
      <c r="Z1038" s="86"/>
      <c r="AA1038" s="86"/>
      <c r="AB1038" s="86"/>
      <c r="AC1038" s="86"/>
      <c r="AD1038" s="86"/>
      <c r="AE1038" s="86"/>
      <c r="AF1038" s="86"/>
    </row>
    <row r="1039" spans="1:32">
      <c r="A1039" s="86"/>
      <c r="B1039" s="86"/>
      <c r="C1039" s="86"/>
      <c r="D1039" s="86"/>
      <c r="E1039" s="86"/>
      <c r="F1039" s="86"/>
      <c r="G1039" s="86"/>
      <c r="H1039" s="86"/>
      <c r="I1039" s="86"/>
      <c r="J1039" s="86"/>
      <c r="K1039" s="86"/>
      <c r="L1039" s="86"/>
      <c r="M1039" s="86"/>
      <c r="N1039" s="86"/>
      <c r="O1039" s="86"/>
      <c r="P1039" s="86"/>
      <c r="Q1039" s="86"/>
      <c r="R1039" s="86"/>
      <c r="S1039" s="86"/>
      <c r="T1039" s="86"/>
      <c r="U1039" s="86"/>
      <c r="V1039" s="86"/>
      <c r="W1039" s="86"/>
      <c r="X1039" s="86"/>
      <c r="Y1039" s="86"/>
      <c r="Z1039" s="86"/>
      <c r="AA1039" s="86"/>
      <c r="AB1039" s="86"/>
      <c r="AC1039" s="86"/>
      <c r="AD1039" s="86"/>
      <c r="AE1039" s="86"/>
      <c r="AF1039" s="86"/>
    </row>
    <row r="1040" spans="1:32">
      <c r="A1040" s="86"/>
      <c r="B1040" s="86"/>
      <c r="C1040" s="86"/>
      <c r="D1040" s="86"/>
      <c r="E1040" s="86"/>
      <c r="F1040" s="86"/>
      <c r="G1040" s="86"/>
      <c r="H1040" s="86"/>
      <c r="I1040" s="86"/>
      <c r="J1040" s="86"/>
      <c r="K1040" s="86"/>
      <c r="L1040" s="86"/>
      <c r="M1040" s="86"/>
      <c r="N1040" s="86"/>
      <c r="O1040" s="86"/>
      <c r="P1040" s="86"/>
      <c r="Q1040" s="86"/>
      <c r="R1040" s="86"/>
      <c r="S1040" s="86"/>
      <c r="T1040" s="86"/>
      <c r="U1040" s="86"/>
      <c r="V1040" s="86"/>
      <c r="W1040" s="86"/>
      <c r="X1040" s="86"/>
      <c r="Y1040" s="86"/>
      <c r="Z1040" s="86"/>
      <c r="AA1040" s="86"/>
      <c r="AB1040" s="86"/>
      <c r="AC1040" s="86"/>
      <c r="AD1040" s="86"/>
      <c r="AE1040" s="86"/>
      <c r="AF1040" s="86"/>
    </row>
    <row r="1041" spans="1:32">
      <c r="A1041" s="86"/>
      <c r="B1041" s="86"/>
      <c r="C1041" s="86"/>
      <c r="D1041" s="86"/>
      <c r="E1041" s="86"/>
      <c r="F1041" s="86"/>
      <c r="G1041" s="86"/>
      <c r="H1041" s="86"/>
      <c r="I1041" s="86"/>
      <c r="J1041" s="86"/>
      <c r="K1041" s="86"/>
      <c r="L1041" s="86"/>
      <c r="M1041" s="86"/>
      <c r="N1041" s="86"/>
      <c r="O1041" s="86"/>
      <c r="P1041" s="86"/>
      <c r="Q1041" s="86"/>
      <c r="R1041" s="86"/>
      <c r="S1041" s="86"/>
      <c r="T1041" s="86"/>
      <c r="U1041" s="86"/>
      <c r="V1041" s="86"/>
      <c r="W1041" s="86"/>
      <c r="X1041" s="86"/>
      <c r="Y1041" s="86"/>
      <c r="Z1041" s="86"/>
      <c r="AA1041" s="86"/>
      <c r="AB1041" s="86"/>
      <c r="AC1041" s="86"/>
      <c r="AD1041" s="86"/>
      <c r="AE1041" s="86"/>
      <c r="AF1041" s="86"/>
    </row>
    <row r="1042" spans="1:32">
      <c r="A1042" s="86"/>
      <c r="B1042" s="86"/>
      <c r="C1042" s="86"/>
      <c r="D1042" s="86"/>
      <c r="E1042" s="86"/>
      <c r="F1042" s="86"/>
      <c r="G1042" s="86"/>
      <c r="H1042" s="86"/>
      <c r="I1042" s="86"/>
      <c r="J1042" s="86"/>
      <c r="K1042" s="86"/>
      <c r="L1042" s="86"/>
      <c r="M1042" s="86"/>
      <c r="N1042" s="86"/>
      <c r="O1042" s="86"/>
      <c r="P1042" s="86"/>
      <c r="Q1042" s="86"/>
      <c r="R1042" s="86"/>
      <c r="S1042" s="86"/>
      <c r="T1042" s="86"/>
      <c r="U1042" s="86"/>
      <c r="V1042" s="86"/>
      <c r="W1042" s="86"/>
      <c r="X1042" s="86"/>
      <c r="Y1042" s="86"/>
      <c r="Z1042" s="86"/>
      <c r="AA1042" s="86"/>
      <c r="AB1042" s="86"/>
      <c r="AC1042" s="86"/>
      <c r="AD1042" s="86"/>
      <c r="AE1042" s="86"/>
      <c r="AF1042" s="86"/>
    </row>
    <row r="1043" spans="1:32">
      <c r="A1043" s="86"/>
      <c r="B1043" s="86"/>
      <c r="C1043" s="86"/>
      <c r="D1043" s="86"/>
      <c r="E1043" s="86"/>
      <c r="F1043" s="86"/>
      <c r="G1043" s="86"/>
      <c r="H1043" s="86"/>
      <c r="I1043" s="86"/>
      <c r="J1043" s="86"/>
      <c r="K1043" s="86"/>
      <c r="L1043" s="86"/>
      <c r="M1043" s="86"/>
      <c r="N1043" s="86"/>
      <c r="O1043" s="86"/>
      <c r="P1043" s="86"/>
      <c r="Q1043" s="86"/>
      <c r="R1043" s="86"/>
      <c r="S1043" s="86"/>
      <c r="T1043" s="86"/>
      <c r="U1043" s="86"/>
      <c r="V1043" s="86"/>
      <c r="W1043" s="86"/>
      <c r="X1043" s="86"/>
      <c r="Y1043" s="86"/>
      <c r="Z1043" s="86"/>
      <c r="AA1043" s="86"/>
      <c r="AB1043" s="86"/>
      <c r="AC1043" s="86"/>
      <c r="AD1043" s="86"/>
      <c r="AE1043" s="86"/>
      <c r="AF1043" s="86"/>
    </row>
    <row r="1044" spans="1:32">
      <c r="A1044" s="86"/>
      <c r="B1044" s="86"/>
      <c r="C1044" s="86"/>
      <c r="D1044" s="86"/>
      <c r="E1044" s="86"/>
      <c r="F1044" s="86"/>
      <c r="G1044" s="86"/>
      <c r="H1044" s="86"/>
      <c r="I1044" s="86"/>
      <c r="J1044" s="86"/>
      <c r="K1044" s="86"/>
      <c r="L1044" s="86"/>
      <c r="M1044" s="86"/>
      <c r="N1044" s="86"/>
      <c r="O1044" s="86"/>
      <c r="P1044" s="86"/>
      <c r="Q1044" s="86"/>
      <c r="R1044" s="86"/>
      <c r="S1044" s="86"/>
      <c r="T1044" s="86"/>
      <c r="U1044" s="86"/>
      <c r="V1044" s="86"/>
      <c r="W1044" s="86"/>
      <c r="X1044" s="86"/>
      <c r="Y1044" s="86"/>
      <c r="Z1044" s="86"/>
      <c r="AA1044" s="86"/>
      <c r="AB1044" s="86"/>
      <c r="AC1044" s="86"/>
      <c r="AD1044" s="86"/>
      <c r="AE1044" s="86"/>
      <c r="AF1044" s="86"/>
    </row>
    <row r="1045" spans="1:32">
      <c r="A1045" s="86"/>
      <c r="B1045" s="86"/>
      <c r="C1045" s="86"/>
      <c r="D1045" s="86"/>
      <c r="E1045" s="86"/>
      <c r="F1045" s="86"/>
      <c r="G1045" s="86"/>
      <c r="H1045" s="86"/>
      <c r="I1045" s="86"/>
      <c r="J1045" s="86"/>
      <c r="K1045" s="86"/>
      <c r="L1045" s="86"/>
      <c r="M1045" s="86"/>
      <c r="N1045" s="86"/>
      <c r="O1045" s="86"/>
      <c r="P1045" s="86"/>
      <c r="Q1045" s="86"/>
      <c r="R1045" s="86"/>
      <c r="S1045" s="86"/>
      <c r="T1045" s="86"/>
      <c r="U1045" s="86"/>
      <c r="V1045" s="86"/>
      <c r="W1045" s="86"/>
      <c r="X1045" s="86"/>
      <c r="Y1045" s="86"/>
      <c r="Z1045" s="86"/>
      <c r="AA1045" s="86"/>
      <c r="AB1045" s="86"/>
      <c r="AC1045" s="86"/>
      <c r="AD1045" s="86"/>
      <c r="AE1045" s="86"/>
      <c r="AF1045" s="86"/>
    </row>
    <row r="1046" spans="1:32">
      <c r="A1046" s="86"/>
      <c r="B1046" s="86"/>
      <c r="C1046" s="86"/>
      <c r="D1046" s="86"/>
      <c r="E1046" s="86"/>
      <c r="F1046" s="86"/>
      <c r="G1046" s="86"/>
      <c r="H1046" s="86"/>
      <c r="I1046" s="86"/>
      <c r="J1046" s="86"/>
      <c r="K1046" s="86"/>
      <c r="L1046" s="86"/>
      <c r="M1046" s="86"/>
      <c r="N1046" s="86"/>
      <c r="O1046" s="86"/>
      <c r="P1046" s="86"/>
      <c r="Q1046" s="86"/>
      <c r="R1046" s="86"/>
      <c r="S1046" s="86"/>
      <c r="T1046" s="86"/>
      <c r="U1046" s="86"/>
      <c r="V1046" s="86"/>
      <c r="W1046" s="86"/>
      <c r="X1046" s="86"/>
      <c r="Y1046" s="86"/>
      <c r="Z1046" s="86"/>
      <c r="AA1046" s="86"/>
      <c r="AB1046" s="86"/>
      <c r="AC1046" s="86"/>
      <c r="AD1046" s="86"/>
      <c r="AE1046" s="86"/>
      <c r="AF1046" s="86"/>
    </row>
    <row r="1047" spans="1:32">
      <c r="A1047" s="86"/>
      <c r="B1047" s="86"/>
      <c r="C1047" s="86"/>
      <c r="D1047" s="86"/>
      <c r="E1047" s="86"/>
      <c r="F1047" s="86"/>
      <c r="G1047" s="86"/>
      <c r="H1047" s="86"/>
      <c r="I1047" s="86"/>
      <c r="J1047" s="86"/>
      <c r="K1047" s="86"/>
      <c r="L1047" s="86"/>
      <c r="M1047" s="86"/>
      <c r="N1047" s="86"/>
      <c r="O1047" s="86"/>
      <c r="P1047" s="86"/>
      <c r="Q1047" s="86"/>
      <c r="R1047" s="86"/>
      <c r="S1047" s="86"/>
      <c r="T1047" s="86"/>
      <c r="U1047" s="86"/>
      <c r="V1047" s="86"/>
      <c r="W1047" s="86"/>
      <c r="X1047" s="86"/>
      <c r="Y1047" s="86"/>
      <c r="Z1047" s="86"/>
      <c r="AA1047" s="86"/>
      <c r="AB1047" s="86"/>
      <c r="AC1047" s="86"/>
      <c r="AD1047" s="86"/>
      <c r="AE1047" s="86"/>
      <c r="AF1047" s="86"/>
    </row>
    <row r="1048" spans="1:32">
      <c r="A1048" s="86"/>
      <c r="B1048" s="86"/>
      <c r="C1048" s="86"/>
      <c r="D1048" s="86"/>
      <c r="E1048" s="86"/>
      <c r="F1048" s="86"/>
      <c r="G1048" s="86"/>
      <c r="H1048" s="86"/>
      <c r="I1048" s="86"/>
      <c r="J1048" s="86"/>
      <c r="K1048" s="86"/>
      <c r="L1048" s="86"/>
      <c r="M1048" s="86"/>
      <c r="N1048" s="86"/>
      <c r="O1048" s="86"/>
      <c r="P1048" s="86"/>
      <c r="Q1048" s="86"/>
      <c r="R1048" s="86"/>
      <c r="S1048" s="86"/>
      <c r="T1048" s="86"/>
      <c r="U1048" s="86"/>
      <c r="V1048" s="86"/>
      <c r="W1048" s="86"/>
      <c r="X1048" s="86"/>
      <c r="Y1048" s="86"/>
      <c r="Z1048" s="86"/>
      <c r="AA1048" s="86"/>
      <c r="AB1048" s="86"/>
      <c r="AC1048" s="86"/>
      <c r="AD1048" s="86"/>
      <c r="AE1048" s="86"/>
      <c r="AF1048" s="86"/>
    </row>
    <row r="1049" spans="1:32">
      <c r="A1049" s="86"/>
      <c r="B1049" s="86"/>
      <c r="C1049" s="86"/>
      <c r="D1049" s="86"/>
      <c r="E1049" s="86"/>
      <c r="F1049" s="86"/>
      <c r="G1049" s="86"/>
      <c r="H1049" s="86"/>
      <c r="I1049" s="86"/>
      <c r="J1049" s="86"/>
      <c r="K1049" s="86"/>
      <c r="L1049" s="86"/>
      <c r="M1049" s="86"/>
      <c r="N1049" s="86"/>
      <c r="O1049" s="86"/>
      <c r="P1049" s="86"/>
      <c r="Q1049" s="86"/>
      <c r="R1049" s="86"/>
      <c r="S1049" s="86"/>
      <c r="T1049" s="86"/>
      <c r="U1049" s="86"/>
      <c r="V1049" s="86"/>
      <c r="W1049" s="86"/>
      <c r="X1049" s="86"/>
      <c r="Y1049" s="86"/>
      <c r="Z1049" s="86"/>
      <c r="AA1049" s="86"/>
      <c r="AB1049" s="86"/>
      <c r="AC1049" s="86"/>
      <c r="AD1049" s="86"/>
      <c r="AE1049" s="86"/>
      <c r="AF1049" s="86"/>
    </row>
    <row r="1050" spans="1:32">
      <c r="A1050" s="86"/>
      <c r="B1050" s="86"/>
      <c r="C1050" s="86"/>
      <c r="D1050" s="86"/>
      <c r="E1050" s="86"/>
      <c r="F1050" s="86"/>
      <c r="G1050" s="86"/>
      <c r="H1050" s="86"/>
      <c r="I1050" s="86"/>
      <c r="J1050" s="86"/>
      <c r="K1050" s="86"/>
      <c r="L1050" s="86"/>
      <c r="M1050" s="86"/>
      <c r="N1050" s="86"/>
      <c r="O1050" s="86"/>
      <c r="P1050" s="86"/>
      <c r="Q1050" s="86"/>
      <c r="R1050" s="86"/>
      <c r="S1050" s="86"/>
      <c r="T1050" s="86"/>
      <c r="U1050" s="86"/>
      <c r="V1050" s="86"/>
      <c r="W1050" s="86"/>
      <c r="X1050" s="86"/>
      <c r="Y1050" s="86"/>
      <c r="Z1050" s="86"/>
      <c r="AA1050" s="86"/>
      <c r="AB1050" s="86"/>
      <c r="AC1050" s="86"/>
      <c r="AD1050" s="86"/>
      <c r="AE1050" s="86"/>
      <c r="AF1050" s="86"/>
    </row>
    <row r="1051" spans="1:32">
      <c r="A1051" s="86"/>
      <c r="B1051" s="86"/>
      <c r="C1051" s="86"/>
      <c r="D1051" s="86"/>
      <c r="E1051" s="86"/>
      <c r="F1051" s="86"/>
      <c r="G1051" s="86"/>
      <c r="H1051" s="86"/>
      <c r="I1051" s="86"/>
      <c r="J1051" s="86"/>
      <c r="K1051" s="86"/>
      <c r="L1051" s="86"/>
      <c r="M1051" s="86"/>
      <c r="N1051" s="86"/>
      <c r="O1051" s="86"/>
      <c r="P1051" s="86"/>
      <c r="Q1051" s="86"/>
      <c r="R1051" s="86"/>
      <c r="S1051" s="86"/>
      <c r="T1051" s="86"/>
      <c r="U1051" s="86"/>
      <c r="V1051" s="86"/>
      <c r="W1051" s="86"/>
      <c r="X1051" s="86"/>
      <c r="Y1051" s="86"/>
      <c r="Z1051" s="86"/>
      <c r="AA1051" s="86"/>
      <c r="AB1051" s="86"/>
      <c r="AC1051" s="86"/>
      <c r="AD1051" s="86"/>
      <c r="AE1051" s="86"/>
      <c r="AF1051" s="86"/>
    </row>
    <row r="1052" spans="1:32">
      <c r="A1052" s="86"/>
      <c r="B1052" s="86"/>
      <c r="C1052" s="86"/>
      <c r="D1052" s="86"/>
      <c r="E1052" s="86"/>
      <c r="F1052" s="86"/>
      <c r="G1052" s="86"/>
      <c r="H1052" s="86"/>
      <c r="I1052" s="86"/>
      <c r="J1052" s="86"/>
      <c r="K1052" s="86"/>
      <c r="L1052" s="86"/>
      <c r="M1052" s="86"/>
      <c r="N1052" s="86"/>
      <c r="O1052" s="86"/>
      <c r="P1052" s="86"/>
      <c r="Q1052" s="86"/>
      <c r="R1052" s="86"/>
      <c r="S1052" s="86"/>
      <c r="T1052" s="86"/>
      <c r="U1052" s="86"/>
      <c r="V1052" s="86"/>
      <c r="W1052" s="86"/>
      <c r="X1052" s="86"/>
      <c r="Y1052" s="86"/>
      <c r="Z1052" s="86"/>
      <c r="AA1052" s="86"/>
      <c r="AB1052" s="86"/>
      <c r="AC1052" s="86"/>
      <c r="AD1052" s="86"/>
      <c r="AE1052" s="86"/>
      <c r="AF1052" s="86"/>
    </row>
    <row r="1053" spans="1:32">
      <c r="A1053" s="86"/>
      <c r="B1053" s="86"/>
      <c r="C1053" s="86"/>
      <c r="D1053" s="86"/>
      <c r="E1053" s="86"/>
      <c r="F1053" s="86"/>
      <c r="G1053" s="86"/>
      <c r="H1053" s="86"/>
      <c r="I1053" s="86"/>
      <c r="J1053" s="86"/>
      <c r="K1053" s="86"/>
      <c r="L1053" s="86"/>
      <c r="M1053" s="86"/>
      <c r="N1053" s="86"/>
      <c r="O1053" s="86"/>
      <c r="P1053" s="86"/>
      <c r="Q1053" s="86"/>
      <c r="R1053" s="86"/>
      <c r="S1053" s="86"/>
      <c r="T1053" s="86"/>
      <c r="U1053" s="86"/>
      <c r="V1053" s="86"/>
      <c r="W1053" s="86"/>
      <c r="X1053" s="86"/>
      <c r="Y1053" s="86"/>
      <c r="Z1053" s="86"/>
      <c r="AA1053" s="86"/>
      <c r="AB1053" s="86"/>
      <c r="AC1053" s="86"/>
      <c r="AD1053" s="86"/>
      <c r="AE1053" s="86"/>
      <c r="AF1053" s="86"/>
    </row>
    <row r="1054" spans="1:32">
      <c r="A1054" s="86"/>
      <c r="B1054" s="86"/>
      <c r="C1054" s="86"/>
      <c r="D1054" s="86"/>
      <c r="E1054" s="86"/>
      <c r="F1054" s="86"/>
      <c r="G1054" s="86"/>
      <c r="H1054" s="86"/>
      <c r="I1054" s="86"/>
      <c r="J1054" s="86"/>
      <c r="K1054" s="86"/>
      <c r="L1054" s="86"/>
      <c r="M1054" s="86"/>
      <c r="N1054" s="86"/>
      <c r="O1054" s="86"/>
      <c r="P1054" s="86"/>
      <c r="Q1054" s="86"/>
      <c r="R1054" s="86"/>
      <c r="S1054" s="86"/>
      <c r="T1054" s="86"/>
      <c r="U1054" s="86"/>
      <c r="V1054" s="86"/>
      <c r="W1054" s="86"/>
      <c r="X1054" s="86"/>
      <c r="Y1054" s="86"/>
      <c r="Z1054" s="86"/>
      <c r="AA1054" s="86"/>
      <c r="AB1054" s="86"/>
      <c r="AC1054" s="86"/>
      <c r="AD1054" s="86"/>
      <c r="AE1054" s="86"/>
      <c r="AF1054" s="86"/>
    </row>
    <row r="1055" spans="1:32">
      <c r="A1055" s="86"/>
      <c r="B1055" s="86"/>
      <c r="C1055" s="86"/>
      <c r="D1055" s="86"/>
      <c r="E1055" s="86"/>
      <c r="F1055" s="86"/>
      <c r="G1055" s="86"/>
      <c r="H1055" s="86"/>
      <c r="I1055" s="86"/>
      <c r="J1055" s="86"/>
      <c r="K1055" s="86"/>
      <c r="L1055" s="86"/>
      <c r="M1055" s="86"/>
      <c r="N1055" s="86"/>
      <c r="O1055" s="86"/>
      <c r="P1055" s="86"/>
      <c r="Q1055" s="86"/>
      <c r="R1055" s="86"/>
      <c r="S1055" s="86"/>
      <c r="T1055" s="86"/>
      <c r="U1055" s="86"/>
      <c r="V1055" s="86"/>
      <c r="W1055" s="86"/>
      <c r="X1055" s="86"/>
      <c r="Y1055" s="86"/>
      <c r="Z1055" s="86"/>
      <c r="AA1055" s="86"/>
      <c r="AB1055" s="86"/>
      <c r="AC1055" s="86"/>
      <c r="AD1055" s="86"/>
      <c r="AE1055" s="86"/>
      <c r="AF1055" s="86"/>
    </row>
    <row r="1056" spans="1:32">
      <c r="A1056" s="86"/>
      <c r="B1056" s="86"/>
      <c r="C1056" s="86"/>
      <c r="D1056" s="86"/>
      <c r="E1056" s="86"/>
      <c r="F1056" s="86"/>
      <c r="G1056" s="86"/>
      <c r="H1056" s="86"/>
      <c r="I1056" s="86"/>
      <c r="J1056" s="86"/>
      <c r="K1056" s="86"/>
      <c r="L1056" s="86"/>
      <c r="M1056" s="86"/>
      <c r="N1056" s="86"/>
      <c r="O1056" s="86"/>
      <c r="P1056" s="86"/>
      <c r="Q1056" s="86"/>
      <c r="R1056" s="86"/>
      <c r="S1056" s="86"/>
      <c r="T1056" s="86"/>
      <c r="U1056" s="86"/>
      <c r="V1056" s="86"/>
      <c r="W1056" s="86"/>
      <c r="X1056" s="86"/>
      <c r="Y1056" s="86"/>
      <c r="Z1056" s="86"/>
      <c r="AA1056" s="86"/>
      <c r="AB1056" s="86"/>
      <c r="AC1056" s="86"/>
      <c r="AD1056" s="86"/>
      <c r="AE1056" s="86"/>
      <c r="AF1056" s="86"/>
    </row>
    <row r="1057" spans="1:32">
      <c r="A1057" s="86"/>
      <c r="B1057" s="86"/>
      <c r="C1057" s="86"/>
      <c r="D1057" s="86"/>
      <c r="E1057" s="86"/>
      <c r="F1057" s="86"/>
      <c r="G1057" s="86"/>
      <c r="H1057" s="86"/>
      <c r="I1057" s="86"/>
      <c r="J1057" s="86"/>
      <c r="K1057" s="86"/>
      <c r="L1057" s="86"/>
      <c r="M1057" s="86"/>
      <c r="N1057" s="86"/>
      <c r="O1057" s="86"/>
      <c r="P1057" s="86"/>
      <c r="Q1057" s="86"/>
      <c r="R1057" s="86"/>
      <c r="S1057" s="86"/>
      <c r="T1057" s="86"/>
      <c r="U1057" s="86"/>
      <c r="V1057" s="86"/>
      <c r="W1057" s="86"/>
      <c r="X1057" s="86"/>
      <c r="Y1057" s="86"/>
      <c r="Z1057" s="86"/>
      <c r="AA1057" s="86"/>
      <c r="AB1057" s="86"/>
      <c r="AC1057" s="86"/>
      <c r="AD1057" s="86"/>
      <c r="AE1057" s="86"/>
      <c r="AF1057" s="86"/>
    </row>
    <row r="1058" spans="1:32">
      <c r="A1058" s="86"/>
      <c r="B1058" s="86"/>
      <c r="C1058" s="86"/>
      <c r="D1058" s="86"/>
      <c r="E1058" s="86"/>
      <c r="F1058" s="86"/>
      <c r="G1058" s="86"/>
      <c r="H1058" s="86"/>
      <c r="I1058" s="86"/>
      <c r="J1058" s="86"/>
      <c r="K1058" s="86"/>
      <c r="L1058" s="86"/>
      <c r="M1058" s="86"/>
      <c r="N1058" s="86"/>
      <c r="O1058" s="86"/>
      <c r="P1058" s="86"/>
      <c r="Q1058" s="86"/>
      <c r="R1058" s="86"/>
      <c r="S1058" s="86"/>
      <c r="T1058" s="86"/>
      <c r="U1058" s="86"/>
      <c r="V1058" s="86"/>
      <c r="W1058" s="86"/>
      <c r="X1058" s="86"/>
      <c r="Y1058" s="86"/>
      <c r="Z1058" s="86"/>
      <c r="AA1058" s="86"/>
      <c r="AB1058" s="86"/>
      <c r="AC1058" s="86"/>
      <c r="AD1058" s="86"/>
      <c r="AE1058" s="86"/>
      <c r="AF1058" s="86"/>
    </row>
    <row r="1059" spans="1:32">
      <c r="A1059" s="86"/>
      <c r="B1059" s="86"/>
      <c r="C1059" s="86"/>
      <c r="D1059" s="86"/>
      <c r="E1059" s="86"/>
      <c r="F1059" s="86"/>
      <c r="G1059" s="86"/>
      <c r="H1059" s="86"/>
      <c r="I1059" s="86"/>
      <c r="J1059" s="86"/>
      <c r="K1059" s="86"/>
      <c r="L1059" s="86"/>
      <c r="M1059" s="86"/>
      <c r="N1059" s="86"/>
      <c r="O1059" s="86"/>
      <c r="P1059" s="86"/>
      <c r="Q1059" s="86"/>
      <c r="R1059" s="86"/>
      <c r="S1059" s="86"/>
      <c r="T1059" s="86"/>
      <c r="U1059" s="86"/>
      <c r="V1059" s="86"/>
      <c r="W1059" s="86"/>
      <c r="X1059" s="86"/>
      <c r="Y1059" s="86"/>
      <c r="Z1059" s="86"/>
      <c r="AA1059" s="86"/>
      <c r="AB1059" s="86"/>
      <c r="AC1059" s="86"/>
      <c r="AD1059" s="86"/>
      <c r="AE1059" s="86"/>
      <c r="AF1059" s="86"/>
    </row>
    <row r="1060" spans="1:32">
      <c r="A1060" s="86"/>
      <c r="B1060" s="86"/>
      <c r="C1060" s="86"/>
      <c r="D1060" s="86"/>
      <c r="E1060" s="86"/>
      <c r="F1060" s="86"/>
      <c r="G1060" s="86"/>
      <c r="H1060" s="86"/>
      <c r="I1060" s="86"/>
      <c r="J1060" s="86"/>
      <c r="K1060" s="86"/>
      <c r="L1060" s="86"/>
      <c r="M1060" s="86"/>
      <c r="N1060" s="86"/>
      <c r="O1060" s="86"/>
      <c r="P1060" s="86"/>
      <c r="Q1060" s="86"/>
      <c r="R1060" s="86"/>
      <c r="S1060" s="86"/>
      <c r="T1060" s="86"/>
      <c r="U1060" s="86"/>
      <c r="V1060" s="86"/>
      <c r="W1060" s="86"/>
      <c r="X1060" s="86"/>
      <c r="Y1060" s="86"/>
      <c r="Z1060" s="86"/>
      <c r="AA1060" s="86"/>
      <c r="AB1060" s="86"/>
      <c r="AC1060" s="86"/>
      <c r="AD1060" s="86"/>
      <c r="AE1060" s="86"/>
      <c r="AF1060" s="86"/>
    </row>
    <row r="1061" spans="1:32">
      <c r="A1061" s="86"/>
      <c r="B1061" s="86"/>
      <c r="C1061" s="86"/>
      <c r="D1061" s="86"/>
      <c r="E1061" s="86"/>
      <c r="F1061" s="86"/>
      <c r="G1061" s="86"/>
      <c r="H1061" s="86"/>
      <c r="I1061" s="86"/>
      <c r="J1061" s="86"/>
      <c r="K1061" s="86"/>
      <c r="L1061" s="86"/>
      <c r="M1061" s="86"/>
      <c r="N1061" s="86"/>
      <c r="O1061" s="86"/>
      <c r="P1061" s="86"/>
      <c r="Q1061" s="86"/>
      <c r="R1061" s="86"/>
      <c r="S1061" s="86"/>
      <c r="T1061" s="86"/>
      <c r="U1061" s="86"/>
      <c r="V1061" s="86"/>
      <c r="W1061" s="86"/>
      <c r="X1061" s="86"/>
      <c r="Y1061" s="86"/>
      <c r="Z1061" s="86"/>
      <c r="AA1061" s="86"/>
      <c r="AB1061" s="86"/>
      <c r="AC1061" s="86"/>
      <c r="AD1061" s="86"/>
      <c r="AE1061" s="86"/>
      <c r="AF1061" s="86"/>
    </row>
    <row r="1062" spans="1:32">
      <c r="A1062" s="86"/>
      <c r="B1062" s="86"/>
      <c r="C1062" s="86"/>
      <c r="D1062" s="86"/>
      <c r="E1062" s="86"/>
      <c r="F1062" s="86"/>
      <c r="G1062" s="86"/>
      <c r="H1062" s="86"/>
      <c r="I1062" s="86"/>
      <c r="J1062" s="86"/>
      <c r="K1062" s="86"/>
      <c r="L1062" s="86"/>
      <c r="M1062" s="86"/>
      <c r="N1062" s="86"/>
      <c r="O1062" s="86"/>
      <c r="P1062" s="86"/>
      <c r="Q1062" s="86"/>
      <c r="R1062" s="86"/>
      <c r="S1062" s="86"/>
      <c r="T1062" s="86"/>
      <c r="U1062" s="86"/>
      <c r="V1062" s="86"/>
      <c r="W1062" s="86"/>
      <c r="X1062" s="86"/>
      <c r="Y1062" s="86"/>
      <c r="Z1062" s="86"/>
      <c r="AA1062" s="86"/>
      <c r="AB1062" s="86"/>
      <c r="AC1062" s="86"/>
      <c r="AD1062" s="86"/>
      <c r="AE1062" s="86"/>
      <c r="AF1062" s="86"/>
    </row>
    <row r="1063" spans="1:32">
      <c r="A1063" s="86"/>
      <c r="B1063" s="86"/>
      <c r="C1063" s="86"/>
      <c r="D1063" s="86"/>
      <c r="E1063" s="86"/>
      <c r="F1063" s="86"/>
      <c r="G1063" s="86"/>
      <c r="H1063" s="86"/>
      <c r="I1063" s="86"/>
      <c r="J1063" s="86"/>
      <c r="K1063" s="86"/>
      <c r="L1063" s="86"/>
      <c r="M1063" s="86"/>
      <c r="N1063" s="86"/>
      <c r="O1063" s="86"/>
      <c r="P1063" s="86"/>
      <c r="Q1063" s="86"/>
      <c r="R1063" s="86"/>
      <c r="S1063" s="86"/>
      <c r="T1063" s="86"/>
      <c r="U1063" s="86"/>
      <c r="V1063" s="86"/>
      <c r="W1063" s="86"/>
      <c r="X1063" s="86"/>
      <c r="Y1063" s="86"/>
      <c r="Z1063" s="86"/>
      <c r="AA1063" s="86"/>
      <c r="AB1063" s="86"/>
      <c r="AC1063" s="86"/>
      <c r="AD1063" s="86"/>
      <c r="AE1063" s="86"/>
      <c r="AF1063" s="86"/>
    </row>
    <row r="1064" spans="1:32">
      <c r="A1064" s="86"/>
      <c r="B1064" s="86"/>
      <c r="C1064" s="86"/>
      <c r="D1064" s="86"/>
      <c r="E1064" s="86"/>
      <c r="F1064" s="86"/>
      <c r="G1064" s="86"/>
      <c r="H1064" s="86"/>
      <c r="I1064" s="86"/>
      <c r="J1064" s="86"/>
      <c r="K1064" s="86"/>
      <c r="L1064" s="86"/>
      <c r="M1064" s="86"/>
      <c r="N1064" s="86"/>
      <c r="O1064" s="86"/>
      <c r="P1064" s="86"/>
      <c r="Q1064" s="86"/>
      <c r="R1064" s="86"/>
      <c r="S1064" s="86"/>
      <c r="T1064" s="86"/>
      <c r="U1064" s="86"/>
      <c r="V1064" s="86"/>
      <c r="W1064" s="86"/>
      <c r="X1064" s="86"/>
      <c r="Y1064" s="86"/>
      <c r="Z1064" s="86"/>
      <c r="AA1064" s="86"/>
      <c r="AB1064" s="86"/>
      <c r="AC1064" s="86"/>
      <c r="AD1064" s="86"/>
      <c r="AE1064" s="86"/>
      <c r="AF1064" s="86"/>
    </row>
    <row r="1065" spans="1:32">
      <c r="A1065" s="86"/>
      <c r="B1065" s="86"/>
      <c r="C1065" s="86"/>
      <c r="D1065" s="86"/>
      <c r="E1065" s="86"/>
      <c r="F1065" s="86"/>
      <c r="G1065" s="86"/>
      <c r="H1065" s="86"/>
      <c r="I1065" s="86"/>
      <c r="J1065" s="86"/>
      <c r="K1065" s="86"/>
      <c r="L1065" s="86"/>
      <c r="M1065" s="86"/>
      <c r="N1065" s="86"/>
      <c r="O1065" s="86"/>
      <c r="P1065" s="86"/>
      <c r="Q1065" s="86"/>
      <c r="R1065" s="86"/>
      <c r="S1065" s="86"/>
      <c r="T1065" s="86"/>
      <c r="U1065" s="86"/>
      <c r="V1065" s="86"/>
      <c r="W1065" s="86"/>
      <c r="X1065" s="86"/>
      <c r="Y1065" s="86"/>
      <c r="Z1065" s="86"/>
      <c r="AA1065" s="86"/>
      <c r="AB1065" s="86"/>
      <c r="AC1065" s="86"/>
      <c r="AD1065" s="86"/>
      <c r="AE1065" s="86"/>
      <c r="AF1065" s="86"/>
    </row>
    <row r="1066" spans="1:32">
      <c r="A1066" s="86"/>
      <c r="B1066" s="86"/>
      <c r="C1066" s="86"/>
      <c r="D1066" s="86"/>
      <c r="E1066" s="86"/>
      <c r="F1066" s="86"/>
      <c r="G1066" s="86"/>
      <c r="H1066" s="86"/>
      <c r="I1066" s="86"/>
      <c r="J1066" s="86"/>
      <c r="K1066" s="86"/>
      <c r="L1066" s="86"/>
      <c r="M1066" s="86"/>
      <c r="N1066" s="86"/>
      <c r="O1066" s="86"/>
      <c r="P1066" s="86"/>
      <c r="Q1066" s="86"/>
      <c r="R1066" s="86"/>
      <c r="S1066" s="86"/>
      <c r="T1066" s="86"/>
      <c r="U1066" s="86"/>
      <c r="V1066" s="86"/>
      <c r="W1066" s="86"/>
      <c r="X1066" s="86"/>
      <c r="Y1066" s="86"/>
      <c r="Z1066" s="86"/>
      <c r="AA1066" s="86"/>
      <c r="AB1066" s="86"/>
      <c r="AC1066" s="86"/>
      <c r="AD1066" s="86"/>
      <c r="AE1066" s="86"/>
      <c r="AF1066" s="86"/>
    </row>
    <row r="1067" spans="1:32">
      <c r="A1067" s="86"/>
      <c r="B1067" s="86"/>
      <c r="C1067" s="86"/>
      <c r="D1067" s="86"/>
      <c r="E1067" s="86"/>
      <c r="F1067" s="86"/>
      <c r="G1067" s="86"/>
      <c r="H1067" s="86"/>
      <c r="I1067" s="86"/>
      <c r="J1067" s="86"/>
      <c r="K1067" s="86"/>
      <c r="L1067" s="86"/>
      <c r="M1067" s="86"/>
      <c r="N1067" s="86"/>
      <c r="O1067" s="86"/>
      <c r="P1067" s="86"/>
      <c r="Q1067" s="86"/>
      <c r="R1067" s="86"/>
      <c r="S1067" s="86"/>
      <c r="T1067" s="86"/>
      <c r="U1067" s="86"/>
      <c r="V1067" s="86"/>
      <c r="W1067" s="86"/>
      <c r="X1067" s="86"/>
      <c r="Y1067" s="86"/>
      <c r="Z1067" s="86"/>
      <c r="AA1067" s="86"/>
      <c r="AB1067" s="86"/>
      <c r="AC1067" s="86"/>
      <c r="AD1067" s="86"/>
      <c r="AE1067" s="86"/>
      <c r="AF1067" s="86"/>
    </row>
    <row r="1068" spans="1:32">
      <c r="A1068" s="86"/>
      <c r="B1068" s="86"/>
      <c r="C1068" s="86"/>
      <c r="D1068" s="86"/>
      <c r="E1068" s="86"/>
      <c r="F1068" s="86"/>
      <c r="G1068" s="86"/>
      <c r="H1068" s="86"/>
      <c r="I1068" s="86"/>
      <c r="J1068" s="86"/>
      <c r="K1068" s="86"/>
      <c r="L1068" s="86"/>
      <c r="M1068" s="86"/>
      <c r="N1068" s="86"/>
      <c r="O1068" s="86"/>
      <c r="P1068" s="86"/>
      <c r="Q1068" s="86"/>
      <c r="R1068" s="86"/>
      <c r="S1068" s="86"/>
      <c r="T1068" s="86"/>
      <c r="U1068" s="86"/>
      <c r="V1068" s="86"/>
      <c r="W1068" s="86"/>
      <c r="X1068" s="86"/>
      <c r="Y1068" s="86"/>
      <c r="Z1068" s="86"/>
      <c r="AA1068" s="86"/>
      <c r="AB1068" s="86"/>
      <c r="AC1068" s="86"/>
      <c r="AD1068" s="86"/>
      <c r="AE1068" s="86"/>
      <c r="AF1068" s="86"/>
    </row>
    <row r="1069" spans="1:32">
      <c r="A1069" s="86"/>
      <c r="B1069" s="86"/>
      <c r="C1069" s="86"/>
      <c r="D1069" s="86"/>
      <c r="E1069" s="86"/>
      <c r="F1069" s="86"/>
      <c r="G1069" s="86"/>
      <c r="H1069" s="86"/>
      <c r="I1069" s="86"/>
      <c r="J1069" s="86"/>
      <c r="K1069" s="86"/>
      <c r="L1069" s="86"/>
      <c r="M1069" s="86"/>
      <c r="N1069" s="86"/>
      <c r="O1069" s="86"/>
      <c r="P1069" s="86"/>
      <c r="Q1069" s="86"/>
      <c r="R1069" s="86"/>
      <c r="S1069" s="86"/>
      <c r="T1069" s="86"/>
      <c r="U1069" s="86"/>
      <c r="V1069" s="86"/>
      <c r="W1069" s="86"/>
      <c r="X1069" s="86"/>
      <c r="Y1069" s="86"/>
      <c r="Z1069" s="86"/>
      <c r="AA1069" s="86"/>
      <c r="AB1069" s="86"/>
      <c r="AC1069" s="86"/>
      <c r="AD1069" s="86"/>
      <c r="AE1069" s="86"/>
      <c r="AF1069" s="86"/>
    </row>
    <row r="1070" spans="1:32">
      <c r="A1070" s="86"/>
      <c r="B1070" s="86"/>
      <c r="C1070" s="86"/>
      <c r="D1070" s="86"/>
      <c r="E1070" s="86"/>
      <c r="F1070" s="86"/>
      <c r="G1070" s="86"/>
      <c r="H1070" s="86"/>
      <c r="I1070" s="86"/>
      <c r="J1070" s="86"/>
      <c r="K1070" s="86"/>
      <c r="L1070" s="86"/>
      <c r="M1070" s="86"/>
      <c r="N1070" s="86"/>
      <c r="O1070" s="86"/>
      <c r="P1070" s="86"/>
      <c r="Q1070" s="86"/>
      <c r="R1070" s="86"/>
      <c r="S1070" s="86"/>
      <c r="T1070" s="86"/>
      <c r="U1070" s="86"/>
      <c r="V1070" s="86"/>
      <c r="W1070" s="86"/>
      <c r="X1070" s="86"/>
      <c r="Y1070" s="86"/>
      <c r="Z1070" s="86"/>
      <c r="AA1070" s="86"/>
      <c r="AB1070" s="86"/>
      <c r="AC1070" s="86"/>
      <c r="AD1070" s="86"/>
      <c r="AE1070" s="86"/>
      <c r="AF1070" s="86"/>
    </row>
    <row r="1071" spans="1:32">
      <c r="A1071" s="86"/>
      <c r="B1071" s="86"/>
      <c r="C1071" s="86"/>
      <c r="D1071" s="86"/>
      <c r="E1071" s="86"/>
      <c r="F1071" s="86"/>
      <c r="G1071" s="86"/>
      <c r="H1071" s="86"/>
      <c r="I1071" s="86"/>
      <c r="J1071" s="86"/>
      <c r="K1071" s="86"/>
      <c r="L1071" s="86"/>
      <c r="M1071" s="86"/>
      <c r="N1071" s="86"/>
      <c r="O1071" s="86"/>
      <c r="P1071" s="86"/>
      <c r="Q1071" s="86"/>
      <c r="R1071" s="86"/>
      <c r="S1071" s="86"/>
      <c r="T1071" s="86"/>
      <c r="U1071" s="86"/>
      <c r="V1071" s="86"/>
      <c r="W1071" s="86"/>
      <c r="X1071" s="86"/>
      <c r="Y1071" s="86"/>
      <c r="Z1071" s="86"/>
      <c r="AA1071" s="86"/>
      <c r="AB1071" s="86"/>
      <c r="AC1071" s="86"/>
      <c r="AD1071" s="86"/>
      <c r="AE1071" s="86"/>
      <c r="AF1071" s="86"/>
    </row>
    <row r="1072" spans="1:32">
      <c r="A1072" s="86"/>
      <c r="B1072" s="86"/>
      <c r="C1072" s="86"/>
      <c r="D1072" s="86"/>
      <c r="E1072" s="86"/>
      <c r="F1072" s="86"/>
      <c r="G1072" s="86"/>
      <c r="H1072" s="86"/>
      <c r="I1072" s="86"/>
      <c r="J1072" s="86"/>
      <c r="K1072" s="86"/>
      <c r="L1072" s="86"/>
      <c r="M1072" s="86"/>
      <c r="N1072" s="86"/>
      <c r="O1072" s="86"/>
      <c r="P1072" s="86"/>
      <c r="Q1072" s="86"/>
      <c r="R1072" s="86"/>
      <c r="S1072" s="86"/>
      <c r="T1072" s="86"/>
      <c r="U1072" s="86"/>
      <c r="V1072" s="86"/>
      <c r="W1072" s="86"/>
      <c r="X1072" s="86"/>
      <c r="Y1072" s="86"/>
      <c r="Z1072" s="86"/>
      <c r="AA1072" s="86"/>
      <c r="AB1072" s="86"/>
      <c r="AC1072" s="86"/>
      <c r="AD1072" s="86"/>
      <c r="AE1072" s="86"/>
      <c r="AF1072" s="86"/>
    </row>
    <row r="1073" spans="1:32">
      <c r="A1073" s="86"/>
      <c r="B1073" s="86"/>
      <c r="C1073" s="86"/>
      <c r="D1073" s="86"/>
      <c r="E1073" s="86"/>
      <c r="F1073" s="86"/>
      <c r="G1073" s="86"/>
      <c r="H1073" s="86"/>
      <c r="I1073" s="86"/>
      <c r="J1073" s="86"/>
      <c r="K1073" s="86"/>
      <c r="L1073" s="86"/>
      <c r="M1073" s="86"/>
      <c r="N1073" s="86"/>
      <c r="O1073" s="86"/>
      <c r="P1073" s="86"/>
      <c r="Q1073" s="86"/>
      <c r="R1073" s="86"/>
      <c r="S1073" s="86"/>
      <c r="T1073" s="86"/>
      <c r="U1073" s="86"/>
      <c r="V1073" s="86"/>
      <c r="W1073" s="86"/>
      <c r="X1073" s="86"/>
      <c r="Y1073" s="86"/>
      <c r="Z1073" s="86"/>
      <c r="AA1073" s="86"/>
      <c r="AB1073" s="86"/>
      <c r="AC1073" s="86"/>
      <c r="AD1073" s="86"/>
      <c r="AE1073" s="86"/>
      <c r="AF1073" s="86"/>
    </row>
    <row r="1074" spans="1:32">
      <c r="A1074" s="86"/>
      <c r="B1074" s="86"/>
      <c r="C1074" s="86"/>
      <c r="D1074" s="86"/>
      <c r="E1074" s="86"/>
      <c r="F1074" s="86"/>
      <c r="G1074" s="86"/>
      <c r="H1074" s="86"/>
      <c r="I1074" s="86"/>
      <c r="J1074" s="86"/>
      <c r="K1074" s="86"/>
      <c r="L1074" s="86"/>
      <c r="M1074" s="86"/>
      <c r="N1074" s="86"/>
      <c r="O1074" s="86"/>
      <c r="P1074" s="86"/>
      <c r="Q1074" s="86"/>
      <c r="R1074" s="86"/>
      <c r="S1074" s="86"/>
      <c r="T1074" s="86"/>
      <c r="U1074" s="86"/>
      <c r="V1074" s="86"/>
      <c r="W1074" s="86"/>
      <c r="X1074" s="86"/>
      <c r="Y1074" s="86"/>
      <c r="Z1074" s="86"/>
      <c r="AA1074" s="86"/>
      <c r="AB1074" s="86"/>
      <c r="AC1074" s="86"/>
      <c r="AD1074" s="86"/>
      <c r="AE1074" s="86"/>
      <c r="AF1074" s="86"/>
    </row>
    <row r="1075" spans="1:32">
      <c r="A1075" s="86"/>
      <c r="B1075" s="86"/>
      <c r="C1075" s="86"/>
      <c r="D1075" s="86"/>
      <c r="E1075" s="86"/>
      <c r="F1075" s="86"/>
      <c r="G1075" s="86"/>
      <c r="H1075" s="86"/>
      <c r="I1075" s="86"/>
      <c r="J1075" s="86"/>
      <c r="K1075" s="86"/>
      <c r="L1075" s="86"/>
      <c r="M1075" s="86"/>
      <c r="N1075" s="86"/>
      <c r="O1075" s="86"/>
      <c r="P1075" s="86"/>
      <c r="Q1075" s="86"/>
      <c r="R1075" s="86"/>
      <c r="S1075" s="86"/>
      <c r="T1075" s="86"/>
      <c r="U1075" s="86"/>
      <c r="V1075" s="86"/>
      <c r="W1075" s="86"/>
      <c r="X1075" s="86"/>
      <c r="Y1075" s="86"/>
      <c r="Z1075" s="86"/>
      <c r="AA1075" s="86"/>
      <c r="AB1075" s="86"/>
      <c r="AC1075" s="86"/>
      <c r="AD1075" s="86"/>
      <c r="AE1075" s="86"/>
      <c r="AF1075" s="86"/>
    </row>
    <row r="1076" spans="1:32">
      <c r="A1076" s="86"/>
      <c r="B1076" s="86"/>
      <c r="C1076" s="86"/>
      <c r="D1076" s="86"/>
      <c r="E1076" s="86"/>
      <c r="F1076" s="86"/>
      <c r="G1076" s="86"/>
      <c r="H1076" s="86"/>
      <c r="I1076" s="86"/>
      <c r="J1076" s="86"/>
      <c r="K1076" s="86"/>
      <c r="L1076" s="86"/>
      <c r="M1076" s="86"/>
      <c r="N1076" s="86"/>
      <c r="O1076" s="86"/>
      <c r="P1076" s="86"/>
      <c r="Q1076" s="86"/>
      <c r="R1076" s="86"/>
      <c r="S1076" s="86"/>
      <c r="T1076" s="86"/>
      <c r="U1076" s="86"/>
      <c r="V1076" s="86"/>
      <c r="W1076" s="86"/>
      <c r="X1076" s="86"/>
      <c r="Y1076" s="86"/>
      <c r="Z1076" s="86"/>
      <c r="AA1076" s="86"/>
      <c r="AB1076" s="86"/>
      <c r="AC1076" s="86"/>
      <c r="AD1076" s="86"/>
      <c r="AE1076" s="86"/>
      <c r="AF1076" s="86"/>
    </row>
    <row r="1077" spans="1:32">
      <c r="A1077" s="86"/>
      <c r="B1077" s="86"/>
      <c r="C1077" s="86"/>
      <c r="D1077" s="86"/>
      <c r="E1077" s="86"/>
      <c r="F1077" s="86"/>
      <c r="G1077" s="86"/>
      <c r="H1077" s="86"/>
      <c r="I1077" s="86"/>
      <c r="J1077" s="86"/>
      <c r="K1077" s="86"/>
      <c r="L1077" s="86"/>
      <c r="M1077" s="86"/>
      <c r="N1077" s="86"/>
      <c r="O1077" s="86"/>
      <c r="P1077" s="86"/>
      <c r="Q1077" s="86"/>
      <c r="R1077" s="86"/>
      <c r="S1077" s="86"/>
      <c r="T1077" s="86"/>
      <c r="U1077" s="86"/>
      <c r="V1077" s="86"/>
      <c r="W1077" s="86"/>
      <c r="X1077" s="86"/>
      <c r="Y1077" s="86"/>
      <c r="Z1077" s="86"/>
      <c r="AA1077" s="86"/>
      <c r="AB1077" s="86"/>
      <c r="AC1077" s="86"/>
      <c r="AD1077" s="86"/>
      <c r="AE1077" s="86"/>
      <c r="AF1077" s="86"/>
    </row>
    <row r="1078" spans="1:32">
      <c r="A1078" s="86"/>
      <c r="B1078" s="86"/>
      <c r="C1078" s="86"/>
      <c r="D1078" s="86"/>
      <c r="E1078" s="86"/>
      <c r="F1078" s="86"/>
      <c r="G1078" s="86"/>
      <c r="H1078" s="86"/>
      <c r="I1078" s="86"/>
      <c r="J1078" s="86"/>
      <c r="K1078" s="86"/>
      <c r="L1078" s="86"/>
      <c r="M1078" s="86"/>
      <c r="N1078" s="86"/>
      <c r="O1078" s="86"/>
      <c r="P1078" s="86"/>
      <c r="Q1078" s="86"/>
      <c r="R1078" s="86"/>
      <c r="S1078" s="86"/>
      <c r="T1078" s="86"/>
      <c r="U1078" s="86"/>
      <c r="V1078" s="86"/>
      <c r="W1078" s="86"/>
      <c r="X1078" s="86"/>
      <c r="Y1078" s="86"/>
      <c r="Z1078" s="86"/>
      <c r="AA1078" s="86"/>
      <c r="AB1078" s="86"/>
      <c r="AC1078" s="86"/>
      <c r="AD1078" s="86"/>
      <c r="AE1078" s="86"/>
      <c r="AF1078" s="86"/>
    </row>
    <row r="1079" spans="1:32">
      <c r="A1079" s="86"/>
      <c r="B1079" s="86"/>
      <c r="C1079" s="86"/>
      <c r="D1079" s="86"/>
      <c r="E1079" s="86"/>
      <c r="F1079" s="86"/>
      <c r="G1079" s="86"/>
      <c r="H1079" s="86"/>
      <c r="I1079" s="86"/>
      <c r="J1079" s="86"/>
      <c r="K1079" s="86"/>
      <c r="L1079" s="86"/>
      <c r="M1079" s="86"/>
      <c r="N1079" s="86"/>
      <c r="O1079" s="86"/>
      <c r="P1079" s="86"/>
      <c r="Q1079" s="86"/>
      <c r="R1079" s="86"/>
      <c r="S1079" s="86"/>
      <c r="T1079" s="86"/>
      <c r="U1079" s="86"/>
      <c r="V1079" s="86"/>
      <c r="W1079" s="86"/>
      <c r="X1079" s="86"/>
      <c r="Y1079" s="86"/>
      <c r="Z1079" s="86"/>
      <c r="AA1079" s="86"/>
      <c r="AB1079" s="86"/>
      <c r="AC1079" s="86"/>
      <c r="AD1079" s="86"/>
      <c r="AE1079" s="86"/>
      <c r="AF1079" s="86"/>
    </row>
    <row r="1080" spans="1:32">
      <c r="A1080" s="86"/>
      <c r="B1080" s="86"/>
      <c r="C1080" s="86"/>
      <c r="D1080" s="86"/>
      <c r="E1080" s="86"/>
      <c r="F1080" s="86"/>
      <c r="G1080" s="86"/>
      <c r="H1080" s="86"/>
      <c r="I1080" s="86"/>
      <c r="J1080" s="86"/>
      <c r="K1080" s="86"/>
      <c r="L1080" s="86"/>
      <c r="M1080" s="86"/>
      <c r="N1080" s="86"/>
      <c r="O1080" s="86"/>
      <c r="P1080" s="86"/>
      <c r="Q1080" s="86"/>
      <c r="R1080" s="86"/>
      <c r="S1080" s="86"/>
      <c r="T1080" s="86"/>
      <c r="U1080" s="86"/>
      <c r="V1080" s="86"/>
      <c r="W1080" s="86"/>
      <c r="X1080" s="86"/>
      <c r="Y1080" s="86"/>
      <c r="Z1080" s="86"/>
      <c r="AA1080" s="86"/>
      <c r="AB1080" s="86"/>
      <c r="AC1080" s="86"/>
      <c r="AD1080" s="86"/>
      <c r="AE1080" s="86"/>
      <c r="AF1080" s="86"/>
    </row>
    <row r="1081" spans="1:32">
      <c r="A1081" s="86"/>
      <c r="B1081" s="86"/>
      <c r="C1081" s="86"/>
      <c r="D1081" s="86"/>
      <c r="E1081" s="86"/>
      <c r="F1081" s="86"/>
      <c r="G1081" s="86"/>
      <c r="H1081" s="86"/>
      <c r="I1081" s="86"/>
      <c r="J1081" s="86"/>
      <c r="K1081" s="86"/>
      <c r="L1081" s="86"/>
      <c r="M1081" s="86"/>
      <c r="N1081" s="86"/>
      <c r="O1081" s="86"/>
      <c r="P1081" s="86"/>
      <c r="Q1081" s="86"/>
      <c r="R1081" s="86"/>
      <c r="S1081" s="86"/>
      <c r="T1081" s="86"/>
      <c r="U1081" s="86"/>
      <c r="V1081" s="86"/>
      <c r="W1081" s="86"/>
      <c r="X1081" s="86"/>
      <c r="Y1081" s="86"/>
      <c r="Z1081" s="86"/>
      <c r="AA1081" s="86"/>
      <c r="AB1081" s="86"/>
      <c r="AC1081" s="86"/>
      <c r="AD1081" s="86"/>
      <c r="AE1081" s="86"/>
      <c r="AF1081" s="86"/>
    </row>
    <row r="1082" spans="1:32">
      <c r="A1082" s="86"/>
      <c r="B1082" s="86"/>
      <c r="C1082" s="86"/>
      <c r="D1082" s="86"/>
      <c r="E1082" s="86"/>
      <c r="F1082" s="86"/>
      <c r="G1082" s="86"/>
      <c r="H1082" s="86"/>
      <c r="I1082" s="86"/>
      <c r="J1082" s="86"/>
      <c r="K1082" s="86"/>
      <c r="L1082" s="86"/>
      <c r="M1082" s="86"/>
      <c r="N1082" s="86"/>
      <c r="O1082" s="86"/>
      <c r="P1082" s="86"/>
      <c r="Q1082" s="86"/>
      <c r="R1082" s="86"/>
      <c r="S1082" s="86"/>
      <c r="T1082" s="86"/>
      <c r="U1082" s="86"/>
      <c r="V1082" s="86"/>
      <c r="W1082" s="86"/>
      <c r="X1082" s="86"/>
      <c r="Y1082" s="86"/>
      <c r="Z1082" s="86"/>
      <c r="AA1082" s="86"/>
      <c r="AB1082" s="86"/>
      <c r="AC1082" s="86"/>
      <c r="AD1082" s="86"/>
      <c r="AE1082" s="86"/>
      <c r="AF1082" s="86"/>
    </row>
    <row r="1083" spans="1:32">
      <c r="A1083" s="86"/>
      <c r="B1083" s="86"/>
      <c r="C1083" s="86"/>
      <c r="D1083" s="86"/>
      <c r="E1083" s="86"/>
      <c r="F1083" s="86"/>
      <c r="G1083" s="86"/>
      <c r="H1083" s="86"/>
      <c r="I1083" s="86"/>
      <c r="J1083" s="86"/>
      <c r="K1083" s="86"/>
      <c r="L1083" s="86"/>
      <c r="M1083" s="86"/>
      <c r="N1083" s="86"/>
      <c r="O1083" s="86"/>
      <c r="P1083" s="86"/>
      <c r="Q1083" s="86"/>
      <c r="R1083" s="86"/>
      <c r="S1083" s="86"/>
      <c r="T1083" s="86"/>
      <c r="U1083" s="86"/>
      <c r="V1083" s="86"/>
      <c r="W1083" s="86"/>
      <c r="X1083" s="86"/>
      <c r="Y1083" s="86"/>
      <c r="Z1083" s="86"/>
      <c r="AA1083" s="86"/>
      <c r="AB1083" s="86"/>
      <c r="AC1083" s="86"/>
      <c r="AD1083" s="86"/>
      <c r="AE1083" s="86"/>
      <c r="AF1083" s="86"/>
    </row>
    <row r="1084" spans="1:32">
      <c r="A1084" s="86"/>
      <c r="B1084" s="86"/>
      <c r="C1084" s="86"/>
      <c r="D1084" s="86"/>
      <c r="E1084" s="86"/>
      <c r="F1084" s="86"/>
      <c r="G1084" s="86"/>
      <c r="H1084" s="86"/>
      <c r="I1084" s="86"/>
      <c r="J1084" s="86"/>
      <c r="K1084" s="86"/>
      <c r="L1084" s="86"/>
      <c r="M1084" s="86"/>
      <c r="N1084" s="86"/>
      <c r="O1084" s="86"/>
      <c r="P1084" s="86"/>
      <c r="Q1084" s="86"/>
      <c r="R1084" s="86"/>
      <c r="S1084" s="86"/>
      <c r="T1084" s="86"/>
      <c r="U1084" s="86"/>
      <c r="V1084" s="86"/>
      <c r="W1084" s="86"/>
      <c r="X1084" s="86"/>
      <c r="Y1084" s="86"/>
      <c r="Z1084" s="86"/>
      <c r="AA1084" s="86"/>
      <c r="AB1084" s="86"/>
      <c r="AC1084" s="86"/>
      <c r="AD1084" s="86"/>
      <c r="AE1084" s="86"/>
      <c r="AF1084" s="86"/>
    </row>
    <row r="1085" spans="1:32">
      <c r="A1085" s="86"/>
      <c r="B1085" s="86"/>
      <c r="C1085" s="86"/>
      <c r="D1085" s="86"/>
      <c r="E1085" s="86"/>
      <c r="F1085" s="86"/>
      <c r="G1085" s="86"/>
      <c r="H1085" s="86"/>
      <c r="I1085" s="86"/>
      <c r="J1085" s="86"/>
      <c r="K1085" s="86"/>
      <c r="L1085" s="86"/>
      <c r="M1085" s="86"/>
      <c r="N1085" s="86"/>
      <c r="O1085" s="86"/>
      <c r="P1085" s="86"/>
      <c r="Q1085" s="86"/>
      <c r="R1085" s="86"/>
      <c r="S1085" s="86"/>
      <c r="T1085" s="86"/>
      <c r="U1085" s="86"/>
      <c r="V1085" s="86"/>
      <c r="W1085" s="86"/>
      <c r="X1085" s="86"/>
      <c r="Y1085" s="86"/>
      <c r="Z1085" s="86"/>
      <c r="AA1085" s="86"/>
      <c r="AB1085" s="86"/>
      <c r="AC1085" s="86"/>
      <c r="AD1085" s="86"/>
      <c r="AE1085" s="86"/>
      <c r="AF1085" s="86"/>
    </row>
    <row r="1086" spans="1:32">
      <c r="A1086" s="86"/>
      <c r="B1086" s="86"/>
      <c r="C1086" s="86"/>
      <c r="D1086" s="86"/>
      <c r="E1086" s="86"/>
      <c r="F1086" s="86"/>
      <c r="G1086" s="86"/>
      <c r="H1086" s="86"/>
      <c r="I1086" s="86"/>
      <c r="J1086" s="86"/>
      <c r="K1086" s="86"/>
      <c r="L1086" s="86"/>
      <c r="M1086" s="86"/>
      <c r="N1086" s="86"/>
      <c r="O1086" s="86"/>
      <c r="P1086" s="86"/>
      <c r="Q1086" s="86"/>
      <c r="R1086" s="86"/>
      <c r="S1086" s="86"/>
      <c r="T1086" s="86"/>
      <c r="U1086" s="86"/>
      <c r="V1086" s="86"/>
      <c r="W1086" s="86"/>
      <c r="X1086" s="86"/>
      <c r="Y1086" s="86"/>
      <c r="Z1086" s="86"/>
      <c r="AA1086" s="86"/>
      <c r="AB1086" s="86"/>
      <c r="AC1086" s="86"/>
      <c r="AD1086" s="86"/>
      <c r="AE1086" s="86"/>
      <c r="AF1086" s="86"/>
    </row>
    <row r="1087" spans="1:32">
      <c r="A1087" s="86"/>
      <c r="B1087" s="86"/>
      <c r="C1087" s="86"/>
      <c r="D1087" s="86"/>
      <c r="E1087" s="86"/>
      <c r="F1087" s="86"/>
      <c r="G1087" s="86"/>
      <c r="H1087" s="86"/>
      <c r="I1087" s="86"/>
      <c r="J1087" s="86"/>
      <c r="K1087" s="86"/>
      <c r="L1087" s="86"/>
      <c r="M1087" s="86"/>
      <c r="N1087" s="86"/>
      <c r="O1087" s="86"/>
      <c r="P1087" s="86"/>
      <c r="Q1087" s="86"/>
      <c r="R1087" s="86"/>
      <c r="S1087" s="86"/>
      <c r="T1087" s="86"/>
      <c r="U1087" s="86"/>
      <c r="V1087" s="86"/>
      <c r="W1087" s="86"/>
      <c r="X1087" s="86"/>
      <c r="Y1087" s="86"/>
      <c r="Z1087" s="86"/>
      <c r="AA1087" s="86"/>
      <c r="AB1087" s="86"/>
      <c r="AC1087" s="86"/>
      <c r="AD1087" s="86"/>
      <c r="AE1087" s="86"/>
      <c r="AF1087" s="86"/>
    </row>
    <row r="1088" spans="1:32">
      <c r="A1088" s="86"/>
      <c r="B1088" s="86"/>
      <c r="C1088" s="86"/>
      <c r="D1088" s="86"/>
      <c r="E1088" s="86"/>
      <c r="F1088" s="86"/>
      <c r="G1088" s="86"/>
      <c r="H1088" s="86"/>
      <c r="I1088" s="86"/>
      <c r="J1088" s="86"/>
      <c r="K1088" s="86"/>
      <c r="L1088" s="86"/>
      <c r="M1088" s="86"/>
      <c r="N1088" s="86"/>
      <c r="O1088" s="86"/>
      <c r="P1088" s="86"/>
      <c r="Q1088" s="86"/>
      <c r="R1088" s="86"/>
      <c r="S1088" s="86"/>
      <c r="T1088" s="86"/>
      <c r="U1088" s="86"/>
      <c r="V1088" s="86"/>
      <c r="W1088" s="86"/>
      <c r="X1088" s="86"/>
      <c r="Y1088" s="86"/>
      <c r="Z1088" s="86"/>
      <c r="AA1088" s="86"/>
      <c r="AB1088" s="86"/>
      <c r="AC1088" s="86"/>
      <c r="AD1088" s="86"/>
      <c r="AE1088" s="86"/>
      <c r="AF1088" s="86"/>
    </row>
    <row r="1089" spans="1:32">
      <c r="A1089" s="86"/>
      <c r="B1089" s="86"/>
      <c r="C1089" s="86"/>
      <c r="D1089" s="86"/>
      <c r="E1089" s="86"/>
      <c r="F1089" s="86"/>
      <c r="G1089" s="86"/>
      <c r="H1089" s="86"/>
      <c r="I1089" s="86"/>
      <c r="J1089" s="86"/>
      <c r="K1089" s="86"/>
      <c r="L1089" s="86"/>
      <c r="M1089" s="86"/>
      <c r="N1089" s="86"/>
      <c r="O1089" s="86"/>
      <c r="P1089" s="86"/>
      <c r="Q1089" s="86"/>
      <c r="R1089" s="86"/>
      <c r="S1089" s="86"/>
      <c r="T1089" s="86"/>
      <c r="U1089" s="86"/>
      <c r="V1089" s="86"/>
      <c r="W1089" s="86"/>
      <c r="X1089" s="86"/>
      <c r="Y1089" s="86"/>
      <c r="Z1089" s="86"/>
      <c r="AA1089" s="86"/>
      <c r="AB1089" s="86"/>
      <c r="AC1089" s="86"/>
      <c r="AD1089" s="86"/>
      <c r="AE1089" s="86"/>
      <c r="AF1089" s="86"/>
    </row>
    <row r="1090" spans="1:32">
      <c r="A1090" s="86"/>
      <c r="B1090" s="86"/>
      <c r="C1090" s="86"/>
      <c r="D1090" s="86"/>
      <c r="E1090" s="86"/>
      <c r="F1090" s="86"/>
      <c r="G1090" s="86"/>
      <c r="H1090" s="86"/>
      <c r="I1090" s="86"/>
      <c r="J1090" s="86"/>
      <c r="K1090" s="86"/>
      <c r="L1090" s="86"/>
      <c r="M1090" s="86"/>
      <c r="N1090" s="86"/>
      <c r="O1090" s="86"/>
      <c r="P1090" s="86"/>
      <c r="Q1090" s="86"/>
      <c r="R1090" s="86"/>
      <c r="S1090" s="86"/>
      <c r="T1090" s="86"/>
      <c r="U1090" s="86"/>
      <c r="V1090" s="86"/>
      <c r="W1090" s="86"/>
      <c r="X1090" s="86"/>
      <c r="Y1090" s="86"/>
      <c r="Z1090" s="86"/>
      <c r="AA1090" s="86"/>
      <c r="AB1090" s="86"/>
      <c r="AC1090" s="86"/>
      <c r="AD1090" s="86"/>
      <c r="AE1090" s="86"/>
      <c r="AF1090" s="86"/>
    </row>
    <row r="1091" spans="1:32">
      <c r="A1091" s="86"/>
      <c r="B1091" s="86"/>
      <c r="C1091" s="86"/>
      <c r="D1091" s="86"/>
      <c r="E1091" s="86"/>
      <c r="F1091" s="86"/>
      <c r="G1091" s="86"/>
      <c r="H1091" s="86"/>
      <c r="I1091" s="86"/>
      <c r="J1091" s="86"/>
      <c r="K1091" s="86"/>
      <c r="L1091" s="86"/>
      <c r="M1091" s="86"/>
      <c r="N1091" s="86"/>
      <c r="O1091" s="86"/>
      <c r="P1091" s="86"/>
      <c r="Q1091" s="86"/>
      <c r="R1091" s="86"/>
      <c r="S1091" s="86"/>
      <c r="T1091" s="86"/>
      <c r="U1091" s="86"/>
      <c r="V1091" s="86"/>
      <c r="W1091" s="86"/>
      <c r="X1091" s="86"/>
      <c r="Y1091" s="86"/>
      <c r="Z1091" s="86"/>
      <c r="AA1091" s="86"/>
      <c r="AB1091" s="86"/>
      <c r="AC1091" s="86"/>
      <c r="AD1091" s="86"/>
      <c r="AE1091" s="86"/>
      <c r="AF1091" s="86"/>
    </row>
    <row r="1092" spans="1:32">
      <c r="A1092" s="86"/>
      <c r="B1092" s="86"/>
      <c r="C1092" s="86"/>
      <c r="D1092" s="86"/>
      <c r="E1092" s="86"/>
      <c r="F1092" s="86"/>
      <c r="G1092" s="86"/>
      <c r="H1092" s="86"/>
      <c r="I1092" s="86"/>
      <c r="J1092" s="86"/>
      <c r="K1092" s="86"/>
      <c r="L1092" s="86"/>
      <c r="M1092" s="86"/>
      <c r="N1092" s="86"/>
      <c r="O1092" s="86"/>
      <c r="P1092" s="86"/>
      <c r="Q1092" s="86"/>
      <c r="R1092" s="86"/>
      <c r="S1092" s="86"/>
      <c r="T1092" s="86"/>
      <c r="U1092" s="86"/>
      <c r="V1092" s="86"/>
      <c r="W1092" s="86"/>
      <c r="X1092" s="86"/>
      <c r="Y1092" s="86"/>
      <c r="Z1092" s="86"/>
      <c r="AA1092" s="86"/>
      <c r="AB1092" s="86"/>
      <c r="AC1092" s="86"/>
      <c r="AD1092" s="86"/>
      <c r="AE1092" s="86"/>
      <c r="AF1092" s="86"/>
    </row>
    <row r="1093" spans="1:32">
      <c r="A1093" s="86"/>
      <c r="B1093" s="86"/>
      <c r="C1093" s="86"/>
      <c r="D1093" s="86"/>
      <c r="E1093" s="86"/>
      <c r="F1093" s="86"/>
      <c r="G1093" s="86"/>
      <c r="H1093" s="86"/>
      <c r="I1093" s="86"/>
      <c r="J1093" s="86"/>
      <c r="K1093" s="86"/>
      <c r="L1093" s="86"/>
      <c r="M1093" s="86"/>
      <c r="N1093" s="86"/>
      <c r="O1093" s="86"/>
      <c r="P1093" s="86"/>
      <c r="Q1093" s="86"/>
      <c r="R1093" s="86"/>
      <c r="S1093" s="86"/>
      <c r="T1093" s="86"/>
      <c r="U1093" s="86"/>
      <c r="V1093" s="86"/>
      <c r="W1093" s="86"/>
      <c r="X1093" s="86"/>
      <c r="Y1093" s="86"/>
      <c r="Z1093" s="86"/>
      <c r="AA1093" s="86"/>
      <c r="AB1093" s="86"/>
      <c r="AC1093" s="86"/>
      <c r="AD1093" s="86"/>
      <c r="AE1093" s="86"/>
      <c r="AF1093" s="86"/>
    </row>
    <row r="1094" spans="1:32">
      <c r="A1094" s="86"/>
      <c r="B1094" s="86"/>
      <c r="C1094" s="86"/>
      <c r="D1094" s="86"/>
      <c r="E1094" s="86"/>
      <c r="F1094" s="86"/>
      <c r="G1094" s="86"/>
      <c r="H1094" s="86"/>
      <c r="I1094" s="86"/>
      <c r="J1094" s="86"/>
      <c r="K1094" s="86"/>
      <c r="L1094" s="86"/>
      <c r="M1094" s="86"/>
      <c r="N1094" s="86"/>
      <c r="O1094" s="86"/>
      <c r="P1094" s="86"/>
      <c r="Q1094" s="86"/>
      <c r="R1094" s="86"/>
      <c r="S1094" s="86"/>
      <c r="T1094" s="86"/>
      <c r="U1094" s="86"/>
      <c r="V1094" s="86"/>
      <c r="W1094" s="86"/>
      <c r="X1094" s="86"/>
      <c r="Y1094" s="86"/>
      <c r="Z1094" s="86"/>
      <c r="AA1094" s="86"/>
      <c r="AB1094" s="86"/>
      <c r="AC1094" s="86"/>
      <c r="AD1094" s="86"/>
      <c r="AE1094" s="86"/>
      <c r="AF1094" s="86"/>
    </row>
    <row r="1095" spans="1:32">
      <c r="A1095" s="86"/>
      <c r="B1095" s="86"/>
      <c r="C1095" s="86"/>
      <c r="D1095" s="86"/>
      <c r="E1095" s="86"/>
      <c r="F1095" s="86"/>
      <c r="G1095" s="86"/>
      <c r="H1095" s="86"/>
      <c r="I1095" s="86"/>
      <c r="J1095" s="86"/>
      <c r="K1095" s="86"/>
      <c r="L1095" s="86"/>
      <c r="M1095" s="86"/>
      <c r="N1095" s="86"/>
      <c r="O1095" s="86"/>
      <c r="P1095" s="86"/>
      <c r="Q1095" s="86"/>
      <c r="R1095" s="86"/>
      <c r="S1095" s="86"/>
      <c r="T1095" s="86"/>
      <c r="U1095" s="86"/>
      <c r="V1095" s="86"/>
      <c r="W1095" s="86"/>
      <c r="X1095" s="86"/>
      <c r="Y1095" s="86"/>
      <c r="Z1095" s="86"/>
      <c r="AA1095" s="86"/>
      <c r="AB1095" s="86"/>
      <c r="AC1095" s="86"/>
      <c r="AD1095" s="86"/>
      <c r="AE1095" s="86"/>
      <c r="AF1095" s="86"/>
    </row>
    <row r="1096" spans="1:32">
      <c r="A1096" s="86"/>
      <c r="B1096" s="86"/>
      <c r="C1096" s="86"/>
      <c r="D1096" s="86"/>
      <c r="E1096" s="86"/>
      <c r="F1096" s="86"/>
      <c r="G1096" s="86"/>
      <c r="H1096" s="86"/>
      <c r="I1096" s="86"/>
      <c r="J1096" s="86"/>
      <c r="K1096" s="86"/>
      <c r="L1096" s="86"/>
      <c r="M1096" s="86"/>
      <c r="N1096" s="86"/>
      <c r="O1096" s="86"/>
      <c r="P1096" s="86"/>
      <c r="Q1096" s="86"/>
      <c r="R1096" s="86"/>
      <c r="S1096" s="86"/>
      <c r="T1096" s="86"/>
      <c r="U1096" s="86"/>
      <c r="V1096" s="86"/>
      <c r="W1096" s="86"/>
      <c r="X1096" s="86"/>
      <c r="Y1096" s="86"/>
      <c r="Z1096" s="86"/>
      <c r="AA1096" s="86"/>
      <c r="AB1096" s="86"/>
      <c r="AC1096" s="86"/>
      <c r="AD1096" s="86"/>
      <c r="AE1096" s="86"/>
      <c r="AF1096" s="86"/>
    </row>
    <row r="1097" spans="1:32">
      <c r="A1097" s="86"/>
      <c r="B1097" s="86"/>
      <c r="C1097" s="86"/>
      <c r="D1097" s="86"/>
      <c r="E1097" s="86"/>
      <c r="F1097" s="86"/>
      <c r="G1097" s="86"/>
      <c r="H1097" s="86"/>
      <c r="I1097" s="86"/>
      <c r="J1097" s="86"/>
      <c r="K1097" s="86"/>
      <c r="L1097" s="86"/>
      <c r="M1097" s="86"/>
      <c r="N1097" s="86"/>
      <c r="O1097" s="86"/>
      <c r="P1097" s="86"/>
      <c r="Q1097" s="86"/>
      <c r="R1097" s="86"/>
      <c r="S1097" s="86"/>
      <c r="T1097" s="86"/>
      <c r="U1097" s="86"/>
      <c r="V1097" s="86"/>
      <c r="W1097" s="86"/>
      <c r="X1097" s="86"/>
      <c r="Y1097" s="86"/>
      <c r="Z1097" s="86"/>
      <c r="AA1097" s="86"/>
      <c r="AB1097" s="86"/>
      <c r="AC1097" s="86"/>
      <c r="AD1097" s="86"/>
      <c r="AE1097" s="86"/>
      <c r="AF1097" s="86"/>
    </row>
    <row r="1098" spans="1:32">
      <c r="A1098" s="86"/>
      <c r="B1098" s="86"/>
      <c r="C1098" s="86"/>
      <c r="D1098" s="86"/>
      <c r="E1098" s="86"/>
      <c r="F1098" s="86"/>
      <c r="G1098" s="86"/>
      <c r="H1098" s="86"/>
      <c r="I1098" s="86"/>
      <c r="J1098" s="86"/>
      <c r="K1098" s="86"/>
      <c r="L1098" s="86"/>
      <c r="M1098" s="86"/>
      <c r="N1098" s="86"/>
      <c r="O1098" s="86"/>
      <c r="P1098" s="86"/>
      <c r="Q1098" s="86"/>
      <c r="R1098" s="86"/>
      <c r="S1098" s="86"/>
      <c r="T1098" s="86"/>
      <c r="U1098" s="86"/>
      <c r="V1098" s="86"/>
      <c r="W1098" s="86"/>
      <c r="X1098" s="86"/>
      <c r="Y1098" s="86"/>
      <c r="Z1098" s="86"/>
      <c r="AA1098" s="86"/>
      <c r="AB1098" s="86"/>
      <c r="AC1098" s="86"/>
      <c r="AD1098" s="86"/>
      <c r="AE1098" s="86"/>
      <c r="AF1098" s="86"/>
    </row>
    <row r="1099" spans="1:32">
      <c r="A1099" s="86"/>
      <c r="B1099" s="86"/>
      <c r="C1099" s="86"/>
      <c r="D1099" s="86"/>
      <c r="E1099" s="86"/>
      <c r="F1099" s="86"/>
      <c r="G1099" s="86"/>
      <c r="H1099" s="86"/>
      <c r="I1099" s="86"/>
      <c r="J1099" s="86"/>
      <c r="K1099" s="86"/>
      <c r="L1099" s="86"/>
      <c r="M1099" s="86"/>
      <c r="N1099" s="86"/>
      <c r="O1099" s="86"/>
      <c r="P1099" s="86"/>
      <c r="Q1099" s="86"/>
      <c r="R1099" s="86"/>
      <c r="S1099" s="86"/>
      <c r="T1099" s="86"/>
      <c r="U1099" s="86"/>
      <c r="V1099" s="86"/>
      <c r="W1099" s="86"/>
      <c r="X1099" s="86"/>
      <c r="Y1099" s="86"/>
      <c r="Z1099" s="86"/>
      <c r="AA1099" s="86"/>
      <c r="AB1099" s="86"/>
      <c r="AC1099" s="86"/>
      <c r="AD1099" s="86"/>
      <c r="AE1099" s="86"/>
      <c r="AF1099" s="86"/>
    </row>
    <row r="1100" spans="1:32">
      <c r="A1100" s="86"/>
      <c r="B1100" s="86"/>
      <c r="C1100" s="86"/>
      <c r="D1100" s="86"/>
      <c r="E1100" s="86"/>
      <c r="F1100" s="86"/>
      <c r="G1100" s="86"/>
      <c r="H1100" s="86"/>
      <c r="I1100" s="86"/>
      <c r="J1100" s="86"/>
      <c r="K1100" s="86"/>
      <c r="L1100" s="86"/>
      <c r="M1100" s="86"/>
      <c r="N1100" s="86"/>
      <c r="O1100" s="86"/>
      <c r="P1100" s="86"/>
      <c r="Q1100" s="86"/>
      <c r="R1100" s="86"/>
      <c r="S1100" s="86"/>
      <c r="T1100" s="86"/>
      <c r="U1100" s="86"/>
      <c r="V1100" s="86"/>
      <c r="W1100" s="86"/>
      <c r="X1100" s="86"/>
      <c r="Y1100" s="86"/>
      <c r="Z1100" s="86"/>
      <c r="AA1100" s="86"/>
      <c r="AB1100" s="86"/>
      <c r="AC1100" s="86"/>
      <c r="AD1100" s="86"/>
      <c r="AE1100" s="86"/>
      <c r="AF1100" s="86"/>
    </row>
    <row r="1101" spans="1:32">
      <c r="A1101" s="86"/>
      <c r="B1101" s="86"/>
      <c r="C1101" s="86"/>
      <c r="D1101" s="86"/>
      <c r="E1101" s="86"/>
      <c r="F1101" s="86"/>
      <c r="G1101" s="86"/>
      <c r="H1101" s="86"/>
      <c r="I1101" s="86"/>
      <c r="J1101" s="86"/>
      <c r="K1101" s="86"/>
      <c r="L1101" s="86"/>
      <c r="M1101" s="86"/>
      <c r="N1101" s="86"/>
      <c r="O1101" s="86"/>
      <c r="P1101" s="86"/>
      <c r="Q1101" s="86"/>
      <c r="R1101" s="86"/>
      <c r="S1101" s="86"/>
      <c r="T1101" s="86"/>
      <c r="U1101" s="86"/>
      <c r="V1101" s="86"/>
      <c r="W1101" s="86"/>
      <c r="X1101" s="86"/>
      <c r="Y1101" s="86"/>
      <c r="Z1101" s="86"/>
      <c r="AA1101" s="86"/>
      <c r="AB1101" s="86"/>
      <c r="AC1101" s="86"/>
      <c r="AD1101" s="86"/>
      <c r="AE1101" s="86"/>
      <c r="AF1101" s="86"/>
    </row>
    <row r="1102" spans="1:32">
      <c r="A1102" s="86"/>
      <c r="B1102" s="86"/>
      <c r="C1102" s="86"/>
      <c r="D1102" s="86"/>
      <c r="E1102" s="86"/>
      <c r="F1102" s="86"/>
      <c r="G1102" s="86"/>
      <c r="H1102" s="86"/>
      <c r="I1102" s="86"/>
      <c r="J1102" s="86"/>
      <c r="K1102" s="86"/>
      <c r="L1102" s="86"/>
      <c r="M1102" s="86"/>
      <c r="N1102" s="86"/>
      <c r="O1102" s="86"/>
      <c r="P1102" s="86"/>
      <c r="Q1102" s="86"/>
      <c r="R1102" s="86"/>
      <c r="S1102" s="86"/>
      <c r="T1102" s="86"/>
      <c r="U1102" s="86"/>
      <c r="V1102" s="86"/>
      <c r="W1102" s="86"/>
      <c r="X1102" s="86"/>
      <c r="Y1102" s="86"/>
      <c r="Z1102" s="86"/>
      <c r="AA1102" s="86"/>
      <c r="AB1102" s="86"/>
      <c r="AC1102" s="86"/>
      <c r="AD1102" s="86"/>
      <c r="AE1102" s="86"/>
      <c r="AF1102" s="86"/>
    </row>
    <row r="1103" spans="1:32">
      <c r="A1103" s="86"/>
      <c r="B1103" s="86"/>
      <c r="C1103" s="86"/>
      <c r="D1103" s="86"/>
      <c r="E1103" s="86"/>
      <c r="F1103" s="86"/>
      <c r="G1103" s="86"/>
      <c r="H1103" s="86"/>
      <c r="I1103" s="86"/>
      <c r="J1103" s="86"/>
      <c r="K1103" s="86"/>
      <c r="L1103" s="86"/>
      <c r="M1103" s="86"/>
      <c r="N1103" s="86"/>
      <c r="O1103" s="86"/>
      <c r="P1103" s="86"/>
      <c r="Q1103" s="86"/>
      <c r="R1103" s="86"/>
      <c r="S1103" s="86"/>
      <c r="T1103" s="86"/>
      <c r="U1103" s="86"/>
      <c r="V1103" s="86"/>
      <c r="W1103" s="86"/>
      <c r="X1103" s="86"/>
      <c r="Y1103" s="86"/>
      <c r="Z1103" s="86"/>
      <c r="AA1103" s="86"/>
      <c r="AB1103" s="86"/>
      <c r="AC1103" s="86"/>
      <c r="AD1103" s="86"/>
      <c r="AE1103" s="86"/>
      <c r="AF1103" s="86"/>
    </row>
    <row r="1104" spans="1:32">
      <c r="A1104" s="86"/>
      <c r="B1104" s="86"/>
      <c r="C1104" s="86"/>
      <c r="D1104" s="86"/>
      <c r="E1104" s="86"/>
      <c r="F1104" s="86"/>
      <c r="G1104" s="86"/>
      <c r="H1104" s="86"/>
      <c r="I1104" s="86"/>
      <c r="J1104" s="86"/>
      <c r="K1104" s="86"/>
      <c r="L1104" s="86"/>
      <c r="M1104" s="86"/>
      <c r="N1104" s="86"/>
      <c r="O1104" s="86"/>
      <c r="P1104" s="86"/>
      <c r="Q1104" s="86"/>
      <c r="R1104" s="86"/>
      <c r="S1104" s="86"/>
      <c r="T1104" s="86"/>
      <c r="U1104" s="86"/>
      <c r="V1104" s="86"/>
      <c r="W1104" s="86"/>
      <c r="X1104" s="86"/>
      <c r="Y1104" s="86"/>
      <c r="Z1104" s="86"/>
      <c r="AA1104" s="86"/>
      <c r="AB1104" s="86"/>
      <c r="AC1104" s="86"/>
      <c r="AD1104" s="86"/>
      <c r="AE1104" s="86"/>
      <c r="AF1104" s="86"/>
    </row>
    <row r="1105" spans="1:32">
      <c r="A1105" s="86"/>
      <c r="B1105" s="86"/>
      <c r="C1105" s="86"/>
      <c r="D1105" s="86"/>
      <c r="E1105" s="86"/>
      <c r="F1105" s="86"/>
      <c r="G1105" s="86"/>
      <c r="H1105" s="86"/>
      <c r="I1105" s="86"/>
      <c r="J1105" s="86"/>
      <c r="K1105" s="86"/>
      <c r="L1105" s="86"/>
      <c r="M1105" s="86"/>
      <c r="N1105" s="86"/>
      <c r="O1105" s="86"/>
      <c r="P1105" s="86"/>
      <c r="Q1105" s="86"/>
      <c r="R1105" s="86"/>
      <c r="S1105" s="86"/>
      <c r="T1105" s="86"/>
      <c r="U1105" s="86"/>
      <c r="V1105" s="86"/>
      <c r="W1105" s="86"/>
      <c r="X1105" s="86"/>
      <c r="Y1105" s="86"/>
      <c r="Z1105" s="86"/>
      <c r="AA1105" s="86"/>
      <c r="AB1105" s="86"/>
      <c r="AC1105" s="86"/>
      <c r="AD1105" s="86"/>
      <c r="AE1105" s="86"/>
      <c r="AF1105" s="86"/>
    </row>
    <row r="1106" spans="1:32">
      <c r="A1106" s="86"/>
      <c r="B1106" s="86"/>
      <c r="C1106" s="86"/>
      <c r="D1106" s="86"/>
      <c r="E1106" s="86"/>
      <c r="F1106" s="86"/>
      <c r="G1106" s="86"/>
      <c r="H1106" s="86"/>
      <c r="I1106" s="86"/>
      <c r="J1106" s="86"/>
      <c r="K1106" s="86"/>
      <c r="L1106" s="86"/>
      <c r="M1106" s="86"/>
      <c r="N1106" s="86"/>
      <c r="O1106" s="86"/>
      <c r="P1106" s="86"/>
      <c r="Q1106" s="86"/>
      <c r="R1106" s="86"/>
      <c r="S1106" s="86"/>
      <c r="T1106" s="86"/>
      <c r="U1106" s="86"/>
      <c r="V1106" s="86"/>
      <c r="W1106" s="86"/>
      <c r="X1106" s="86"/>
      <c r="Y1106" s="86"/>
      <c r="Z1106" s="86"/>
      <c r="AA1106" s="86"/>
      <c r="AB1106" s="86"/>
      <c r="AC1106" s="86"/>
      <c r="AD1106" s="86"/>
      <c r="AE1106" s="86"/>
      <c r="AF1106" s="86"/>
    </row>
    <row r="1107" spans="1:32">
      <c r="A1107" s="86"/>
      <c r="B1107" s="86"/>
      <c r="C1107" s="86"/>
      <c r="D1107" s="86"/>
      <c r="E1107" s="86"/>
      <c r="F1107" s="86"/>
      <c r="G1107" s="86"/>
      <c r="H1107" s="86"/>
      <c r="I1107" s="86"/>
      <c r="J1107" s="86"/>
      <c r="K1107" s="86"/>
      <c r="L1107" s="86"/>
      <c r="M1107" s="86"/>
      <c r="N1107" s="86"/>
      <c r="O1107" s="86"/>
      <c r="P1107" s="86"/>
      <c r="Q1107" s="86"/>
      <c r="R1107" s="86"/>
      <c r="S1107" s="86"/>
      <c r="T1107" s="86"/>
      <c r="U1107" s="86"/>
      <c r="V1107" s="86"/>
      <c r="W1107" s="86"/>
      <c r="X1107" s="86"/>
      <c r="Y1107" s="86"/>
      <c r="Z1107" s="86"/>
      <c r="AA1107" s="86"/>
      <c r="AB1107" s="86"/>
      <c r="AC1107" s="86"/>
      <c r="AD1107" s="86"/>
      <c r="AE1107" s="86"/>
      <c r="AF1107" s="86"/>
    </row>
    <row r="1108" spans="1:32">
      <c r="A1108" s="86"/>
      <c r="B1108" s="86"/>
      <c r="C1108" s="86"/>
      <c r="D1108" s="86"/>
      <c r="E1108" s="86"/>
      <c r="F1108" s="86"/>
      <c r="G1108" s="86"/>
      <c r="H1108" s="86"/>
      <c r="I1108" s="86"/>
      <c r="J1108" s="86"/>
      <c r="K1108" s="86"/>
      <c r="L1108" s="86"/>
      <c r="M1108" s="86"/>
      <c r="N1108" s="86"/>
      <c r="O1108" s="86"/>
      <c r="P1108" s="86"/>
      <c r="Q1108" s="86"/>
      <c r="R1108" s="86"/>
      <c r="S1108" s="86"/>
      <c r="T1108" s="86"/>
      <c r="U1108" s="86"/>
      <c r="V1108" s="86"/>
      <c r="W1108" s="86"/>
      <c r="X1108" s="86"/>
      <c r="Y1108" s="86"/>
      <c r="Z1108" s="86"/>
      <c r="AA1108" s="86"/>
      <c r="AB1108" s="86"/>
      <c r="AC1108" s="86"/>
      <c r="AD1108" s="86"/>
      <c r="AE1108" s="86"/>
      <c r="AF1108" s="86"/>
    </row>
    <row r="1109" spans="1:32">
      <c r="A1109" s="86"/>
      <c r="B1109" s="86"/>
      <c r="C1109" s="86"/>
      <c r="D1109" s="86"/>
      <c r="E1109" s="86"/>
      <c r="F1109" s="86"/>
      <c r="G1109" s="86"/>
      <c r="H1109" s="86"/>
      <c r="I1109" s="86"/>
      <c r="J1109" s="86"/>
      <c r="K1109" s="86"/>
      <c r="L1109" s="86"/>
      <c r="M1109" s="86"/>
      <c r="N1109" s="86"/>
      <c r="O1109" s="86"/>
      <c r="P1109" s="86"/>
      <c r="Q1109" s="86"/>
      <c r="R1109" s="86"/>
      <c r="S1109" s="86"/>
      <c r="T1109" s="86"/>
      <c r="U1109" s="86"/>
      <c r="V1109" s="86"/>
      <c r="W1109" s="86"/>
      <c r="X1109" s="86"/>
      <c r="Y1109" s="86"/>
      <c r="Z1109" s="86"/>
      <c r="AA1109" s="86"/>
      <c r="AB1109" s="86"/>
      <c r="AC1109" s="86"/>
      <c r="AD1109" s="86"/>
      <c r="AE1109" s="86"/>
      <c r="AF1109" s="86"/>
    </row>
    <row r="1110" spans="1:32">
      <c r="A1110" s="86"/>
      <c r="B1110" s="86"/>
      <c r="C1110" s="86"/>
      <c r="D1110" s="86"/>
      <c r="E1110" s="86"/>
      <c r="F1110" s="86"/>
      <c r="G1110" s="86"/>
      <c r="H1110" s="86"/>
      <c r="I1110" s="86"/>
      <c r="J1110" s="86"/>
      <c r="K1110" s="86"/>
      <c r="L1110" s="86"/>
      <c r="M1110" s="86"/>
      <c r="N1110" s="86"/>
      <c r="O1110" s="86"/>
      <c r="P1110" s="86"/>
      <c r="Q1110" s="86"/>
      <c r="R1110" s="86"/>
      <c r="S1110" s="86"/>
      <c r="T1110" s="86"/>
      <c r="U1110" s="86"/>
      <c r="V1110" s="86"/>
      <c r="W1110" s="86"/>
      <c r="X1110" s="86"/>
      <c r="Y1110" s="86"/>
      <c r="Z1110" s="86"/>
      <c r="AA1110" s="86"/>
      <c r="AB1110" s="86"/>
      <c r="AC1110" s="86"/>
      <c r="AD1110" s="86"/>
      <c r="AE1110" s="86"/>
      <c r="AF1110" s="86"/>
    </row>
    <row r="1111" spans="1:32">
      <c r="A1111" s="86"/>
      <c r="B1111" s="86"/>
      <c r="C1111" s="86"/>
      <c r="D1111" s="86"/>
      <c r="E1111" s="86"/>
      <c r="F1111" s="86"/>
      <c r="G1111" s="86"/>
      <c r="H1111" s="86"/>
      <c r="I1111" s="86"/>
      <c r="J1111" s="86"/>
      <c r="K1111" s="86"/>
      <c r="L1111" s="86"/>
      <c r="M1111" s="86"/>
      <c r="N1111" s="86"/>
      <c r="O1111" s="86"/>
      <c r="P1111" s="86"/>
      <c r="Q1111" s="86"/>
      <c r="R1111" s="86"/>
      <c r="S1111" s="86"/>
      <c r="T1111" s="86"/>
      <c r="U1111" s="86"/>
      <c r="V1111" s="86"/>
      <c r="W1111" s="86"/>
      <c r="X1111" s="86"/>
      <c r="Y1111" s="86"/>
      <c r="Z1111" s="86"/>
      <c r="AA1111" s="86"/>
      <c r="AB1111" s="86"/>
      <c r="AC1111" s="86"/>
      <c r="AD1111" s="86"/>
      <c r="AE1111" s="86"/>
      <c r="AF1111" s="86"/>
    </row>
    <row r="1112" spans="1:32">
      <c r="A1112" s="86"/>
      <c r="B1112" s="86"/>
      <c r="C1112" s="86"/>
      <c r="D1112" s="86"/>
      <c r="E1112" s="86"/>
      <c r="F1112" s="86"/>
      <c r="G1112" s="86"/>
      <c r="H1112" s="86"/>
      <c r="I1112" s="86"/>
      <c r="J1112" s="86"/>
      <c r="K1112" s="86"/>
      <c r="L1112" s="86"/>
      <c r="M1112" s="86"/>
      <c r="N1112" s="86"/>
      <c r="O1112" s="86"/>
      <c r="P1112" s="86"/>
      <c r="Q1112" s="86"/>
      <c r="R1112" s="86"/>
      <c r="S1112" s="86"/>
      <c r="T1112" s="86"/>
      <c r="U1112" s="86"/>
      <c r="V1112" s="86"/>
      <c r="W1112" s="86"/>
      <c r="X1112" s="86"/>
      <c r="Y1112" s="86"/>
      <c r="Z1112" s="86"/>
      <c r="AA1112" s="86"/>
      <c r="AB1112" s="86"/>
      <c r="AC1112" s="86"/>
      <c r="AD1112" s="86"/>
      <c r="AE1112" s="86"/>
      <c r="AF1112" s="86"/>
    </row>
    <row r="1113" spans="1:32">
      <c r="A1113" s="86"/>
      <c r="B1113" s="86"/>
      <c r="C1113" s="86"/>
      <c r="D1113" s="86"/>
      <c r="E1113" s="86"/>
      <c r="F1113" s="86"/>
      <c r="G1113" s="86"/>
      <c r="H1113" s="86"/>
      <c r="I1113" s="86"/>
      <c r="J1113" s="86"/>
      <c r="K1113" s="86"/>
      <c r="L1113" s="86"/>
      <c r="M1113" s="86"/>
      <c r="N1113" s="86"/>
      <c r="O1113" s="86"/>
      <c r="P1113" s="86"/>
      <c r="Q1113" s="86"/>
      <c r="R1113" s="86"/>
      <c r="S1113" s="86"/>
      <c r="T1113" s="86"/>
      <c r="U1113" s="86"/>
      <c r="V1113" s="86"/>
      <c r="W1113" s="86"/>
      <c r="X1113" s="86"/>
      <c r="Y1113" s="86"/>
      <c r="Z1113" s="86"/>
      <c r="AA1113" s="86"/>
      <c r="AB1113" s="86"/>
      <c r="AC1113" s="86"/>
      <c r="AD1113" s="86"/>
      <c r="AE1113" s="86"/>
      <c r="AF1113" s="86"/>
    </row>
    <row r="1114" spans="1:32">
      <c r="A1114" s="86"/>
      <c r="B1114" s="86"/>
      <c r="C1114" s="86"/>
      <c r="D1114" s="86"/>
      <c r="E1114" s="86"/>
      <c r="F1114" s="86"/>
      <c r="G1114" s="86"/>
      <c r="H1114" s="86"/>
      <c r="I1114" s="86"/>
      <c r="J1114" s="86"/>
      <c r="K1114" s="86"/>
      <c r="L1114" s="86"/>
      <c r="M1114" s="86"/>
      <c r="N1114" s="86"/>
      <c r="O1114" s="86"/>
      <c r="P1114" s="86"/>
      <c r="Q1114" s="86"/>
      <c r="R1114" s="86"/>
      <c r="S1114" s="86"/>
      <c r="T1114" s="86"/>
      <c r="U1114" s="86"/>
      <c r="V1114" s="86"/>
      <c r="W1114" s="86"/>
      <c r="X1114" s="86"/>
      <c r="Y1114" s="86"/>
      <c r="Z1114" s="86"/>
      <c r="AA1114" s="86"/>
      <c r="AB1114" s="86"/>
      <c r="AC1114" s="86"/>
      <c r="AD1114" s="86"/>
      <c r="AE1114" s="86"/>
      <c r="AF1114" s="86"/>
    </row>
    <row r="1115" spans="1:32">
      <c r="A1115" s="86"/>
      <c r="B1115" s="86"/>
      <c r="C1115" s="86"/>
      <c r="D1115" s="86"/>
      <c r="E1115" s="86"/>
      <c r="F1115" s="86"/>
      <c r="G1115" s="86"/>
      <c r="H1115" s="86"/>
      <c r="I1115" s="86"/>
      <c r="J1115" s="86"/>
      <c r="K1115" s="86"/>
      <c r="L1115" s="86"/>
      <c r="M1115" s="86"/>
      <c r="N1115" s="86"/>
      <c r="O1115" s="86"/>
      <c r="P1115" s="86"/>
      <c r="Q1115" s="86"/>
      <c r="R1115" s="86"/>
      <c r="S1115" s="86"/>
      <c r="T1115" s="86"/>
      <c r="U1115" s="86"/>
      <c r="V1115" s="86"/>
      <c r="W1115" s="86"/>
      <c r="X1115" s="86"/>
      <c r="Y1115" s="86"/>
      <c r="Z1115" s="86"/>
      <c r="AA1115" s="86"/>
      <c r="AB1115" s="86"/>
      <c r="AC1115" s="86"/>
      <c r="AD1115" s="86"/>
      <c r="AE1115" s="86"/>
      <c r="AF1115" s="86"/>
    </row>
    <row r="1116" spans="1:32">
      <c r="A1116" s="86"/>
      <c r="B1116" s="86"/>
      <c r="C1116" s="86"/>
      <c r="D1116" s="86"/>
      <c r="E1116" s="86"/>
      <c r="F1116" s="86"/>
      <c r="G1116" s="86"/>
      <c r="H1116" s="86"/>
      <c r="I1116" s="86"/>
      <c r="J1116" s="86"/>
      <c r="K1116" s="86"/>
      <c r="L1116" s="86"/>
      <c r="M1116" s="86"/>
      <c r="N1116" s="86"/>
      <c r="O1116" s="86"/>
      <c r="P1116" s="86"/>
      <c r="Q1116" s="86"/>
      <c r="R1116" s="86"/>
      <c r="S1116" s="86"/>
      <c r="T1116" s="86"/>
      <c r="U1116" s="86"/>
      <c r="V1116" s="86"/>
      <c r="W1116" s="86"/>
      <c r="X1116" s="86"/>
      <c r="Y1116" s="86"/>
      <c r="Z1116" s="86"/>
      <c r="AA1116" s="86"/>
      <c r="AB1116" s="86"/>
      <c r="AC1116" s="86"/>
      <c r="AD1116" s="86"/>
      <c r="AE1116" s="86"/>
      <c r="AF1116" s="86"/>
    </row>
    <row r="1117" spans="1:32">
      <c r="A1117" s="86"/>
      <c r="B1117" s="86"/>
      <c r="C1117" s="86"/>
      <c r="D1117" s="86"/>
      <c r="E1117" s="86"/>
      <c r="F1117" s="86"/>
      <c r="G1117" s="86"/>
      <c r="H1117" s="86"/>
      <c r="I1117" s="86"/>
      <c r="J1117" s="86"/>
      <c r="K1117" s="86"/>
      <c r="L1117" s="86"/>
      <c r="M1117" s="86"/>
      <c r="N1117" s="86"/>
      <c r="O1117" s="86"/>
      <c r="P1117" s="86"/>
      <c r="Q1117" s="86"/>
      <c r="R1117" s="86"/>
      <c r="S1117" s="86"/>
      <c r="T1117" s="86"/>
      <c r="U1117" s="86"/>
      <c r="V1117" s="86"/>
      <c r="W1117" s="86"/>
      <c r="X1117" s="86"/>
      <c r="Y1117" s="86"/>
      <c r="Z1117" s="86"/>
      <c r="AA1117" s="86"/>
      <c r="AB1117" s="86"/>
      <c r="AC1117" s="86"/>
      <c r="AD1117" s="86"/>
      <c r="AE1117" s="86"/>
      <c r="AF1117" s="86"/>
    </row>
    <row r="1118" spans="1:32">
      <c r="A1118" s="86"/>
      <c r="B1118" s="86"/>
      <c r="C1118" s="86"/>
      <c r="D1118" s="86"/>
      <c r="E1118" s="86"/>
      <c r="F1118" s="86"/>
      <c r="G1118" s="86"/>
      <c r="H1118" s="86"/>
      <c r="I1118" s="86"/>
      <c r="J1118" s="86"/>
      <c r="K1118" s="86"/>
      <c r="L1118" s="86"/>
      <c r="M1118" s="86"/>
      <c r="N1118" s="86"/>
      <c r="O1118" s="86"/>
      <c r="P1118" s="86"/>
      <c r="Q1118" s="86"/>
      <c r="R1118" s="86"/>
      <c r="S1118" s="86"/>
      <c r="T1118" s="86"/>
      <c r="U1118" s="86"/>
      <c r="V1118" s="86"/>
      <c r="W1118" s="86"/>
      <c r="X1118" s="86"/>
      <c r="Y1118" s="86"/>
      <c r="Z1118" s="86"/>
      <c r="AA1118" s="86"/>
      <c r="AB1118" s="86"/>
      <c r="AC1118" s="86"/>
      <c r="AD1118" s="86"/>
      <c r="AE1118" s="86"/>
      <c r="AF1118" s="86"/>
    </row>
    <row r="1119" spans="1:32">
      <c r="A1119" s="86"/>
      <c r="B1119" s="86"/>
      <c r="C1119" s="86"/>
      <c r="D1119" s="86"/>
      <c r="E1119" s="86"/>
      <c r="F1119" s="86"/>
      <c r="G1119" s="86"/>
      <c r="H1119" s="86"/>
      <c r="I1119" s="86"/>
      <c r="J1119" s="86"/>
      <c r="K1119" s="86"/>
      <c r="L1119" s="86"/>
      <c r="M1119" s="86"/>
      <c r="N1119" s="86"/>
      <c r="O1119" s="86"/>
      <c r="P1119" s="86"/>
      <c r="Q1119" s="86"/>
      <c r="R1119" s="86"/>
      <c r="S1119" s="86"/>
      <c r="T1119" s="86"/>
      <c r="U1119" s="86"/>
      <c r="V1119" s="86"/>
      <c r="W1119" s="86"/>
      <c r="X1119" s="86"/>
      <c r="Y1119" s="86"/>
      <c r="Z1119" s="86"/>
      <c r="AA1119" s="86"/>
      <c r="AB1119" s="86"/>
      <c r="AC1119" s="86"/>
      <c r="AD1119" s="86"/>
      <c r="AE1119" s="86"/>
      <c r="AF1119" s="86"/>
    </row>
    <row r="1120" spans="1:32">
      <c r="A1120" s="86"/>
      <c r="B1120" s="86"/>
      <c r="C1120" s="86"/>
      <c r="D1120" s="86"/>
      <c r="E1120" s="86"/>
      <c r="F1120" s="86"/>
      <c r="G1120" s="86"/>
      <c r="H1120" s="86"/>
      <c r="I1120" s="86"/>
      <c r="J1120" s="86"/>
      <c r="K1120" s="86"/>
      <c r="L1120" s="86"/>
      <c r="M1120" s="86"/>
      <c r="N1120" s="86"/>
      <c r="O1120" s="86"/>
      <c r="P1120" s="86"/>
      <c r="Q1120" s="86"/>
      <c r="R1120" s="86"/>
      <c r="S1120" s="86"/>
      <c r="T1120" s="86"/>
      <c r="U1120" s="86"/>
      <c r="V1120" s="86"/>
      <c r="W1120" s="86"/>
      <c r="X1120" s="86"/>
      <c r="Y1120" s="86"/>
      <c r="Z1120" s="86"/>
      <c r="AA1120" s="86"/>
      <c r="AB1120" s="86"/>
      <c r="AC1120" s="86"/>
      <c r="AD1120" s="86"/>
      <c r="AE1120" s="86"/>
      <c r="AF1120" s="86"/>
    </row>
    <row r="1121" spans="1:32">
      <c r="A1121" s="86"/>
      <c r="B1121" s="86"/>
      <c r="C1121" s="86"/>
      <c r="D1121" s="86"/>
      <c r="E1121" s="86"/>
      <c r="F1121" s="86"/>
      <c r="G1121" s="86"/>
      <c r="H1121" s="86"/>
      <c r="I1121" s="86"/>
      <c r="J1121" s="86"/>
      <c r="K1121" s="86"/>
      <c r="L1121" s="86"/>
      <c r="M1121" s="86"/>
      <c r="N1121" s="86"/>
      <c r="O1121" s="86"/>
      <c r="P1121" s="86"/>
      <c r="Q1121" s="86"/>
      <c r="R1121" s="86"/>
      <c r="S1121" s="86"/>
      <c r="T1121" s="86"/>
      <c r="U1121" s="86"/>
      <c r="V1121" s="86"/>
      <c r="W1121" s="86"/>
      <c r="X1121" s="86"/>
      <c r="Y1121" s="86"/>
      <c r="Z1121" s="86"/>
      <c r="AA1121" s="86"/>
      <c r="AB1121" s="86"/>
      <c r="AC1121" s="86"/>
      <c r="AD1121" s="86"/>
      <c r="AE1121" s="86"/>
      <c r="AF1121" s="86"/>
    </row>
    <row r="1122" spans="1:32">
      <c r="A1122" s="86"/>
      <c r="B1122" s="86"/>
      <c r="C1122" s="86"/>
      <c r="D1122" s="86"/>
      <c r="E1122" s="86"/>
      <c r="F1122" s="86"/>
      <c r="G1122" s="86"/>
      <c r="H1122" s="86"/>
      <c r="I1122" s="86"/>
      <c r="J1122" s="86"/>
      <c r="K1122" s="86"/>
      <c r="L1122" s="86"/>
      <c r="M1122" s="86"/>
      <c r="N1122" s="86"/>
      <c r="O1122" s="86"/>
      <c r="P1122" s="86"/>
      <c r="Q1122" s="86"/>
      <c r="R1122" s="86"/>
      <c r="S1122" s="86"/>
      <c r="T1122" s="86"/>
      <c r="U1122" s="86"/>
      <c r="V1122" s="86"/>
      <c r="W1122" s="86"/>
      <c r="X1122" s="86"/>
      <c r="Y1122" s="86"/>
      <c r="Z1122" s="86"/>
      <c r="AA1122" s="86"/>
      <c r="AB1122" s="86"/>
      <c r="AC1122" s="86"/>
      <c r="AD1122" s="86"/>
      <c r="AE1122" s="86"/>
      <c r="AF1122" s="86"/>
    </row>
    <row r="1123" spans="1:32">
      <c r="A1123" s="86"/>
      <c r="B1123" s="86"/>
      <c r="C1123" s="86"/>
      <c r="D1123" s="86"/>
      <c r="E1123" s="86"/>
      <c r="F1123" s="86"/>
      <c r="G1123" s="86"/>
      <c r="H1123" s="86"/>
      <c r="I1123" s="86"/>
      <c r="J1123" s="86"/>
      <c r="K1123" s="86"/>
      <c r="L1123" s="86"/>
      <c r="M1123" s="86"/>
      <c r="N1123" s="86"/>
      <c r="O1123" s="86"/>
      <c r="P1123" s="86"/>
      <c r="Q1123" s="86"/>
      <c r="R1123" s="86"/>
      <c r="S1123" s="86"/>
      <c r="T1123" s="86"/>
      <c r="U1123" s="86"/>
      <c r="V1123" s="86"/>
      <c r="W1123" s="86"/>
      <c r="X1123" s="86"/>
      <c r="Y1123" s="86"/>
      <c r="Z1123" s="86"/>
      <c r="AA1123" s="86"/>
      <c r="AB1123" s="86"/>
      <c r="AC1123" s="86"/>
      <c r="AD1123" s="86"/>
      <c r="AE1123" s="86"/>
      <c r="AF1123" s="86"/>
    </row>
    <row r="1124" spans="1:32">
      <c r="A1124" s="86"/>
      <c r="B1124" s="86"/>
      <c r="C1124" s="86"/>
      <c r="D1124" s="86"/>
      <c r="E1124" s="86"/>
      <c r="F1124" s="86"/>
      <c r="G1124" s="86"/>
      <c r="H1124" s="86"/>
      <c r="I1124" s="86"/>
      <c r="J1124" s="86"/>
      <c r="K1124" s="86"/>
      <c r="L1124" s="86"/>
      <c r="M1124" s="86"/>
      <c r="N1124" s="86"/>
      <c r="O1124" s="86"/>
      <c r="P1124" s="86"/>
      <c r="Q1124" s="86"/>
      <c r="R1124" s="86"/>
      <c r="S1124" s="86"/>
      <c r="T1124" s="86"/>
      <c r="U1124" s="86"/>
      <c r="V1124" s="86"/>
      <c r="W1124" s="86"/>
      <c r="X1124" s="86"/>
      <c r="Y1124" s="86"/>
      <c r="Z1124" s="86"/>
      <c r="AA1124" s="86"/>
      <c r="AB1124" s="86"/>
      <c r="AC1124" s="86"/>
      <c r="AD1124" s="86"/>
      <c r="AE1124" s="86"/>
      <c r="AF1124" s="86"/>
    </row>
    <row r="1125" spans="1:32">
      <c r="A1125" s="86"/>
      <c r="B1125" s="86"/>
      <c r="C1125" s="86"/>
      <c r="D1125" s="86"/>
      <c r="E1125" s="86"/>
      <c r="F1125" s="86"/>
      <c r="G1125" s="86"/>
      <c r="H1125" s="86"/>
      <c r="I1125" s="86"/>
      <c r="J1125" s="86"/>
      <c r="K1125" s="86"/>
      <c r="L1125" s="86"/>
      <c r="M1125" s="86"/>
      <c r="N1125" s="86"/>
      <c r="O1125" s="86"/>
      <c r="P1125" s="86"/>
      <c r="Q1125" s="86"/>
      <c r="R1125" s="86"/>
      <c r="S1125" s="86"/>
      <c r="T1125" s="86"/>
      <c r="U1125" s="86"/>
      <c r="V1125" s="86"/>
      <c r="W1125" s="86"/>
      <c r="X1125" s="86"/>
      <c r="Y1125" s="86"/>
      <c r="Z1125" s="86"/>
      <c r="AA1125" s="86"/>
      <c r="AB1125" s="86"/>
      <c r="AC1125" s="86"/>
      <c r="AD1125" s="86"/>
      <c r="AE1125" s="86"/>
      <c r="AF1125" s="86"/>
    </row>
    <row r="1126" spans="1:32">
      <c r="A1126" s="86"/>
      <c r="B1126" s="86"/>
      <c r="C1126" s="86"/>
      <c r="D1126" s="86"/>
      <c r="E1126" s="86"/>
      <c r="F1126" s="86"/>
      <c r="G1126" s="86"/>
      <c r="H1126" s="86"/>
      <c r="I1126" s="86"/>
      <c r="J1126" s="86"/>
      <c r="K1126" s="86"/>
      <c r="L1126" s="86"/>
      <c r="M1126" s="86"/>
      <c r="N1126" s="86"/>
      <c r="O1126" s="86"/>
      <c r="P1126" s="86"/>
      <c r="Q1126" s="86"/>
      <c r="R1126" s="86"/>
      <c r="S1126" s="86"/>
      <c r="T1126" s="86"/>
      <c r="U1126" s="86"/>
      <c r="V1126" s="86"/>
      <c r="W1126" s="86"/>
      <c r="X1126" s="86"/>
      <c r="Y1126" s="86"/>
      <c r="Z1126" s="86"/>
      <c r="AA1126" s="86"/>
      <c r="AB1126" s="86"/>
      <c r="AC1126" s="86"/>
      <c r="AD1126" s="86"/>
      <c r="AE1126" s="86"/>
      <c r="AF1126" s="86"/>
    </row>
    <row r="1127" spans="1:32">
      <c r="A1127" s="86"/>
      <c r="B1127" s="86"/>
      <c r="C1127" s="86"/>
      <c r="D1127" s="86"/>
      <c r="E1127" s="86"/>
      <c r="F1127" s="86"/>
      <c r="G1127" s="86"/>
      <c r="H1127" s="86"/>
      <c r="I1127" s="86"/>
      <c r="J1127" s="86"/>
      <c r="K1127" s="86"/>
      <c r="L1127" s="86"/>
      <c r="M1127" s="86"/>
      <c r="N1127" s="86"/>
      <c r="O1127" s="86"/>
      <c r="P1127" s="86"/>
      <c r="Q1127" s="86"/>
      <c r="R1127" s="86"/>
      <c r="S1127" s="86"/>
      <c r="T1127" s="86"/>
      <c r="U1127" s="86"/>
      <c r="V1127" s="86"/>
      <c r="W1127" s="86"/>
      <c r="X1127" s="86"/>
      <c r="Y1127" s="86"/>
      <c r="Z1127" s="86"/>
      <c r="AA1127" s="86"/>
      <c r="AB1127" s="86"/>
      <c r="AC1127" s="86"/>
      <c r="AD1127" s="86"/>
      <c r="AE1127" s="86"/>
      <c r="AF1127" s="86"/>
    </row>
    <row r="1128" spans="1:32">
      <c r="A1128" s="86"/>
      <c r="B1128" s="86"/>
      <c r="C1128" s="86"/>
      <c r="D1128" s="86"/>
      <c r="E1128" s="86"/>
      <c r="F1128" s="86"/>
      <c r="G1128" s="86"/>
      <c r="H1128" s="86"/>
      <c r="I1128" s="86"/>
      <c r="J1128" s="86"/>
      <c r="K1128" s="86"/>
      <c r="L1128" s="86"/>
      <c r="M1128" s="86"/>
      <c r="N1128" s="86"/>
      <c r="O1128" s="86"/>
      <c r="P1128" s="86"/>
      <c r="Q1128" s="86"/>
      <c r="R1128" s="86"/>
      <c r="S1128" s="86"/>
      <c r="T1128" s="86"/>
      <c r="U1128" s="86"/>
      <c r="V1128" s="86"/>
      <c r="W1128" s="86"/>
      <c r="X1128" s="86"/>
      <c r="Y1128" s="86"/>
      <c r="Z1128" s="86"/>
      <c r="AA1128" s="86"/>
      <c r="AB1128" s="86"/>
      <c r="AC1128" s="86"/>
      <c r="AD1128" s="86"/>
      <c r="AE1128" s="86"/>
      <c r="AF1128" s="86"/>
    </row>
    <row r="1129" spans="1:32">
      <c r="A1129" s="86"/>
      <c r="B1129" s="86"/>
      <c r="C1129" s="86"/>
      <c r="D1129" s="86"/>
      <c r="E1129" s="86"/>
      <c r="F1129" s="86"/>
      <c r="G1129" s="86"/>
      <c r="H1129" s="86"/>
      <c r="I1129" s="86"/>
      <c r="J1129" s="86"/>
      <c r="K1129" s="86"/>
      <c r="L1129" s="86"/>
      <c r="M1129" s="86"/>
      <c r="N1129" s="86"/>
      <c r="O1129" s="86"/>
      <c r="P1129" s="86"/>
      <c r="Q1129" s="86"/>
      <c r="R1129" s="86"/>
      <c r="S1129" s="86"/>
      <c r="T1129" s="86"/>
      <c r="U1129" s="86"/>
      <c r="V1129" s="86"/>
      <c r="W1129" s="86"/>
      <c r="X1129" s="86"/>
      <c r="Y1129" s="86"/>
      <c r="Z1129" s="86"/>
      <c r="AA1129" s="86"/>
      <c r="AB1129" s="86"/>
      <c r="AC1129" s="86"/>
      <c r="AD1129" s="86"/>
      <c r="AE1129" s="86"/>
      <c r="AF1129" s="86"/>
    </row>
    <row r="1130" spans="1:32">
      <c r="A1130" s="86"/>
      <c r="B1130" s="86"/>
      <c r="C1130" s="86"/>
      <c r="D1130" s="86"/>
      <c r="E1130" s="86"/>
      <c r="F1130" s="86"/>
      <c r="G1130" s="86"/>
      <c r="H1130" s="86"/>
      <c r="I1130" s="86"/>
      <c r="J1130" s="86"/>
      <c r="K1130" s="86"/>
      <c r="L1130" s="86"/>
      <c r="M1130" s="86"/>
      <c r="N1130" s="86"/>
      <c r="O1130" s="86"/>
      <c r="P1130" s="86"/>
      <c r="Q1130" s="86"/>
      <c r="R1130" s="86"/>
      <c r="S1130" s="86"/>
      <c r="T1130" s="86"/>
      <c r="U1130" s="86"/>
      <c r="V1130" s="86"/>
      <c r="W1130" s="86"/>
      <c r="X1130" s="86"/>
      <c r="Y1130" s="86"/>
      <c r="Z1130" s="86"/>
      <c r="AA1130" s="86"/>
      <c r="AB1130" s="86"/>
      <c r="AC1130" s="86"/>
      <c r="AD1130" s="86"/>
      <c r="AE1130" s="86"/>
      <c r="AF1130" s="86"/>
    </row>
    <row r="1131" spans="1:32">
      <c r="A1131" s="86"/>
      <c r="B1131" s="86"/>
      <c r="C1131" s="86"/>
      <c r="D1131" s="86"/>
      <c r="E1131" s="86"/>
      <c r="F1131" s="86"/>
      <c r="G1131" s="86"/>
      <c r="H1131" s="86"/>
      <c r="I1131" s="86"/>
      <c r="J1131" s="86"/>
      <c r="K1131" s="86"/>
      <c r="L1131" s="86"/>
      <c r="M1131" s="86"/>
      <c r="N1131" s="86"/>
      <c r="O1131" s="86"/>
      <c r="P1131" s="86"/>
      <c r="Q1131" s="86"/>
      <c r="R1131" s="86"/>
      <c r="S1131" s="86"/>
      <c r="T1131" s="86"/>
      <c r="U1131" s="86"/>
      <c r="V1131" s="86"/>
      <c r="W1131" s="86"/>
      <c r="X1131" s="86"/>
      <c r="Y1131" s="86"/>
      <c r="Z1131" s="86"/>
      <c r="AA1131" s="86"/>
      <c r="AB1131" s="86"/>
      <c r="AC1131" s="86"/>
      <c r="AD1131" s="86"/>
      <c r="AE1131" s="86"/>
      <c r="AF1131" s="86"/>
    </row>
    <row r="1132" spans="1:32">
      <c r="A1132" s="86"/>
      <c r="B1132" s="86"/>
      <c r="C1132" s="86"/>
      <c r="D1132" s="86"/>
      <c r="E1132" s="86"/>
      <c r="F1132" s="86"/>
      <c r="G1132" s="86"/>
      <c r="H1132" s="86"/>
      <c r="I1132" s="86"/>
      <c r="J1132" s="86"/>
      <c r="K1132" s="86"/>
      <c r="L1132" s="86"/>
      <c r="M1132" s="86"/>
      <c r="N1132" s="86"/>
      <c r="O1132" s="86"/>
      <c r="P1132" s="86"/>
      <c r="Q1132" s="86"/>
      <c r="R1132" s="86"/>
      <c r="S1132" s="86"/>
      <c r="T1132" s="86"/>
      <c r="U1132" s="86"/>
      <c r="V1132" s="86"/>
      <c r="W1132" s="86"/>
      <c r="X1132" s="86"/>
      <c r="Y1132" s="86"/>
      <c r="Z1132" s="86"/>
      <c r="AA1132" s="86"/>
      <c r="AB1132" s="86"/>
      <c r="AC1132" s="86"/>
      <c r="AD1132" s="86"/>
      <c r="AE1132" s="86"/>
      <c r="AF1132" s="86"/>
    </row>
    <row r="1133" spans="1:32">
      <c r="A1133" s="86"/>
      <c r="B1133" s="86"/>
      <c r="C1133" s="86"/>
      <c r="D1133" s="86"/>
      <c r="E1133" s="86"/>
      <c r="F1133" s="86"/>
      <c r="G1133" s="86"/>
      <c r="H1133" s="86"/>
      <c r="I1133" s="86"/>
      <c r="J1133" s="86"/>
      <c r="K1133" s="86"/>
      <c r="L1133" s="86"/>
      <c r="M1133" s="86"/>
      <c r="N1133" s="86"/>
      <c r="O1133" s="86"/>
      <c r="P1133" s="86"/>
      <c r="Q1133" s="86"/>
      <c r="R1133" s="86"/>
      <c r="S1133" s="86"/>
      <c r="T1133" s="86"/>
      <c r="U1133" s="86"/>
      <c r="V1133" s="86"/>
      <c r="W1133" s="86"/>
      <c r="X1133" s="86"/>
      <c r="Y1133" s="86"/>
      <c r="Z1133" s="86"/>
      <c r="AA1133" s="86"/>
      <c r="AB1133" s="86"/>
      <c r="AC1133" s="86"/>
      <c r="AD1133" s="86"/>
      <c r="AE1133" s="86"/>
      <c r="AF1133" s="86"/>
    </row>
    <row r="1134" spans="1:32">
      <c r="A1134" s="86"/>
      <c r="B1134" s="86"/>
      <c r="C1134" s="86"/>
      <c r="D1134" s="86"/>
      <c r="E1134" s="86"/>
      <c r="F1134" s="86"/>
      <c r="G1134" s="86"/>
      <c r="H1134" s="86"/>
      <c r="I1134" s="86"/>
      <c r="J1134" s="86"/>
      <c r="K1134" s="86"/>
      <c r="L1134" s="86"/>
      <c r="M1134" s="86"/>
      <c r="N1134" s="86"/>
      <c r="O1134" s="86"/>
      <c r="P1134" s="86"/>
      <c r="Q1134" s="86"/>
      <c r="R1134" s="86"/>
      <c r="S1134" s="86"/>
      <c r="T1134" s="86"/>
      <c r="U1134" s="86"/>
      <c r="V1134" s="86"/>
      <c r="W1134" s="86"/>
      <c r="X1134" s="86"/>
      <c r="Y1134" s="86"/>
      <c r="Z1134" s="86"/>
      <c r="AA1134" s="86"/>
      <c r="AB1134" s="86"/>
      <c r="AC1134" s="86"/>
      <c r="AD1134" s="86"/>
      <c r="AE1134" s="86"/>
      <c r="AF1134" s="86"/>
    </row>
    <row r="1135" spans="1:32">
      <c r="A1135" s="86"/>
      <c r="B1135" s="86"/>
      <c r="C1135" s="86"/>
      <c r="D1135" s="86"/>
      <c r="E1135" s="86"/>
      <c r="F1135" s="86"/>
      <c r="G1135" s="86"/>
      <c r="H1135" s="86"/>
      <c r="I1135" s="86"/>
      <c r="J1135" s="86"/>
      <c r="K1135" s="86"/>
      <c r="L1135" s="86"/>
      <c r="M1135" s="86"/>
      <c r="N1135" s="86"/>
      <c r="O1135" s="86"/>
      <c r="P1135" s="86"/>
      <c r="Q1135" s="86"/>
      <c r="R1135" s="86"/>
      <c r="S1135" s="86"/>
      <c r="T1135" s="86"/>
      <c r="U1135" s="86"/>
      <c r="V1135" s="86"/>
      <c r="W1135" s="86"/>
      <c r="X1135" s="86"/>
      <c r="Y1135" s="86"/>
      <c r="Z1135" s="86"/>
      <c r="AA1135" s="86"/>
      <c r="AB1135" s="86"/>
      <c r="AC1135" s="86"/>
      <c r="AD1135" s="86"/>
      <c r="AE1135" s="86"/>
      <c r="AF1135" s="86"/>
    </row>
    <row r="1136" spans="1:32">
      <c r="A1136" s="86"/>
      <c r="B1136" s="86"/>
      <c r="C1136" s="86"/>
      <c r="D1136" s="86"/>
      <c r="E1136" s="86"/>
      <c r="F1136" s="86"/>
      <c r="G1136" s="86"/>
      <c r="H1136" s="86"/>
      <c r="I1136" s="86"/>
      <c r="J1136" s="86"/>
      <c r="K1136" s="86"/>
      <c r="L1136" s="86"/>
      <c r="M1136" s="86"/>
      <c r="N1136" s="86"/>
      <c r="O1136" s="86"/>
      <c r="P1136" s="86"/>
      <c r="Q1136" s="86"/>
      <c r="R1136" s="86"/>
      <c r="S1136" s="86"/>
      <c r="T1136" s="86"/>
      <c r="U1136" s="86"/>
      <c r="V1136" s="86"/>
      <c r="W1136" s="86"/>
      <c r="X1136" s="86"/>
      <c r="Y1136" s="86"/>
      <c r="Z1136" s="86"/>
      <c r="AA1136" s="86"/>
      <c r="AB1136" s="86"/>
      <c r="AC1136" s="86"/>
      <c r="AD1136" s="86"/>
      <c r="AE1136" s="86"/>
      <c r="AF1136" s="86"/>
    </row>
    <row r="1137" spans="1:32">
      <c r="A1137" s="86"/>
      <c r="B1137" s="86"/>
      <c r="C1137" s="86"/>
      <c r="D1137" s="86"/>
      <c r="E1137" s="86"/>
      <c r="F1137" s="86"/>
      <c r="G1137" s="86"/>
      <c r="H1137" s="86"/>
      <c r="I1137" s="86"/>
      <c r="J1137" s="86"/>
      <c r="K1137" s="86"/>
      <c r="L1137" s="86"/>
      <c r="M1137" s="86"/>
      <c r="N1137" s="86"/>
      <c r="O1137" s="86"/>
      <c r="P1137" s="86"/>
      <c r="Q1137" s="86"/>
      <c r="R1137" s="86"/>
      <c r="S1137" s="86"/>
      <c r="T1137" s="86"/>
      <c r="U1137" s="86"/>
      <c r="V1137" s="86"/>
      <c r="W1137" s="86"/>
      <c r="X1137" s="86"/>
      <c r="Y1137" s="86"/>
      <c r="Z1137" s="86"/>
      <c r="AA1137" s="86"/>
      <c r="AB1137" s="86"/>
      <c r="AC1137" s="86"/>
      <c r="AD1137" s="86"/>
      <c r="AE1137" s="86"/>
      <c r="AF1137" s="86"/>
    </row>
    <row r="1138" spans="1:32">
      <c r="A1138" s="86"/>
      <c r="B1138" s="86"/>
      <c r="C1138" s="86"/>
      <c r="D1138" s="86"/>
      <c r="E1138" s="86"/>
      <c r="F1138" s="86"/>
      <c r="G1138" s="86"/>
      <c r="H1138" s="86"/>
      <c r="I1138" s="86"/>
      <c r="J1138" s="86"/>
      <c r="K1138" s="86"/>
      <c r="L1138" s="86"/>
      <c r="M1138" s="86"/>
      <c r="N1138" s="86"/>
      <c r="O1138" s="86"/>
      <c r="P1138" s="86"/>
      <c r="Q1138" s="86"/>
      <c r="R1138" s="86"/>
      <c r="S1138" s="86"/>
      <c r="T1138" s="86"/>
      <c r="U1138" s="86"/>
      <c r="V1138" s="86"/>
      <c r="W1138" s="86"/>
      <c r="X1138" s="86"/>
      <c r="Y1138" s="86"/>
      <c r="Z1138" s="86"/>
      <c r="AA1138" s="86"/>
      <c r="AB1138" s="86"/>
      <c r="AC1138" s="86"/>
      <c r="AD1138" s="86"/>
      <c r="AE1138" s="86"/>
      <c r="AF1138" s="86"/>
    </row>
    <row r="1139" spans="1:32">
      <c r="A1139" s="86"/>
      <c r="B1139" s="86"/>
      <c r="C1139" s="86"/>
      <c r="D1139" s="86"/>
      <c r="E1139" s="86"/>
      <c r="F1139" s="86"/>
      <c r="G1139" s="86"/>
      <c r="H1139" s="86"/>
      <c r="I1139" s="86"/>
      <c r="J1139" s="86"/>
      <c r="K1139" s="86"/>
      <c r="L1139" s="86"/>
      <c r="M1139" s="86"/>
      <c r="N1139" s="86"/>
      <c r="O1139" s="86"/>
      <c r="P1139" s="86"/>
      <c r="Q1139" s="86"/>
      <c r="R1139" s="86"/>
      <c r="S1139" s="86"/>
      <c r="T1139" s="86"/>
      <c r="U1139" s="86"/>
      <c r="V1139" s="86"/>
      <c r="W1139" s="86"/>
      <c r="X1139" s="86"/>
      <c r="Y1139" s="86"/>
      <c r="Z1139" s="86"/>
      <c r="AA1139" s="86"/>
      <c r="AB1139" s="86"/>
      <c r="AC1139" s="86"/>
      <c r="AD1139" s="86"/>
      <c r="AE1139" s="86"/>
      <c r="AF1139" s="86"/>
    </row>
    <row r="1140" spans="1:32">
      <c r="A1140" s="86"/>
      <c r="B1140" s="86"/>
      <c r="C1140" s="86"/>
      <c r="D1140" s="86"/>
      <c r="E1140" s="86"/>
      <c r="F1140" s="86"/>
      <c r="G1140" s="86"/>
      <c r="H1140" s="86"/>
      <c r="I1140" s="86"/>
      <c r="J1140" s="86"/>
      <c r="K1140" s="86"/>
      <c r="L1140" s="86"/>
      <c r="M1140" s="86"/>
      <c r="N1140" s="86"/>
      <c r="O1140" s="86"/>
      <c r="P1140" s="86"/>
      <c r="Q1140" s="86"/>
      <c r="R1140" s="86"/>
      <c r="S1140" s="86"/>
      <c r="T1140" s="86"/>
      <c r="U1140" s="86"/>
      <c r="V1140" s="86"/>
      <c r="W1140" s="86"/>
      <c r="X1140" s="86"/>
      <c r="Y1140" s="86"/>
      <c r="Z1140" s="86"/>
      <c r="AA1140" s="86"/>
      <c r="AB1140" s="86"/>
      <c r="AC1140" s="86"/>
      <c r="AD1140" s="86"/>
      <c r="AE1140" s="86"/>
      <c r="AF1140" s="86"/>
    </row>
    <row r="1141" spans="1:32">
      <c r="A1141" s="86"/>
      <c r="B1141" s="86"/>
      <c r="C1141" s="86"/>
      <c r="D1141" s="86"/>
      <c r="E1141" s="86"/>
      <c r="F1141" s="86"/>
      <c r="G1141" s="86"/>
      <c r="H1141" s="86"/>
      <c r="I1141" s="86"/>
      <c r="J1141" s="86"/>
      <c r="K1141" s="86"/>
      <c r="L1141" s="86"/>
      <c r="M1141" s="86"/>
      <c r="N1141" s="86"/>
      <c r="O1141" s="86"/>
      <c r="P1141" s="86"/>
      <c r="Q1141" s="86"/>
      <c r="R1141" s="86"/>
      <c r="S1141" s="86"/>
      <c r="T1141" s="86"/>
      <c r="U1141" s="86"/>
      <c r="V1141" s="86"/>
      <c r="W1141" s="86"/>
      <c r="X1141" s="86"/>
      <c r="Y1141" s="86"/>
      <c r="Z1141" s="86"/>
      <c r="AA1141" s="86"/>
      <c r="AB1141" s="86"/>
      <c r="AC1141" s="86"/>
      <c r="AD1141" s="86"/>
      <c r="AE1141" s="86"/>
      <c r="AF1141" s="86"/>
    </row>
    <row r="1142" spans="1:32">
      <c r="A1142" s="86"/>
      <c r="B1142" s="86"/>
      <c r="C1142" s="86"/>
      <c r="D1142" s="86"/>
      <c r="E1142" s="86"/>
      <c r="F1142" s="86"/>
      <c r="G1142" s="86"/>
      <c r="H1142" s="86"/>
      <c r="I1142" s="86"/>
      <c r="J1142" s="86"/>
      <c r="K1142" s="86"/>
      <c r="L1142" s="86"/>
      <c r="M1142" s="86"/>
      <c r="N1142" s="86"/>
      <c r="O1142" s="86"/>
      <c r="P1142" s="86"/>
      <c r="Q1142" s="86"/>
      <c r="R1142" s="86"/>
      <c r="S1142" s="86"/>
      <c r="T1142" s="86"/>
      <c r="U1142" s="86"/>
      <c r="V1142" s="86"/>
      <c r="W1142" s="86"/>
      <c r="X1142" s="86"/>
      <c r="Y1142" s="86"/>
      <c r="Z1142" s="86"/>
      <c r="AA1142" s="86"/>
      <c r="AB1142" s="86"/>
      <c r="AC1142" s="86"/>
      <c r="AD1142" s="86"/>
      <c r="AE1142" s="86"/>
      <c r="AF1142" s="86"/>
    </row>
    <row r="1143" spans="1:32">
      <c r="A1143" s="86"/>
      <c r="B1143" s="86"/>
      <c r="C1143" s="86"/>
      <c r="D1143" s="86"/>
      <c r="E1143" s="86"/>
      <c r="F1143" s="86"/>
      <c r="G1143" s="86"/>
      <c r="H1143" s="86"/>
      <c r="I1143" s="86"/>
      <c r="J1143" s="86"/>
      <c r="K1143" s="86"/>
      <c r="L1143" s="86"/>
      <c r="M1143" s="86"/>
      <c r="N1143" s="86"/>
      <c r="O1143" s="86"/>
      <c r="P1143" s="86"/>
      <c r="Q1143" s="86"/>
      <c r="R1143" s="86"/>
      <c r="S1143" s="86"/>
      <c r="T1143" s="86"/>
      <c r="U1143" s="86"/>
      <c r="V1143" s="86"/>
      <c r="W1143" s="86"/>
      <c r="X1143" s="86"/>
      <c r="Y1143" s="86"/>
      <c r="Z1143" s="86"/>
      <c r="AA1143" s="86"/>
      <c r="AB1143" s="86"/>
      <c r="AC1143" s="86"/>
      <c r="AD1143" s="86"/>
      <c r="AE1143" s="86"/>
      <c r="AF1143" s="86"/>
    </row>
    <row r="1144" spans="1:32">
      <c r="A1144" s="86"/>
      <c r="B1144" s="86"/>
      <c r="C1144" s="86"/>
      <c r="D1144" s="86"/>
      <c r="E1144" s="86"/>
      <c r="F1144" s="86"/>
      <c r="G1144" s="86"/>
      <c r="H1144" s="86"/>
      <c r="I1144" s="86"/>
      <c r="J1144" s="86"/>
      <c r="K1144" s="86"/>
      <c r="L1144" s="86"/>
      <c r="M1144" s="86"/>
      <c r="N1144" s="86"/>
      <c r="O1144" s="86"/>
      <c r="P1144" s="86"/>
      <c r="Q1144" s="86"/>
      <c r="R1144" s="86"/>
      <c r="S1144" s="86"/>
      <c r="T1144" s="86"/>
      <c r="U1144" s="86"/>
      <c r="V1144" s="86"/>
      <c r="W1144" s="86"/>
      <c r="X1144" s="86"/>
      <c r="Y1144" s="86"/>
      <c r="Z1144" s="86"/>
      <c r="AA1144" s="86"/>
      <c r="AB1144" s="86"/>
      <c r="AC1144" s="86"/>
      <c r="AD1144" s="86"/>
      <c r="AE1144" s="86"/>
      <c r="AF1144" s="86"/>
    </row>
    <row r="1145" spans="1:32">
      <c r="A1145" s="86"/>
      <c r="B1145" s="86"/>
      <c r="C1145" s="86"/>
      <c r="D1145" s="86"/>
      <c r="E1145" s="86"/>
      <c r="F1145" s="86"/>
      <c r="G1145" s="86"/>
      <c r="H1145" s="86"/>
      <c r="I1145" s="86"/>
      <c r="J1145" s="86"/>
      <c r="K1145" s="86"/>
      <c r="L1145" s="86"/>
      <c r="M1145" s="86"/>
      <c r="N1145" s="86"/>
      <c r="O1145" s="86"/>
      <c r="P1145" s="86"/>
      <c r="Q1145" s="86"/>
      <c r="R1145" s="86"/>
      <c r="S1145" s="86"/>
      <c r="T1145" s="86"/>
      <c r="U1145" s="86"/>
      <c r="V1145" s="86"/>
      <c r="W1145" s="86"/>
      <c r="X1145" s="86"/>
      <c r="Y1145" s="86"/>
      <c r="Z1145" s="86"/>
      <c r="AA1145" s="86"/>
      <c r="AB1145" s="86"/>
      <c r="AC1145" s="86"/>
      <c r="AD1145" s="86"/>
      <c r="AE1145" s="86"/>
      <c r="AF1145" s="86"/>
    </row>
    <row r="1146" spans="1:32">
      <c r="A1146" s="86"/>
      <c r="B1146" s="86"/>
      <c r="C1146" s="86"/>
      <c r="D1146" s="86"/>
      <c r="E1146" s="86"/>
      <c r="F1146" s="86"/>
      <c r="G1146" s="86"/>
      <c r="H1146" s="86"/>
      <c r="I1146" s="86"/>
      <c r="J1146" s="86"/>
      <c r="K1146" s="86"/>
      <c r="L1146" s="86"/>
      <c r="M1146" s="86"/>
      <c r="N1146" s="86"/>
      <c r="O1146" s="86"/>
      <c r="P1146" s="86"/>
      <c r="Q1146" s="86"/>
      <c r="R1146" s="86"/>
      <c r="S1146" s="86"/>
      <c r="T1146" s="86"/>
      <c r="U1146" s="86"/>
      <c r="V1146" s="86"/>
      <c r="W1146" s="86"/>
      <c r="X1146" s="86"/>
      <c r="Y1146" s="86"/>
      <c r="Z1146" s="86"/>
      <c r="AA1146" s="86"/>
      <c r="AB1146" s="86"/>
      <c r="AC1146" s="86"/>
      <c r="AD1146" s="86"/>
      <c r="AE1146" s="86"/>
      <c r="AF1146" s="86"/>
    </row>
    <row r="1147" spans="1:32">
      <c r="A1147" s="86"/>
      <c r="B1147" s="86"/>
      <c r="C1147" s="86"/>
      <c r="D1147" s="86"/>
      <c r="E1147" s="86"/>
      <c r="F1147" s="86"/>
      <c r="G1147" s="86"/>
      <c r="H1147" s="86"/>
      <c r="I1147" s="86"/>
      <c r="J1147" s="86"/>
      <c r="K1147" s="86"/>
      <c r="L1147" s="86"/>
      <c r="M1147" s="86"/>
      <c r="N1147" s="86"/>
      <c r="O1147" s="86"/>
      <c r="P1147" s="86"/>
      <c r="Q1147" s="86"/>
      <c r="R1147" s="86"/>
      <c r="S1147" s="86"/>
      <c r="T1147" s="86"/>
      <c r="U1147" s="86"/>
      <c r="V1147" s="86"/>
      <c r="W1147" s="86"/>
      <c r="X1147" s="86"/>
      <c r="Y1147" s="86"/>
      <c r="Z1147" s="86"/>
      <c r="AA1147" s="86"/>
      <c r="AB1147" s="86"/>
      <c r="AC1147" s="86"/>
      <c r="AD1147" s="86"/>
      <c r="AE1147" s="86"/>
      <c r="AF1147" s="86"/>
    </row>
    <row r="1148" spans="1:32">
      <c r="A1148" s="86"/>
      <c r="B1148" s="86"/>
      <c r="C1148" s="86"/>
      <c r="D1148" s="86"/>
      <c r="E1148" s="86"/>
      <c r="F1148" s="86"/>
      <c r="G1148" s="86"/>
      <c r="H1148" s="86"/>
      <c r="I1148" s="86"/>
      <c r="J1148" s="86"/>
      <c r="K1148" s="86"/>
      <c r="L1148" s="86"/>
      <c r="M1148" s="86"/>
      <c r="N1148" s="86"/>
      <c r="O1148" s="86"/>
      <c r="P1148" s="86"/>
      <c r="Q1148" s="86"/>
      <c r="R1148" s="86"/>
      <c r="S1148" s="86"/>
      <c r="T1148" s="86"/>
      <c r="U1148" s="86"/>
      <c r="V1148" s="86"/>
      <c r="W1148" s="86"/>
      <c r="X1148" s="86"/>
      <c r="Y1148" s="86"/>
      <c r="Z1148" s="86"/>
      <c r="AA1148" s="86"/>
      <c r="AB1148" s="86"/>
      <c r="AC1148" s="86"/>
      <c r="AD1148" s="86"/>
      <c r="AE1148" s="86"/>
      <c r="AF1148" s="86"/>
    </row>
    <row r="1149" spans="1:32">
      <c r="A1149" s="86"/>
      <c r="B1149" s="86"/>
      <c r="C1149" s="86"/>
      <c r="D1149" s="86"/>
      <c r="E1149" s="86"/>
      <c r="F1149" s="86"/>
      <c r="G1149" s="86"/>
      <c r="H1149" s="86"/>
      <c r="I1149" s="86"/>
      <c r="J1149" s="86"/>
      <c r="K1149" s="86"/>
      <c r="L1149" s="86"/>
      <c r="M1149" s="86"/>
      <c r="N1149" s="86"/>
      <c r="O1149" s="86"/>
      <c r="P1149" s="86"/>
      <c r="Q1149" s="86"/>
      <c r="R1149" s="86"/>
      <c r="S1149" s="86"/>
      <c r="T1149" s="86"/>
      <c r="U1149" s="86"/>
      <c r="V1149" s="86"/>
      <c r="W1149" s="86"/>
      <c r="X1149" s="86"/>
      <c r="Y1149" s="86"/>
      <c r="Z1149" s="86"/>
      <c r="AA1149" s="86"/>
      <c r="AB1149" s="86"/>
      <c r="AC1149" s="86"/>
      <c r="AD1149" s="86"/>
      <c r="AE1149" s="86"/>
      <c r="AF1149" s="86"/>
    </row>
    <row r="1150" spans="1:32">
      <c r="A1150" s="86"/>
      <c r="B1150" s="86"/>
      <c r="C1150" s="86"/>
      <c r="D1150" s="86"/>
      <c r="E1150" s="86"/>
      <c r="F1150" s="86"/>
      <c r="G1150" s="86"/>
      <c r="H1150" s="86"/>
      <c r="I1150" s="86"/>
      <c r="J1150" s="86"/>
      <c r="K1150" s="86"/>
      <c r="L1150" s="86"/>
      <c r="M1150" s="86"/>
      <c r="N1150" s="86"/>
      <c r="O1150" s="86"/>
      <c r="P1150" s="86"/>
      <c r="Q1150" s="86"/>
      <c r="R1150" s="86"/>
      <c r="S1150" s="86"/>
      <c r="T1150" s="86"/>
      <c r="U1150" s="86"/>
      <c r="V1150" s="86"/>
      <c r="W1150" s="86"/>
      <c r="X1150" s="86"/>
      <c r="Y1150" s="86"/>
      <c r="Z1150" s="86"/>
      <c r="AA1150" s="86"/>
      <c r="AB1150" s="86"/>
      <c r="AC1150" s="86"/>
      <c r="AD1150" s="86"/>
      <c r="AE1150" s="86"/>
      <c r="AF1150" s="86"/>
    </row>
    <row r="1151" spans="1:32">
      <c r="A1151" s="86"/>
      <c r="B1151" s="86"/>
      <c r="C1151" s="86"/>
      <c r="D1151" s="86"/>
      <c r="E1151" s="86"/>
      <c r="F1151" s="86"/>
      <c r="G1151" s="86"/>
      <c r="H1151" s="86"/>
      <c r="I1151" s="86"/>
      <c r="J1151" s="86"/>
      <c r="K1151" s="86"/>
      <c r="L1151" s="86"/>
      <c r="M1151" s="86"/>
      <c r="N1151" s="86"/>
      <c r="O1151" s="86"/>
      <c r="P1151" s="86"/>
      <c r="Q1151" s="86"/>
      <c r="R1151" s="86"/>
      <c r="S1151" s="86"/>
      <c r="T1151" s="86"/>
      <c r="U1151" s="86"/>
      <c r="V1151" s="86"/>
      <c r="W1151" s="86"/>
      <c r="X1151" s="86"/>
      <c r="Y1151" s="86"/>
      <c r="Z1151" s="86"/>
      <c r="AA1151" s="86"/>
      <c r="AB1151" s="86"/>
      <c r="AC1151" s="86"/>
      <c r="AD1151" s="86"/>
      <c r="AE1151" s="86"/>
      <c r="AF1151" s="86"/>
    </row>
    <row r="1152" spans="1:32">
      <c r="A1152" s="86"/>
      <c r="B1152" s="86"/>
      <c r="C1152" s="86"/>
      <c r="D1152" s="86"/>
      <c r="E1152" s="86"/>
      <c r="F1152" s="86"/>
      <c r="G1152" s="86"/>
      <c r="H1152" s="86"/>
      <c r="I1152" s="86"/>
      <c r="J1152" s="86"/>
      <c r="K1152" s="86"/>
      <c r="L1152" s="86"/>
      <c r="M1152" s="86"/>
      <c r="N1152" s="86"/>
      <c r="O1152" s="86"/>
      <c r="P1152" s="86"/>
      <c r="Q1152" s="86"/>
      <c r="R1152" s="86"/>
      <c r="S1152" s="86"/>
      <c r="T1152" s="86"/>
      <c r="U1152" s="86"/>
      <c r="V1152" s="86"/>
      <c r="W1152" s="86"/>
      <c r="X1152" s="86"/>
      <c r="Y1152" s="86"/>
      <c r="Z1152" s="86"/>
      <c r="AA1152" s="86"/>
      <c r="AB1152" s="86"/>
      <c r="AC1152" s="86"/>
      <c r="AD1152" s="86"/>
      <c r="AE1152" s="86"/>
      <c r="AF1152" s="86"/>
    </row>
    <row r="1153" spans="1:32">
      <c r="A1153" s="86"/>
      <c r="B1153" s="86"/>
      <c r="C1153" s="86"/>
      <c r="D1153" s="86"/>
      <c r="E1153" s="86"/>
      <c r="F1153" s="86"/>
      <c r="G1153" s="86"/>
      <c r="H1153" s="86"/>
      <c r="I1153" s="86"/>
      <c r="J1153" s="86"/>
      <c r="K1153" s="86"/>
      <c r="L1153" s="86"/>
      <c r="M1153" s="86"/>
      <c r="N1153" s="86"/>
      <c r="O1153" s="86"/>
      <c r="P1153" s="86"/>
      <c r="Q1153" s="86"/>
      <c r="R1153" s="86"/>
      <c r="S1153" s="86"/>
      <c r="T1153" s="86"/>
      <c r="U1153" s="86"/>
      <c r="V1153" s="86"/>
      <c r="W1153" s="86"/>
      <c r="X1153" s="86"/>
      <c r="Y1153" s="86"/>
      <c r="Z1153" s="86"/>
      <c r="AA1153" s="86"/>
      <c r="AB1153" s="86"/>
      <c r="AC1153" s="86"/>
      <c r="AD1153" s="86"/>
      <c r="AE1153" s="86"/>
      <c r="AF1153" s="86"/>
    </row>
    <row r="1154" spans="1:32">
      <c r="A1154" s="86"/>
      <c r="B1154" s="86"/>
      <c r="C1154" s="86"/>
      <c r="D1154" s="86"/>
      <c r="E1154" s="86"/>
      <c r="F1154" s="86"/>
      <c r="G1154" s="86"/>
      <c r="H1154" s="86"/>
      <c r="I1154" s="86"/>
      <c r="J1154" s="86"/>
      <c r="K1154" s="86"/>
      <c r="L1154" s="86"/>
      <c r="M1154" s="86"/>
      <c r="N1154" s="86"/>
      <c r="O1154" s="86"/>
      <c r="P1154" s="86"/>
      <c r="Q1154" s="86"/>
      <c r="R1154" s="86"/>
      <c r="S1154" s="86"/>
      <c r="T1154" s="86"/>
      <c r="U1154" s="86"/>
      <c r="V1154" s="86"/>
      <c r="W1154" s="86"/>
      <c r="X1154" s="86"/>
      <c r="Y1154" s="86"/>
      <c r="Z1154" s="86"/>
      <c r="AA1154" s="86"/>
      <c r="AB1154" s="86"/>
      <c r="AC1154" s="86"/>
      <c r="AD1154" s="86"/>
      <c r="AE1154" s="86"/>
      <c r="AF1154" s="86"/>
    </row>
    <row r="1155" spans="1:32">
      <c r="A1155" s="86"/>
      <c r="B1155" s="86"/>
      <c r="C1155" s="86"/>
      <c r="D1155" s="86"/>
      <c r="E1155" s="86"/>
      <c r="F1155" s="86"/>
      <c r="G1155" s="86"/>
      <c r="H1155" s="86"/>
      <c r="I1155" s="86"/>
      <c r="J1155" s="86"/>
      <c r="K1155" s="86"/>
      <c r="L1155" s="86"/>
      <c r="M1155" s="86"/>
      <c r="N1155" s="86"/>
      <c r="O1155" s="86"/>
      <c r="P1155" s="86"/>
      <c r="Q1155" s="86"/>
      <c r="R1155" s="86"/>
      <c r="S1155" s="86"/>
      <c r="T1155" s="86"/>
      <c r="U1155" s="86"/>
      <c r="V1155" s="86"/>
      <c r="W1155" s="86"/>
      <c r="X1155" s="86"/>
      <c r="Y1155" s="86"/>
      <c r="Z1155" s="86"/>
      <c r="AA1155" s="86"/>
      <c r="AB1155" s="86"/>
      <c r="AC1155" s="86"/>
      <c r="AD1155" s="86"/>
      <c r="AE1155" s="86"/>
      <c r="AF1155" s="86"/>
    </row>
    <row r="1156" spans="1:32">
      <c r="A1156" s="86"/>
      <c r="B1156" s="86"/>
      <c r="C1156" s="86"/>
      <c r="D1156" s="86"/>
      <c r="E1156" s="86"/>
      <c r="F1156" s="86"/>
      <c r="G1156" s="86"/>
      <c r="H1156" s="86"/>
      <c r="I1156" s="86"/>
      <c r="J1156" s="86"/>
      <c r="K1156" s="86"/>
      <c r="L1156" s="86"/>
      <c r="M1156" s="86"/>
      <c r="N1156" s="86"/>
      <c r="O1156" s="86"/>
      <c r="P1156" s="86"/>
      <c r="Q1156" s="86"/>
      <c r="R1156" s="86"/>
      <c r="S1156" s="86"/>
      <c r="T1156" s="86"/>
      <c r="U1156" s="86"/>
      <c r="V1156" s="86"/>
      <c r="W1156" s="86"/>
      <c r="X1156" s="86"/>
      <c r="Y1156" s="86"/>
      <c r="Z1156" s="86"/>
      <c r="AA1156" s="86"/>
      <c r="AB1156" s="86"/>
      <c r="AC1156" s="86"/>
      <c r="AD1156" s="86"/>
      <c r="AE1156" s="86"/>
      <c r="AF1156" s="86"/>
    </row>
    <row r="1157" spans="1:32">
      <c r="A1157" s="86"/>
      <c r="B1157" s="86"/>
      <c r="C1157" s="86"/>
      <c r="D1157" s="86"/>
      <c r="E1157" s="86"/>
      <c r="F1157" s="86"/>
      <c r="G1157" s="86"/>
      <c r="H1157" s="86"/>
      <c r="I1157" s="86"/>
      <c r="J1157" s="86"/>
      <c r="K1157" s="86"/>
      <c r="L1157" s="86"/>
      <c r="M1157" s="86"/>
      <c r="N1157" s="86"/>
      <c r="O1157" s="86"/>
      <c r="P1157" s="86"/>
      <c r="Q1157" s="86"/>
      <c r="R1157" s="86"/>
      <c r="S1157" s="86"/>
      <c r="T1157" s="86"/>
      <c r="U1157" s="86"/>
      <c r="V1157" s="86"/>
      <c r="W1157" s="86"/>
      <c r="X1157" s="86"/>
      <c r="Y1157" s="86"/>
      <c r="Z1157" s="86"/>
      <c r="AA1157" s="86"/>
      <c r="AB1157" s="86"/>
      <c r="AC1157" s="86"/>
      <c r="AD1157" s="86"/>
      <c r="AE1157" s="86"/>
      <c r="AF1157" s="86"/>
    </row>
    <row r="1158" spans="1:32">
      <c r="A1158" s="86"/>
      <c r="B1158" s="86"/>
      <c r="C1158" s="86"/>
      <c r="D1158" s="86"/>
      <c r="E1158" s="86"/>
      <c r="F1158" s="86"/>
      <c r="G1158" s="86"/>
      <c r="H1158" s="86"/>
      <c r="I1158" s="86"/>
      <c r="J1158" s="86"/>
      <c r="K1158" s="86"/>
      <c r="L1158" s="86"/>
      <c r="M1158" s="86"/>
      <c r="N1158" s="86"/>
      <c r="O1158" s="86"/>
      <c r="P1158" s="86"/>
      <c r="Q1158" s="86"/>
      <c r="R1158" s="86"/>
      <c r="S1158" s="86"/>
      <c r="T1158" s="86"/>
      <c r="U1158" s="86"/>
      <c r="V1158" s="86"/>
      <c r="W1158" s="86"/>
      <c r="X1158" s="86"/>
      <c r="Y1158" s="86"/>
      <c r="Z1158" s="86"/>
      <c r="AA1158" s="86"/>
      <c r="AB1158" s="86"/>
      <c r="AC1158" s="86"/>
      <c r="AD1158" s="86"/>
      <c r="AE1158" s="86"/>
      <c r="AF1158" s="86"/>
    </row>
    <row r="1159" spans="1:32">
      <c r="A1159" s="86"/>
      <c r="B1159" s="86"/>
      <c r="C1159" s="86"/>
      <c r="D1159" s="86"/>
      <c r="E1159" s="86"/>
      <c r="F1159" s="86"/>
      <c r="G1159" s="86"/>
      <c r="H1159" s="86"/>
      <c r="I1159" s="86"/>
      <c r="J1159" s="86"/>
      <c r="K1159" s="86"/>
      <c r="L1159" s="86"/>
      <c r="M1159" s="86"/>
      <c r="N1159" s="86"/>
      <c r="O1159" s="86"/>
      <c r="P1159" s="86"/>
      <c r="Q1159" s="86"/>
      <c r="R1159" s="86"/>
      <c r="S1159" s="86"/>
      <c r="T1159" s="86"/>
      <c r="U1159" s="86"/>
      <c r="V1159" s="86"/>
      <c r="W1159" s="86"/>
      <c r="X1159" s="86"/>
      <c r="Y1159" s="86"/>
      <c r="Z1159" s="86"/>
      <c r="AA1159" s="86"/>
      <c r="AB1159" s="86"/>
      <c r="AC1159" s="86"/>
      <c r="AD1159" s="86"/>
      <c r="AE1159" s="86"/>
      <c r="AF1159" s="86"/>
    </row>
    <row r="1160" spans="1:32">
      <c r="A1160" s="86"/>
      <c r="B1160" s="86"/>
      <c r="C1160" s="86"/>
      <c r="D1160" s="86"/>
      <c r="E1160" s="86"/>
      <c r="F1160" s="86"/>
      <c r="G1160" s="86"/>
      <c r="H1160" s="86"/>
      <c r="I1160" s="86"/>
      <c r="J1160" s="86"/>
      <c r="K1160" s="86"/>
      <c r="L1160" s="86"/>
      <c r="M1160" s="86"/>
      <c r="N1160" s="86"/>
      <c r="O1160" s="86"/>
      <c r="P1160" s="86"/>
      <c r="Q1160" s="86"/>
      <c r="R1160" s="86"/>
      <c r="S1160" s="86"/>
      <c r="T1160" s="86"/>
      <c r="U1160" s="86"/>
      <c r="V1160" s="86"/>
      <c r="W1160" s="86"/>
      <c r="X1160" s="86"/>
      <c r="Y1160" s="86"/>
      <c r="Z1160" s="86"/>
      <c r="AA1160" s="86"/>
      <c r="AB1160" s="86"/>
      <c r="AC1160" s="86"/>
      <c r="AD1160" s="86"/>
      <c r="AE1160" s="86"/>
      <c r="AF1160" s="86"/>
    </row>
    <row r="1161" spans="1:32">
      <c r="A1161" s="86"/>
      <c r="B1161" s="86"/>
      <c r="C1161" s="86"/>
      <c r="D1161" s="86"/>
      <c r="E1161" s="86"/>
      <c r="F1161" s="86"/>
      <c r="G1161" s="86"/>
      <c r="H1161" s="86"/>
      <c r="I1161" s="86"/>
      <c r="J1161" s="86"/>
      <c r="K1161" s="86"/>
      <c r="L1161" s="86"/>
      <c r="M1161" s="86"/>
      <c r="N1161" s="86"/>
      <c r="O1161" s="86"/>
      <c r="P1161" s="86"/>
      <c r="Q1161" s="86"/>
      <c r="R1161" s="86"/>
      <c r="S1161" s="86"/>
      <c r="T1161" s="86"/>
      <c r="U1161" s="86"/>
      <c r="V1161" s="86"/>
      <c r="W1161" s="86"/>
      <c r="X1161" s="86"/>
      <c r="Y1161" s="86"/>
      <c r="Z1161" s="86"/>
      <c r="AA1161" s="86"/>
      <c r="AB1161" s="86"/>
      <c r="AC1161" s="86"/>
      <c r="AD1161" s="86"/>
      <c r="AE1161" s="86"/>
      <c r="AF1161" s="86"/>
    </row>
    <row r="1162" spans="1:32">
      <c r="A1162" s="86"/>
      <c r="B1162" s="86"/>
      <c r="C1162" s="86"/>
      <c r="D1162" s="86"/>
      <c r="E1162" s="86"/>
      <c r="F1162" s="86"/>
      <c r="G1162" s="86"/>
      <c r="H1162" s="86"/>
      <c r="I1162" s="86"/>
      <c r="J1162" s="86"/>
      <c r="K1162" s="86"/>
      <c r="L1162" s="86"/>
      <c r="M1162" s="86"/>
      <c r="N1162" s="86"/>
      <c r="O1162" s="86"/>
      <c r="P1162" s="86"/>
      <c r="Q1162" s="86"/>
      <c r="R1162" s="86"/>
      <c r="S1162" s="86"/>
      <c r="T1162" s="86"/>
      <c r="U1162" s="86"/>
      <c r="V1162" s="86"/>
      <c r="W1162" s="86"/>
      <c r="X1162" s="86"/>
      <c r="Y1162" s="86"/>
      <c r="Z1162" s="86"/>
      <c r="AA1162" s="86"/>
      <c r="AB1162" s="86"/>
      <c r="AC1162" s="86"/>
      <c r="AD1162" s="86"/>
      <c r="AE1162" s="86"/>
      <c r="AF1162" s="86"/>
    </row>
    <row r="1163" spans="1:32">
      <c r="A1163" s="86"/>
      <c r="B1163" s="86"/>
      <c r="C1163" s="86"/>
      <c r="D1163" s="86"/>
      <c r="E1163" s="86"/>
      <c r="F1163" s="86"/>
      <c r="G1163" s="86"/>
      <c r="H1163" s="86"/>
      <c r="I1163" s="86"/>
      <c r="J1163" s="86"/>
      <c r="K1163" s="86"/>
      <c r="L1163" s="86"/>
      <c r="M1163" s="86"/>
      <c r="N1163" s="86"/>
      <c r="O1163" s="86"/>
      <c r="P1163" s="86"/>
      <c r="Q1163" s="86"/>
      <c r="R1163" s="86"/>
      <c r="S1163" s="86"/>
      <c r="T1163" s="86"/>
      <c r="U1163" s="86"/>
      <c r="V1163" s="86"/>
      <c r="W1163" s="86"/>
      <c r="X1163" s="86"/>
      <c r="Y1163" s="86"/>
      <c r="Z1163" s="86"/>
      <c r="AA1163" s="86"/>
      <c r="AB1163" s="86"/>
      <c r="AC1163" s="86"/>
      <c r="AD1163" s="86"/>
      <c r="AE1163" s="86"/>
      <c r="AF1163" s="86"/>
    </row>
    <row r="1164" spans="1:32">
      <c r="A1164" s="86"/>
      <c r="B1164" s="86"/>
      <c r="C1164" s="86"/>
      <c r="D1164" s="86"/>
      <c r="E1164" s="86"/>
      <c r="F1164" s="86"/>
      <c r="G1164" s="86"/>
      <c r="H1164" s="86"/>
      <c r="I1164" s="86"/>
      <c r="J1164" s="86"/>
      <c r="K1164" s="86"/>
      <c r="L1164" s="86"/>
      <c r="M1164" s="86"/>
      <c r="N1164" s="86"/>
      <c r="O1164" s="86"/>
      <c r="P1164" s="86"/>
      <c r="Q1164" s="86"/>
      <c r="R1164" s="86"/>
      <c r="S1164" s="86"/>
      <c r="T1164" s="86"/>
      <c r="U1164" s="86"/>
      <c r="V1164" s="86"/>
      <c r="W1164" s="86"/>
      <c r="X1164" s="86"/>
      <c r="Y1164" s="86"/>
      <c r="Z1164" s="86"/>
      <c r="AA1164" s="86"/>
      <c r="AB1164" s="86"/>
      <c r="AC1164" s="86"/>
      <c r="AD1164" s="86"/>
      <c r="AE1164" s="86"/>
      <c r="AF1164" s="86"/>
    </row>
    <row r="1165" spans="1:32">
      <c r="A1165" s="86"/>
      <c r="B1165" s="86"/>
      <c r="C1165" s="86"/>
      <c r="D1165" s="86"/>
      <c r="E1165" s="86"/>
      <c r="F1165" s="86"/>
      <c r="G1165" s="86"/>
      <c r="H1165" s="86"/>
      <c r="I1165" s="86"/>
      <c r="J1165" s="86"/>
      <c r="K1165" s="86"/>
      <c r="L1165" s="86"/>
      <c r="M1165" s="86"/>
      <c r="N1165" s="86"/>
      <c r="O1165" s="86"/>
      <c r="P1165" s="86"/>
      <c r="Q1165" s="86"/>
      <c r="R1165" s="86"/>
      <c r="S1165" s="86"/>
      <c r="T1165" s="86"/>
      <c r="U1165" s="86"/>
      <c r="V1165" s="86"/>
      <c r="W1165" s="86"/>
      <c r="X1165" s="86"/>
      <c r="Y1165" s="86"/>
      <c r="Z1165" s="86"/>
      <c r="AA1165" s="86"/>
      <c r="AB1165" s="86"/>
      <c r="AC1165" s="86"/>
      <c r="AD1165" s="86"/>
      <c r="AE1165" s="86"/>
      <c r="AF1165" s="86"/>
    </row>
    <row r="1166" spans="1:32">
      <c r="A1166" s="86"/>
      <c r="B1166" s="86"/>
      <c r="C1166" s="86"/>
      <c r="D1166" s="86"/>
      <c r="E1166" s="86"/>
      <c r="F1166" s="86"/>
      <c r="G1166" s="86"/>
      <c r="H1166" s="86"/>
      <c r="I1166" s="86"/>
      <c r="J1166" s="86"/>
      <c r="K1166" s="86"/>
      <c r="L1166" s="86"/>
      <c r="M1166" s="86"/>
      <c r="N1166" s="86"/>
      <c r="O1166" s="86"/>
      <c r="P1166" s="86"/>
      <c r="Q1166" s="86"/>
      <c r="R1166" s="86"/>
      <c r="S1166" s="86"/>
      <c r="T1166" s="86"/>
      <c r="U1166" s="86"/>
      <c r="V1166" s="86"/>
      <c r="W1166" s="86"/>
      <c r="X1166" s="86"/>
      <c r="Y1166" s="86"/>
      <c r="Z1166" s="86"/>
      <c r="AA1166" s="86"/>
      <c r="AB1166" s="86"/>
      <c r="AC1166" s="86"/>
      <c r="AD1166" s="86"/>
      <c r="AE1166" s="86"/>
      <c r="AF1166" s="86"/>
    </row>
    <row r="1167" spans="1:32">
      <c r="A1167" s="86"/>
      <c r="B1167" s="86"/>
      <c r="C1167" s="86"/>
      <c r="D1167" s="86"/>
      <c r="E1167" s="86"/>
      <c r="F1167" s="86"/>
      <c r="G1167" s="86"/>
      <c r="H1167" s="86"/>
      <c r="I1167" s="86"/>
      <c r="J1167" s="86"/>
      <c r="K1167" s="86"/>
      <c r="L1167" s="86"/>
      <c r="M1167" s="86"/>
      <c r="N1167" s="86"/>
      <c r="O1167" s="86"/>
      <c r="P1167" s="86"/>
      <c r="Q1167" s="86"/>
      <c r="R1167" s="86"/>
      <c r="S1167" s="86"/>
      <c r="T1167" s="86"/>
      <c r="U1167" s="86"/>
      <c r="V1167" s="86"/>
      <c r="W1167" s="86"/>
      <c r="X1167" s="86"/>
      <c r="Y1167" s="86"/>
      <c r="Z1167" s="86"/>
      <c r="AA1167" s="86"/>
      <c r="AB1167" s="86"/>
      <c r="AC1167" s="86"/>
      <c r="AD1167" s="86"/>
      <c r="AE1167" s="86"/>
      <c r="AF1167" s="86"/>
    </row>
    <row r="1168" spans="1:32">
      <c r="A1168" s="86"/>
      <c r="B1168" s="86"/>
      <c r="C1168" s="86"/>
      <c r="D1168" s="86"/>
      <c r="E1168" s="86"/>
      <c r="F1168" s="86"/>
      <c r="G1168" s="86"/>
      <c r="H1168" s="86"/>
      <c r="I1168" s="86"/>
      <c r="J1168" s="86"/>
      <c r="K1168" s="86"/>
      <c r="L1168" s="86"/>
      <c r="M1168" s="86"/>
      <c r="N1168" s="86"/>
      <c r="O1168" s="86"/>
      <c r="P1168" s="86"/>
      <c r="Q1168" s="86"/>
      <c r="R1168" s="86"/>
      <c r="S1168" s="86"/>
      <c r="T1168" s="86"/>
      <c r="U1168" s="86"/>
      <c r="V1168" s="86"/>
      <c r="W1168" s="86"/>
      <c r="X1168" s="86"/>
      <c r="Y1168" s="86"/>
      <c r="Z1168" s="86"/>
      <c r="AA1168" s="86"/>
      <c r="AB1168" s="86"/>
      <c r="AC1168" s="86"/>
      <c r="AD1168" s="86"/>
      <c r="AE1168" s="86"/>
      <c r="AF1168" s="86"/>
    </row>
    <row r="1169" spans="1:32">
      <c r="A1169" s="86"/>
      <c r="B1169" s="86"/>
      <c r="C1169" s="86"/>
      <c r="D1169" s="86"/>
      <c r="E1169" s="86"/>
      <c r="F1169" s="86"/>
      <c r="G1169" s="86"/>
      <c r="H1169" s="86"/>
      <c r="I1169" s="86"/>
      <c r="J1169" s="86"/>
      <c r="K1169" s="86"/>
      <c r="L1169" s="86"/>
      <c r="M1169" s="86"/>
      <c r="N1169" s="86"/>
      <c r="O1169" s="86"/>
      <c r="P1169" s="86"/>
      <c r="Q1169" s="86"/>
      <c r="R1169" s="86"/>
      <c r="S1169" s="86"/>
      <c r="T1169" s="86"/>
      <c r="U1169" s="86"/>
      <c r="V1169" s="86"/>
      <c r="W1169" s="86"/>
      <c r="X1169" s="86"/>
      <c r="Y1169" s="86"/>
      <c r="Z1169" s="86"/>
      <c r="AA1169" s="86"/>
      <c r="AB1169" s="86"/>
      <c r="AC1169" s="86"/>
      <c r="AD1169" s="86"/>
      <c r="AE1169" s="86"/>
      <c r="AF1169" s="86"/>
    </row>
    <row r="1170" spans="1:32">
      <c r="A1170" s="86"/>
      <c r="B1170" s="86"/>
      <c r="C1170" s="86"/>
      <c r="D1170" s="86"/>
      <c r="E1170" s="86"/>
      <c r="F1170" s="86"/>
      <c r="G1170" s="86"/>
      <c r="H1170" s="86"/>
      <c r="I1170" s="86"/>
      <c r="J1170" s="86"/>
      <c r="K1170" s="86"/>
      <c r="L1170" s="86"/>
      <c r="M1170" s="86"/>
      <c r="N1170" s="86"/>
      <c r="O1170" s="86"/>
      <c r="P1170" s="86"/>
      <c r="Q1170" s="86"/>
      <c r="R1170" s="86"/>
      <c r="S1170" s="86"/>
      <c r="T1170" s="86"/>
      <c r="U1170" s="86"/>
      <c r="V1170" s="86"/>
      <c r="W1170" s="86"/>
      <c r="X1170" s="86"/>
      <c r="Y1170" s="86"/>
      <c r="Z1170" s="86"/>
      <c r="AA1170" s="86"/>
      <c r="AB1170" s="86"/>
      <c r="AC1170" s="86"/>
      <c r="AD1170" s="86"/>
      <c r="AE1170" s="86"/>
      <c r="AF1170" s="86"/>
    </row>
    <row r="1171" spans="1:32">
      <c r="A1171" s="86"/>
      <c r="B1171" s="86"/>
      <c r="C1171" s="86"/>
      <c r="D1171" s="86"/>
      <c r="E1171" s="86"/>
      <c r="F1171" s="86"/>
      <c r="G1171" s="86"/>
      <c r="H1171" s="86"/>
      <c r="I1171" s="86"/>
      <c r="J1171" s="86"/>
      <c r="K1171" s="86"/>
      <c r="L1171" s="86"/>
      <c r="M1171" s="86"/>
      <c r="N1171" s="86"/>
      <c r="O1171" s="86"/>
      <c r="P1171" s="86"/>
      <c r="Q1171" s="86"/>
      <c r="R1171" s="86"/>
      <c r="S1171" s="86"/>
      <c r="T1171" s="86"/>
      <c r="U1171" s="86"/>
      <c r="V1171" s="86"/>
      <c r="W1171" s="86"/>
      <c r="X1171" s="86"/>
      <c r="Y1171" s="86"/>
      <c r="Z1171" s="86"/>
      <c r="AA1171" s="86"/>
      <c r="AB1171" s="86"/>
      <c r="AC1171" s="86"/>
      <c r="AD1171" s="86"/>
      <c r="AE1171" s="86"/>
      <c r="AF1171" s="86"/>
    </row>
    <row r="1172" spans="1:32">
      <c r="A1172" s="86"/>
      <c r="B1172" s="86"/>
      <c r="C1172" s="86"/>
      <c r="D1172" s="86"/>
      <c r="E1172" s="86"/>
      <c r="F1172" s="86"/>
      <c r="G1172" s="86"/>
      <c r="H1172" s="86"/>
      <c r="I1172" s="86"/>
      <c r="J1172" s="86"/>
      <c r="K1172" s="86"/>
      <c r="L1172" s="86"/>
      <c r="M1172" s="86"/>
      <c r="N1172" s="86"/>
      <c r="O1172" s="86"/>
      <c r="P1172" s="86"/>
      <c r="Q1172" s="86"/>
      <c r="R1172" s="86"/>
      <c r="S1172" s="86"/>
      <c r="T1172" s="86"/>
      <c r="U1172" s="86"/>
      <c r="V1172" s="86"/>
      <c r="W1172" s="86"/>
      <c r="X1172" s="86"/>
      <c r="Y1172" s="86"/>
      <c r="Z1172" s="86"/>
      <c r="AA1172" s="86"/>
      <c r="AB1172" s="86"/>
      <c r="AC1172" s="86"/>
      <c r="AD1172" s="86"/>
      <c r="AE1172" s="86"/>
      <c r="AF1172" s="86"/>
    </row>
    <row r="1173" spans="1:32">
      <c r="A1173" s="86"/>
      <c r="B1173" s="86"/>
      <c r="C1173" s="86"/>
      <c r="D1173" s="86"/>
      <c r="E1173" s="86"/>
      <c r="F1173" s="86"/>
      <c r="G1173" s="86"/>
      <c r="H1173" s="86"/>
      <c r="I1173" s="86"/>
      <c r="J1173" s="86"/>
      <c r="K1173" s="86"/>
      <c r="L1173" s="86"/>
      <c r="M1173" s="86"/>
      <c r="N1173" s="86"/>
      <c r="O1173" s="86"/>
      <c r="P1173" s="86"/>
      <c r="Q1173" s="86"/>
      <c r="R1173" s="86"/>
      <c r="S1173" s="86"/>
      <c r="T1173" s="86"/>
      <c r="U1173" s="86"/>
      <c r="V1173" s="86"/>
      <c r="W1173" s="86"/>
      <c r="X1173" s="86"/>
      <c r="Y1173" s="86"/>
      <c r="Z1173" s="86"/>
      <c r="AA1173" s="86"/>
      <c r="AB1173" s="86"/>
      <c r="AC1173" s="86"/>
      <c r="AD1173" s="86"/>
      <c r="AE1173" s="86"/>
      <c r="AF1173" s="86"/>
    </row>
    <row r="1174" spans="1:32">
      <c r="A1174" s="86"/>
      <c r="B1174" s="86"/>
      <c r="C1174" s="86"/>
      <c r="D1174" s="86"/>
      <c r="E1174" s="86"/>
      <c r="F1174" s="86"/>
      <c r="G1174" s="86"/>
      <c r="H1174" s="86"/>
      <c r="I1174" s="86"/>
      <c r="J1174" s="86"/>
      <c r="K1174" s="86"/>
      <c r="L1174" s="86"/>
      <c r="M1174" s="86"/>
      <c r="N1174" s="86"/>
      <c r="O1174" s="86"/>
      <c r="P1174" s="86"/>
      <c r="Q1174" s="86"/>
      <c r="R1174" s="86"/>
      <c r="S1174" s="86"/>
      <c r="T1174" s="86"/>
      <c r="U1174" s="86"/>
      <c r="V1174" s="86"/>
      <c r="W1174" s="86"/>
      <c r="X1174" s="86"/>
      <c r="Y1174" s="86"/>
      <c r="Z1174" s="86"/>
      <c r="AA1174" s="86"/>
      <c r="AB1174" s="86"/>
      <c r="AC1174" s="86"/>
      <c r="AD1174" s="86"/>
      <c r="AE1174" s="86"/>
      <c r="AF1174" s="86"/>
    </row>
    <row r="1175" spans="1:32">
      <c r="A1175" s="86"/>
      <c r="B1175" s="86"/>
      <c r="C1175" s="86"/>
      <c r="D1175" s="86"/>
      <c r="E1175" s="86"/>
      <c r="F1175" s="86"/>
      <c r="G1175" s="86"/>
      <c r="H1175" s="86"/>
      <c r="I1175" s="86"/>
      <c r="J1175" s="86"/>
      <c r="K1175" s="86"/>
      <c r="L1175" s="86"/>
      <c r="M1175" s="86"/>
      <c r="N1175" s="86"/>
      <c r="O1175" s="86"/>
      <c r="P1175" s="86"/>
      <c r="Q1175" s="86"/>
      <c r="R1175" s="86"/>
      <c r="S1175" s="86"/>
      <c r="T1175" s="86"/>
      <c r="U1175" s="86"/>
      <c r="V1175" s="86"/>
      <c r="W1175" s="86"/>
      <c r="X1175" s="86"/>
      <c r="Y1175" s="86"/>
      <c r="Z1175" s="86"/>
      <c r="AA1175" s="86"/>
      <c r="AB1175" s="86"/>
      <c r="AC1175" s="86"/>
      <c r="AD1175" s="86"/>
      <c r="AE1175" s="86"/>
      <c r="AF1175" s="86"/>
    </row>
    <row r="1176" spans="1:32">
      <c r="A1176" s="86"/>
      <c r="B1176" s="86"/>
      <c r="C1176" s="86"/>
      <c r="D1176" s="86"/>
      <c r="E1176" s="86"/>
      <c r="F1176" s="86"/>
      <c r="G1176" s="86"/>
      <c r="H1176" s="86"/>
      <c r="I1176" s="86"/>
      <c r="J1176" s="86"/>
      <c r="K1176" s="86"/>
      <c r="L1176" s="86"/>
      <c r="M1176" s="86"/>
      <c r="N1176" s="86"/>
      <c r="O1176" s="86"/>
      <c r="P1176" s="86"/>
      <c r="Q1176" s="86"/>
      <c r="R1176" s="86"/>
      <c r="S1176" s="86"/>
      <c r="T1176" s="86"/>
      <c r="U1176" s="86"/>
      <c r="V1176" s="86"/>
      <c r="W1176" s="86"/>
      <c r="X1176" s="86"/>
      <c r="Y1176" s="86"/>
      <c r="Z1176" s="86"/>
      <c r="AA1176" s="86"/>
      <c r="AB1176" s="86"/>
      <c r="AC1176" s="86"/>
      <c r="AD1176" s="86"/>
      <c r="AE1176" s="86"/>
      <c r="AF1176" s="86"/>
    </row>
    <row r="1177" spans="1:32">
      <c r="A1177" s="86"/>
      <c r="B1177" s="86"/>
      <c r="C1177" s="86"/>
      <c r="D1177" s="86"/>
      <c r="E1177" s="86"/>
      <c r="F1177" s="86"/>
      <c r="G1177" s="86"/>
      <c r="H1177" s="86"/>
      <c r="I1177" s="86"/>
      <c r="J1177" s="86"/>
      <c r="K1177" s="86"/>
      <c r="L1177" s="86"/>
      <c r="M1177" s="86"/>
      <c r="N1177" s="86"/>
      <c r="O1177" s="86"/>
      <c r="P1177" s="86"/>
      <c r="Q1177" s="86"/>
      <c r="R1177" s="86"/>
      <c r="S1177" s="86"/>
      <c r="T1177" s="86"/>
      <c r="U1177" s="86"/>
      <c r="V1177" s="86"/>
      <c r="W1177" s="86"/>
      <c r="X1177" s="86"/>
      <c r="Y1177" s="86"/>
      <c r="Z1177" s="86"/>
      <c r="AA1177" s="86"/>
      <c r="AB1177" s="86"/>
      <c r="AC1177" s="86"/>
      <c r="AD1177" s="86"/>
      <c r="AE1177" s="86"/>
      <c r="AF1177" s="86"/>
    </row>
    <row r="1178" spans="1:32">
      <c r="A1178" s="86"/>
      <c r="B1178" s="86"/>
      <c r="C1178" s="86"/>
      <c r="D1178" s="86"/>
      <c r="E1178" s="86"/>
      <c r="F1178" s="86"/>
      <c r="G1178" s="86"/>
      <c r="H1178" s="86"/>
      <c r="I1178" s="86"/>
      <c r="J1178" s="86"/>
      <c r="K1178" s="86"/>
      <c r="L1178" s="86"/>
      <c r="M1178" s="86"/>
      <c r="N1178" s="86"/>
      <c r="O1178" s="86"/>
      <c r="P1178" s="86"/>
      <c r="Q1178" s="86"/>
      <c r="R1178" s="86"/>
      <c r="S1178" s="86"/>
      <c r="T1178" s="86"/>
      <c r="U1178" s="86"/>
      <c r="V1178" s="86"/>
      <c r="W1178" s="86"/>
      <c r="X1178" s="86"/>
      <c r="Y1178" s="86"/>
      <c r="Z1178" s="86"/>
      <c r="AA1178" s="86"/>
      <c r="AB1178" s="86"/>
      <c r="AC1178" s="86"/>
      <c r="AD1178" s="86"/>
      <c r="AE1178" s="86"/>
      <c r="AF1178" s="86"/>
    </row>
    <row r="1179" spans="1:32">
      <c r="A1179" s="86"/>
      <c r="B1179" s="86"/>
      <c r="C1179" s="86"/>
      <c r="D1179" s="86"/>
      <c r="E1179" s="86"/>
      <c r="F1179" s="86"/>
      <c r="G1179" s="86"/>
      <c r="H1179" s="86"/>
      <c r="I1179" s="86"/>
      <c r="J1179" s="86"/>
      <c r="K1179" s="86"/>
      <c r="L1179" s="86"/>
      <c r="M1179" s="86"/>
      <c r="N1179" s="86"/>
      <c r="O1179" s="86"/>
      <c r="P1179" s="86"/>
      <c r="Q1179" s="86"/>
      <c r="R1179" s="86"/>
      <c r="S1179" s="86"/>
      <c r="T1179" s="86"/>
      <c r="U1179" s="86"/>
      <c r="V1179" s="86"/>
      <c r="W1179" s="86"/>
      <c r="X1179" s="86"/>
      <c r="Y1179" s="86"/>
      <c r="Z1179" s="86"/>
      <c r="AA1179" s="86"/>
      <c r="AB1179" s="86"/>
      <c r="AC1179" s="86"/>
      <c r="AD1179" s="86"/>
      <c r="AE1179" s="86"/>
      <c r="AF1179" s="86"/>
    </row>
    <row r="1180" spans="1:32">
      <c r="A1180" s="86"/>
      <c r="B1180" s="86"/>
      <c r="C1180" s="86"/>
      <c r="D1180" s="86"/>
      <c r="E1180" s="86"/>
      <c r="F1180" s="86"/>
      <c r="G1180" s="86"/>
      <c r="H1180" s="86"/>
      <c r="I1180" s="86"/>
      <c r="J1180" s="86"/>
      <c r="K1180" s="86"/>
      <c r="L1180" s="86"/>
      <c r="M1180" s="86"/>
      <c r="N1180" s="86"/>
      <c r="O1180" s="86"/>
      <c r="P1180" s="86"/>
      <c r="Q1180" s="86"/>
      <c r="R1180" s="86"/>
      <c r="S1180" s="86"/>
      <c r="T1180" s="86"/>
      <c r="U1180" s="86"/>
      <c r="V1180" s="86"/>
      <c r="W1180" s="86"/>
      <c r="X1180" s="86"/>
      <c r="Y1180" s="86"/>
      <c r="Z1180" s="86"/>
      <c r="AA1180" s="86"/>
      <c r="AB1180" s="86"/>
      <c r="AC1180" s="86"/>
      <c r="AD1180" s="86"/>
      <c r="AE1180" s="86"/>
      <c r="AF1180" s="86"/>
    </row>
    <row r="1181" spans="1:32">
      <c r="A1181" s="86"/>
      <c r="B1181" s="86"/>
      <c r="C1181" s="86"/>
      <c r="D1181" s="86"/>
      <c r="E1181" s="86"/>
      <c r="F1181" s="86"/>
      <c r="G1181" s="86"/>
      <c r="H1181" s="86"/>
      <c r="I1181" s="86"/>
      <c r="J1181" s="86"/>
      <c r="K1181" s="86"/>
      <c r="L1181" s="86"/>
      <c r="M1181" s="86"/>
      <c r="N1181" s="86"/>
      <c r="O1181" s="86"/>
      <c r="P1181" s="86"/>
      <c r="Q1181" s="86"/>
      <c r="R1181" s="86"/>
      <c r="S1181" s="86"/>
      <c r="T1181" s="86"/>
      <c r="U1181" s="86"/>
      <c r="V1181" s="86"/>
      <c r="W1181" s="86"/>
      <c r="X1181" s="86"/>
      <c r="Y1181" s="86"/>
      <c r="Z1181" s="86"/>
      <c r="AA1181" s="86"/>
      <c r="AB1181" s="86"/>
      <c r="AC1181" s="86"/>
      <c r="AD1181" s="86"/>
      <c r="AE1181" s="86"/>
      <c r="AF1181" s="86"/>
    </row>
    <row r="1182" spans="1:32">
      <c r="A1182" s="86"/>
      <c r="B1182" s="86"/>
      <c r="C1182" s="86"/>
      <c r="D1182" s="86"/>
      <c r="E1182" s="86"/>
      <c r="F1182" s="86"/>
      <c r="G1182" s="86"/>
      <c r="H1182" s="86"/>
      <c r="I1182" s="86"/>
      <c r="J1182" s="86"/>
      <c r="K1182" s="86"/>
      <c r="L1182" s="86"/>
      <c r="M1182" s="86"/>
      <c r="N1182" s="86"/>
      <c r="O1182" s="86"/>
      <c r="P1182" s="86"/>
      <c r="Q1182" s="86"/>
      <c r="R1182" s="86"/>
      <c r="S1182" s="86"/>
      <c r="T1182" s="86"/>
      <c r="U1182" s="86"/>
      <c r="V1182" s="86"/>
      <c r="W1182" s="86"/>
      <c r="X1182" s="86"/>
      <c r="Y1182" s="86"/>
      <c r="Z1182" s="86"/>
      <c r="AA1182" s="86"/>
      <c r="AB1182" s="86"/>
      <c r="AC1182" s="86"/>
      <c r="AD1182" s="86"/>
      <c r="AE1182" s="86"/>
      <c r="AF1182" s="86"/>
    </row>
    <row r="1183" spans="1:32">
      <c r="A1183" s="86"/>
      <c r="B1183" s="86"/>
      <c r="C1183" s="86"/>
      <c r="D1183" s="86"/>
      <c r="E1183" s="86"/>
      <c r="F1183" s="86"/>
      <c r="G1183" s="86"/>
      <c r="H1183" s="86"/>
      <c r="I1183" s="86"/>
      <c r="J1183" s="86"/>
      <c r="K1183" s="86"/>
      <c r="L1183" s="86"/>
      <c r="M1183" s="86"/>
      <c r="N1183" s="86"/>
      <c r="O1183" s="86"/>
      <c r="P1183" s="86"/>
      <c r="Q1183" s="86"/>
      <c r="R1183" s="86"/>
      <c r="S1183" s="86"/>
      <c r="T1183" s="86"/>
      <c r="U1183" s="86"/>
      <c r="V1183" s="86"/>
      <c r="W1183" s="86"/>
      <c r="X1183" s="86"/>
      <c r="Y1183" s="86"/>
      <c r="Z1183" s="86"/>
      <c r="AA1183" s="86"/>
      <c r="AB1183" s="86"/>
      <c r="AC1183" s="86"/>
      <c r="AD1183" s="86"/>
      <c r="AE1183" s="86"/>
      <c r="AF1183" s="86"/>
    </row>
    <row r="1184" spans="1:32">
      <c r="A1184" s="86"/>
      <c r="B1184" s="86"/>
      <c r="C1184" s="86"/>
      <c r="D1184" s="86"/>
      <c r="E1184" s="86"/>
      <c r="F1184" s="86"/>
      <c r="G1184" s="86"/>
      <c r="H1184" s="86"/>
      <c r="I1184" s="86"/>
      <c r="J1184" s="86"/>
      <c r="K1184" s="86"/>
      <c r="L1184" s="86"/>
      <c r="M1184" s="86"/>
      <c r="N1184" s="86"/>
      <c r="O1184" s="86"/>
      <c r="P1184" s="86"/>
      <c r="Q1184" s="86"/>
      <c r="R1184" s="86"/>
      <c r="S1184" s="86"/>
      <c r="T1184" s="86"/>
      <c r="U1184" s="86"/>
      <c r="V1184" s="86"/>
      <c r="W1184" s="86"/>
      <c r="X1184" s="86"/>
      <c r="Y1184" s="86"/>
      <c r="Z1184" s="86"/>
      <c r="AA1184" s="86"/>
      <c r="AB1184" s="86"/>
      <c r="AC1184" s="86"/>
      <c r="AD1184" s="86"/>
      <c r="AE1184" s="86"/>
      <c r="AF1184" s="86"/>
    </row>
    <row r="1185" spans="1:32">
      <c r="A1185" s="86"/>
      <c r="B1185" s="86"/>
      <c r="C1185" s="86"/>
      <c r="D1185" s="86"/>
      <c r="E1185" s="86"/>
      <c r="F1185" s="86"/>
      <c r="G1185" s="86"/>
      <c r="H1185" s="86"/>
      <c r="I1185" s="86"/>
      <c r="J1185" s="86"/>
      <c r="K1185" s="86"/>
      <c r="L1185" s="86"/>
      <c r="M1185" s="86"/>
      <c r="N1185" s="86"/>
      <c r="O1185" s="86"/>
      <c r="P1185" s="86"/>
      <c r="Q1185" s="86"/>
      <c r="R1185" s="86"/>
      <c r="S1185" s="86"/>
      <c r="T1185" s="86"/>
      <c r="U1185" s="86"/>
      <c r="V1185" s="86"/>
      <c r="W1185" s="86"/>
      <c r="X1185" s="86"/>
      <c r="Y1185" s="86"/>
      <c r="Z1185" s="86"/>
      <c r="AA1185" s="86"/>
      <c r="AB1185" s="86"/>
      <c r="AC1185" s="86"/>
      <c r="AD1185" s="86"/>
      <c r="AE1185" s="86"/>
      <c r="AF1185" s="86"/>
    </row>
    <row r="1186" spans="1:32">
      <c r="A1186" s="86"/>
      <c r="B1186" s="86"/>
      <c r="C1186" s="86"/>
      <c r="D1186" s="86"/>
      <c r="E1186" s="86"/>
      <c r="F1186" s="86"/>
      <c r="G1186" s="86"/>
      <c r="H1186" s="86"/>
      <c r="I1186" s="86"/>
      <c r="J1186" s="86"/>
      <c r="K1186" s="86"/>
      <c r="L1186" s="86"/>
      <c r="M1186" s="86"/>
      <c r="N1186" s="86"/>
      <c r="O1186" s="86"/>
      <c r="P1186" s="86"/>
      <c r="Q1186" s="86"/>
      <c r="R1186" s="86"/>
      <c r="S1186" s="86"/>
      <c r="T1186" s="86"/>
      <c r="U1186" s="86"/>
      <c r="V1186" s="86"/>
      <c r="W1186" s="86"/>
      <c r="X1186" s="86"/>
      <c r="Y1186" s="86"/>
      <c r="Z1186" s="86"/>
      <c r="AA1186" s="86"/>
      <c r="AB1186" s="86"/>
      <c r="AC1186" s="86"/>
      <c r="AD1186" s="86"/>
      <c r="AE1186" s="86"/>
      <c r="AF1186" s="86"/>
    </row>
    <row r="1187" spans="1:32">
      <c r="A1187" s="86"/>
      <c r="B1187" s="86"/>
      <c r="C1187" s="86"/>
      <c r="D1187" s="86"/>
      <c r="E1187" s="86"/>
      <c r="F1187" s="86"/>
      <c r="G1187" s="86"/>
      <c r="H1187" s="86"/>
      <c r="I1187" s="86"/>
      <c r="J1187" s="86"/>
      <c r="K1187" s="86"/>
      <c r="L1187" s="86"/>
      <c r="M1187" s="86"/>
      <c r="N1187" s="86"/>
      <c r="O1187" s="86"/>
      <c r="P1187" s="86"/>
      <c r="Q1187" s="86"/>
      <c r="R1187" s="86"/>
      <c r="S1187" s="86"/>
      <c r="T1187" s="86"/>
      <c r="U1187" s="86"/>
      <c r="V1187" s="86"/>
      <c r="W1187" s="86"/>
      <c r="X1187" s="86"/>
      <c r="Y1187" s="86"/>
      <c r="Z1187" s="86"/>
      <c r="AA1187" s="86"/>
      <c r="AB1187" s="86"/>
      <c r="AC1187" s="86"/>
      <c r="AD1187" s="86"/>
      <c r="AE1187" s="86"/>
      <c r="AF1187" s="86"/>
    </row>
    <row r="1188" spans="1:32">
      <c r="A1188" s="86"/>
      <c r="B1188" s="86"/>
      <c r="C1188" s="86"/>
      <c r="D1188" s="86"/>
      <c r="E1188" s="86"/>
      <c r="F1188" s="86"/>
      <c r="G1188" s="86"/>
      <c r="H1188" s="86"/>
      <c r="I1188" s="86"/>
      <c r="J1188" s="86"/>
      <c r="K1188" s="86"/>
      <c r="L1188" s="86"/>
      <c r="M1188" s="86"/>
      <c r="N1188" s="86"/>
      <c r="O1188" s="86"/>
      <c r="P1188" s="86"/>
      <c r="Q1188" s="86"/>
      <c r="R1188" s="86"/>
      <c r="S1188" s="86"/>
      <c r="T1188" s="86"/>
      <c r="U1188" s="86"/>
      <c r="V1188" s="86"/>
      <c r="W1188" s="86"/>
      <c r="X1188" s="86"/>
      <c r="Y1188" s="86"/>
      <c r="Z1188" s="86"/>
      <c r="AA1188" s="86"/>
      <c r="AB1188" s="86"/>
      <c r="AC1188" s="86"/>
      <c r="AD1188" s="86"/>
      <c r="AE1188" s="86"/>
      <c r="AF1188" s="86"/>
    </row>
    <row r="1189" spans="1:32">
      <c r="A1189" s="86"/>
      <c r="B1189" s="86"/>
      <c r="C1189" s="86"/>
      <c r="D1189" s="86"/>
      <c r="E1189" s="86"/>
      <c r="F1189" s="86"/>
      <c r="G1189" s="86"/>
      <c r="H1189" s="86"/>
      <c r="I1189" s="86"/>
      <c r="J1189" s="86"/>
      <c r="K1189" s="86"/>
      <c r="L1189" s="86"/>
      <c r="M1189" s="86"/>
      <c r="N1189" s="86"/>
      <c r="O1189" s="86"/>
      <c r="P1189" s="86"/>
      <c r="Q1189" s="86"/>
      <c r="R1189" s="86"/>
      <c r="S1189" s="86"/>
      <c r="T1189" s="86"/>
      <c r="U1189" s="86"/>
      <c r="V1189" s="86"/>
      <c r="W1189" s="86"/>
      <c r="X1189" s="86"/>
      <c r="Y1189" s="86"/>
      <c r="Z1189" s="86"/>
      <c r="AA1189" s="86"/>
      <c r="AB1189" s="86"/>
      <c r="AC1189" s="86"/>
      <c r="AD1189" s="86"/>
      <c r="AE1189" s="86"/>
      <c r="AF1189" s="86"/>
    </row>
    <row r="1190" spans="1:32">
      <c r="A1190" s="86"/>
      <c r="B1190" s="86"/>
      <c r="C1190" s="86"/>
      <c r="D1190" s="86"/>
      <c r="E1190" s="86"/>
      <c r="F1190" s="86"/>
      <c r="G1190" s="86"/>
      <c r="H1190" s="86"/>
      <c r="I1190" s="86"/>
      <c r="J1190" s="86"/>
      <c r="K1190" s="86"/>
      <c r="L1190" s="86"/>
      <c r="M1190" s="86"/>
      <c r="N1190" s="86"/>
      <c r="O1190" s="86"/>
      <c r="P1190" s="86"/>
      <c r="Q1190" s="86"/>
      <c r="R1190" s="86"/>
      <c r="S1190" s="86"/>
      <c r="T1190" s="86"/>
      <c r="U1190" s="86"/>
      <c r="V1190" s="86"/>
      <c r="W1190" s="86"/>
      <c r="X1190" s="86"/>
      <c r="Y1190" s="86"/>
      <c r="Z1190" s="86"/>
      <c r="AA1190" s="86"/>
      <c r="AB1190" s="86"/>
      <c r="AC1190" s="86"/>
      <c r="AD1190" s="86"/>
      <c r="AE1190" s="86"/>
      <c r="AF1190" s="86"/>
    </row>
    <row r="1191" spans="1:32">
      <c r="A1191" s="86"/>
      <c r="B1191" s="86"/>
      <c r="C1191" s="86"/>
      <c r="D1191" s="86"/>
      <c r="E1191" s="86"/>
      <c r="F1191" s="86"/>
      <c r="G1191" s="86"/>
      <c r="H1191" s="86"/>
      <c r="I1191" s="86"/>
      <c r="J1191" s="86"/>
      <c r="K1191" s="86"/>
      <c r="L1191" s="86"/>
      <c r="M1191" s="86"/>
      <c r="N1191" s="86"/>
      <c r="O1191" s="86"/>
      <c r="P1191" s="86"/>
      <c r="Q1191" s="86"/>
      <c r="R1191" s="86"/>
      <c r="S1191" s="86"/>
      <c r="T1191" s="86"/>
      <c r="U1191" s="86"/>
      <c r="V1191" s="86"/>
      <c r="W1191" s="86"/>
      <c r="X1191" s="86"/>
      <c r="Y1191" s="86"/>
      <c r="Z1191" s="86"/>
      <c r="AA1191" s="86"/>
      <c r="AB1191" s="86"/>
      <c r="AC1191" s="86"/>
      <c r="AD1191" s="86"/>
      <c r="AE1191" s="86"/>
      <c r="AF1191" s="86"/>
    </row>
    <row r="1192" spans="1:32">
      <c r="A1192" s="86"/>
      <c r="B1192" s="86"/>
      <c r="C1192" s="86"/>
      <c r="D1192" s="86"/>
      <c r="E1192" s="86"/>
      <c r="F1192" s="86"/>
      <c r="G1192" s="86"/>
      <c r="H1192" s="86"/>
      <c r="I1192" s="86"/>
      <c r="J1192" s="86"/>
      <c r="K1192" s="86"/>
      <c r="L1192" s="86"/>
      <c r="M1192" s="86"/>
      <c r="N1192" s="86"/>
      <c r="O1192" s="86"/>
      <c r="P1192" s="86"/>
      <c r="Q1192" s="86"/>
      <c r="R1192" s="86"/>
      <c r="S1192" s="86"/>
      <c r="T1192" s="86"/>
      <c r="U1192" s="86"/>
      <c r="V1192" s="86"/>
      <c r="W1192" s="86"/>
      <c r="X1192" s="86"/>
      <c r="Y1192" s="86"/>
      <c r="Z1192" s="86"/>
      <c r="AA1192" s="86"/>
      <c r="AB1192" s="86"/>
      <c r="AC1192" s="86"/>
      <c r="AD1192" s="86"/>
      <c r="AE1192" s="86"/>
      <c r="AF1192" s="86"/>
    </row>
    <row r="1193" spans="1:32">
      <c r="A1193" s="86"/>
      <c r="B1193" s="86"/>
      <c r="C1193" s="86"/>
      <c r="D1193" s="86"/>
      <c r="E1193" s="86"/>
      <c r="F1193" s="86"/>
      <c r="G1193" s="86"/>
      <c r="H1193" s="86"/>
      <c r="I1193" s="86"/>
      <c r="J1193" s="86"/>
      <c r="K1193" s="86"/>
      <c r="L1193" s="86"/>
      <c r="M1193" s="86"/>
      <c r="N1193" s="86"/>
      <c r="O1193" s="86"/>
      <c r="P1193" s="86"/>
      <c r="Q1193" s="86"/>
      <c r="R1193" s="86"/>
      <c r="S1193" s="86"/>
      <c r="T1193" s="86"/>
      <c r="U1193" s="86"/>
      <c r="V1193" s="86"/>
      <c r="W1193" s="86"/>
      <c r="X1193" s="86"/>
      <c r="Y1193" s="86"/>
      <c r="Z1193" s="86"/>
      <c r="AA1193" s="86"/>
      <c r="AB1193" s="86"/>
      <c r="AC1193" s="86"/>
      <c r="AD1193" s="86"/>
      <c r="AE1193" s="86"/>
      <c r="AF1193" s="86"/>
    </row>
    <row r="1194" spans="1:32">
      <c r="A1194" s="86"/>
      <c r="B1194" s="86"/>
      <c r="C1194" s="86"/>
      <c r="D1194" s="86"/>
      <c r="E1194" s="86"/>
      <c r="F1194" s="86"/>
      <c r="G1194" s="86"/>
      <c r="H1194" s="86"/>
      <c r="I1194" s="86"/>
      <c r="J1194" s="86"/>
      <c r="K1194" s="86"/>
      <c r="L1194" s="86"/>
      <c r="M1194" s="86"/>
      <c r="N1194" s="86"/>
      <c r="O1194" s="86"/>
      <c r="P1194" s="86"/>
      <c r="Q1194" s="86"/>
      <c r="R1194" s="86"/>
      <c r="S1194" s="86"/>
      <c r="T1194" s="86"/>
      <c r="U1194" s="86"/>
      <c r="V1194" s="86"/>
      <c r="W1194" s="86"/>
      <c r="X1194" s="86"/>
      <c r="Y1194" s="86"/>
      <c r="Z1194" s="86"/>
      <c r="AA1194" s="86"/>
      <c r="AB1194" s="86"/>
      <c r="AC1194" s="86"/>
      <c r="AD1194" s="86"/>
      <c r="AE1194" s="86"/>
      <c r="AF1194" s="86"/>
    </row>
    <row r="1195" spans="1:32">
      <c r="A1195" s="86"/>
      <c r="B1195" s="86"/>
      <c r="C1195" s="86"/>
      <c r="D1195" s="86"/>
      <c r="E1195" s="86"/>
      <c r="F1195" s="86"/>
      <c r="G1195" s="86"/>
      <c r="H1195" s="86"/>
      <c r="I1195" s="86"/>
      <c r="J1195" s="86"/>
      <c r="K1195" s="86"/>
      <c r="L1195" s="86"/>
      <c r="M1195" s="86"/>
      <c r="N1195" s="86"/>
      <c r="O1195" s="86"/>
      <c r="P1195" s="86"/>
      <c r="Q1195" s="86"/>
      <c r="R1195" s="86"/>
      <c r="S1195" s="86"/>
      <c r="T1195" s="86"/>
      <c r="U1195" s="86"/>
      <c r="V1195" s="86"/>
      <c r="W1195" s="86"/>
      <c r="X1195" s="86"/>
      <c r="Y1195" s="86"/>
      <c r="Z1195" s="86"/>
      <c r="AA1195" s="86"/>
      <c r="AB1195" s="86"/>
      <c r="AC1195" s="86"/>
      <c r="AD1195" s="86"/>
      <c r="AE1195" s="86"/>
      <c r="AF1195" s="86"/>
    </row>
    <row r="1196" spans="1:32">
      <c r="A1196" s="86"/>
      <c r="B1196" s="86"/>
      <c r="C1196" s="86"/>
      <c r="D1196" s="86"/>
      <c r="E1196" s="86"/>
      <c r="F1196" s="86"/>
      <c r="G1196" s="86"/>
      <c r="H1196" s="86"/>
      <c r="I1196" s="86"/>
      <c r="J1196" s="86"/>
      <c r="K1196" s="86"/>
      <c r="L1196" s="86"/>
      <c r="M1196" s="86"/>
      <c r="N1196" s="86"/>
      <c r="O1196" s="86"/>
      <c r="P1196" s="86"/>
      <c r="Q1196" s="86"/>
      <c r="R1196" s="86"/>
      <c r="S1196" s="86"/>
      <c r="T1196" s="86"/>
      <c r="U1196" s="86"/>
      <c r="V1196" s="86"/>
      <c r="W1196" s="86"/>
      <c r="X1196" s="86"/>
      <c r="Y1196" s="86"/>
      <c r="Z1196" s="86"/>
      <c r="AA1196" s="86"/>
      <c r="AB1196" s="86"/>
      <c r="AC1196" s="86"/>
      <c r="AD1196" s="86"/>
      <c r="AE1196" s="86"/>
      <c r="AF1196" s="86"/>
    </row>
    <row r="1197" spans="1:32">
      <c r="A1197" s="86"/>
      <c r="B1197" s="86"/>
      <c r="C1197" s="86"/>
      <c r="D1197" s="86"/>
      <c r="E1197" s="86"/>
      <c r="F1197" s="86"/>
      <c r="G1197" s="86"/>
      <c r="H1197" s="86"/>
      <c r="I1197" s="86"/>
      <c r="J1197" s="86"/>
      <c r="K1197" s="86"/>
      <c r="L1197" s="86"/>
      <c r="M1197" s="86"/>
      <c r="N1197" s="86"/>
      <c r="O1197" s="86"/>
      <c r="P1197" s="86"/>
      <c r="Q1197" s="86"/>
      <c r="R1197" s="86"/>
      <c r="S1197" s="86"/>
      <c r="T1197" s="86"/>
      <c r="U1197" s="86"/>
      <c r="V1197" s="86"/>
      <c r="W1197" s="86"/>
      <c r="X1197" s="86"/>
      <c r="Y1197" s="86"/>
      <c r="Z1197" s="86"/>
      <c r="AA1197" s="86"/>
      <c r="AB1197" s="86"/>
      <c r="AC1197" s="86"/>
      <c r="AD1197" s="86"/>
      <c r="AE1197" s="86"/>
      <c r="AF1197" s="86"/>
    </row>
    <row r="1198" spans="1:32">
      <c r="A1198" s="86"/>
      <c r="B1198" s="86"/>
      <c r="C1198" s="86"/>
      <c r="D1198" s="86"/>
      <c r="E1198" s="86"/>
      <c r="F1198" s="86"/>
      <c r="G1198" s="86"/>
      <c r="H1198" s="86"/>
      <c r="I1198" s="86"/>
      <c r="J1198" s="86"/>
      <c r="K1198" s="86"/>
      <c r="L1198" s="86"/>
      <c r="M1198" s="86"/>
      <c r="N1198" s="86"/>
      <c r="O1198" s="86"/>
      <c r="P1198" s="86"/>
      <c r="Q1198" s="86"/>
      <c r="R1198" s="86"/>
      <c r="S1198" s="86"/>
      <c r="T1198" s="86"/>
      <c r="U1198" s="86"/>
      <c r="V1198" s="86"/>
      <c r="W1198" s="86"/>
      <c r="X1198" s="86"/>
      <c r="Y1198" s="86"/>
      <c r="Z1198" s="86"/>
      <c r="AA1198" s="86"/>
      <c r="AB1198" s="86"/>
      <c r="AC1198" s="86"/>
      <c r="AD1198" s="86"/>
      <c r="AE1198" s="86"/>
      <c r="AF1198" s="86"/>
    </row>
    <row r="1199" spans="1:32">
      <c r="A1199" s="86"/>
      <c r="B1199" s="86"/>
      <c r="C1199" s="86"/>
      <c r="D1199" s="86"/>
      <c r="E1199" s="86"/>
      <c r="F1199" s="86"/>
      <c r="G1199" s="86"/>
      <c r="H1199" s="86"/>
      <c r="I1199" s="86"/>
      <c r="J1199" s="86"/>
      <c r="K1199" s="86"/>
      <c r="L1199" s="86"/>
      <c r="M1199" s="86"/>
      <c r="N1199" s="86"/>
      <c r="O1199" s="86"/>
      <c r="P1199" s="86"/>
      <c r="Q1199" s="86"/>
      <c r="R1199" s="86"/>
      <c r="S1199" s="86"/>
      <c r="T1199" s="86"/>
      <c r="U1199" s="86"/>
      <c r="V1199" s="86"/>
      <c r="W1199" s="86"/>
      <c r="X1199" s="86"/>
      <c r="Y1199" s="86"/>
      <c r="Z1199" s="86"/>
      <c r="AA1199" s="86"/>
      <c r="AB1199" s="86"/>
      <c r="AC1199" s="86"/>
      <c r="AD1199" s="86"/>
      <c r="AE1199" s="86"/>
      <c r="AF1199" s="86"/>
    </row>
    <row r="1200" spans="1:32">
      <c r="A1200" s="86"/>
      <c r="B1200" s="86"/>
      <c r="C1200" s="86"/>
      <c r="D1200" s="86"/>
      <c r="E1200" s="86"/>
      <c r="F1200" s="86"/>
      <c r="G1200" s="86"/>
      <c r="H1200" s="86"/>
      <c r="I1200" s="86"/>
      <c r="J1200" s="86"/>
      <c r="K1200" s="86"/>
      <c r="L1200" s="86"/>
      <c r="M1200" s="86"/>
      <c r="N1200" s="86"/>
      <c r="O1200" s="86"/>
      <c r="P1200" s="86"/>
      <c r="Q1200" s="86"/>
      <c r="R1200" s="86"/>
      <c r="S1200" s="86"/>
      <c r="T1200" s="86"/>
      <c r="U1200" s="86"/>
      <c r="V1200" s="86"/>
      <c r="W1200" s="86"/>
      <c r="X1200" s="86"/>
      <c r="Y1200" s="86"/>
      <c r="Z1200" s="86"/>
      <c r="AA1200" s="86"/>
      <c r="AB1200" s="86"/>
      <c r="AC1200" s="86"/>
      <c r="AD1200" s="86"/>
      <c r="AE1200" s="86"/>
      <c r="AF1200" s="86"/>
    </row>
    <row r="1201" spans="1:32">
      <c r="A1201" s="86"/>
      <c r="B1201" s="86"/>
      <c r="C1201" s="86"/>
      <c r="D1201" s="86"/>
      <c r="E1201" s="86"/>
      <c r="F1201" s="86"/>
      <c r="G1201" s="86"/>
      <c r="H1201" s="86"/>
      <c r="I1201" s="86"/>
      <c r="J1201" s="86"/>
      <c r="K1201" s="86"/>
      <c r="L1201" s="86"/>
      <c r="M1201" s="86"/>
      <c r="N1201" s="86"/>
      <c r="O1201" s="86"/>
      <c r="P1201" s="86"/>
      <c r="Q1201" s="86"/>
      <c r="R1201" s="86"/>
      <c r="S1201" s="86"/>
      <c r="T1201" s="86"/>
      <c r="U1201" s="86"/>
      <c r="V1201" s="86"/>
      <c r="W1201" s="86"/>
      <c r="X1201" s="86"/>
      <c r="Y1201" s="86"/>
      <c r="Z1201" s="86"/>
      <c r="AA1201" s="86"/>
      <c r="AB1201" s="86"/>
      <c r="AC1201" s="86"/>
      <c r="AD1201" s="86"/>
      <c r="AE1201" s="86"/>
      <c r="AF1201" s="86"/>
    </row>
    <row r="1202" spans="1:32">
      <c r="A1202" s="86"/>
      <c r="B1202" s="86"/>
      <c r="C1202" s="86"/>
      <c r="D1202" s="86"/>
      <c r="E1202" s="86"/>
      <c r="F1202" s="86"/>
      <c r="G1202" s="86"/>
      <c r="H1202" s="86"/>
      <c r="I1202" s="86"/>
      <c r="J1202" s="86"/>
      <c r="K1202" s="86"/>
      <c r="L1202" s="86"/>
      <c r="M1202" s="86"/>
      <c r="N1202" s="86"/>
      <c r="O1202" s="86"/>
      <c r="P1202" s="86"/>
      <c r="Q1202" s="86"/>
      <c r="R1202" s="86"/>
      <c r="S1202" s="86"/>
      <c r="T1202" s="86"/>
      <c r="U1202" s="86"/>
      <c r="V1202" s="86"/>
      <c r="W1202" s="86"/>
      <c r="X1202" s="86"/>
      <c r="Y1202" s="86"/>
      <c r="Z1202" s="86"/>
      <c r="AA1202" s="86"/>
      <c r="AB1202" s="86"/>
      <c r="AC1202" s="86"/>
      <c r="AD1202" s="86"/>
      <c r="AE1202" s="86"/>
      <c r="AF1202" s="86"/>
    </row>
    <row r="1203" spans="1:32">
      <c r="A1203" s="86"/>
      <c r="B1203" s="86"/>
      <c r="C1203" s="86"/>
      <c r="D1203" s="86"/>
      <c r="E1203" s="86"/>
      <c r="F1203" s="86"/>
      <c r="G1203" s="86"/>
      <c r="H1203" s="86"/>
      <c r="I1203" s="86"/>
      <c r="J1203" s="86"/>
      <c r="K1203" s="86"/>
      <c r="L1203" s="86"/>
      <c r="M1203" s="86"/>
      <c r="N1203" s="86"/>
      <c r="O1203" s="86"/>
      <c r="P1203" s="86"/>
      <c r="Q1203" s="86"/>
      <c r="R1203" s="86"/>
      <c r="S1203" s="86"/>
      <c r="T1203" s="86"/>
      <c r="U1203" s="86"/>
      <c r="V1203" s="86"/>
      <c r="W1203" s="86"/>
      <c r="X1203" s="86"/>
      <c r="Y1203" s="86"/>
      <c r="Z1203" s="86"/>
      <c r="AA1203" s="86"/>
      <c r="AB1203" s="86"/>
      <c r="AC1203" s="86"/>
      <c r="AD1203" s="86"/>
      <c r="AE1203" s="86"/>
      <c r="AF1203" s="86"/>
    </row>
    <row r="1204" spans="1:32">
      <c r="A1204" s="86"/>
      <c r="B1204" s="86"/>
      <c r="C1204" s="86"/>
      <c r="D1204" s="86"/>
      <c r="E1204" s="86"/>
      <c r="F1204" s="86"/>
      <c r="G1204" s="86"/>
      <c r="H1204" s="86"/>
      <c r="I1204" s="86"/>
      <c r="J1204" s="86"/>
      <c r="K1204" s="86"/>
      <c r="L1204" s="86"/>
      <c r="M1204" s="86"/>
      <c r="N1204" s="86"/>
      <c r="O1204" s="86"/>
      <c r="P1204" s="86"/>
      <c r="Q1204" s="86"/>
      <c r="R1204" s="86"/>
      <c r="S1204" s="86"/>
      <c r="T1204" s="86"/>
      <c r="U1204" s="86"/>
      <c r="V1204" s="86"/>
      <c r="W1204" s="86"/>
      <c r="X1204" s="86"/>
      <c r="Y1204" s="86"/>
      <c r="Z1204" s="86"/>
      <c r="AA1204" s="86"/>
      <c r="AB1204" s="86"/>
      <c r="AC1204" s="86"/>
      <c r="AD1204" s="86"/>
      <c r="AE1204" s="86"/>
      <c r="AF1204" s="86"/>
    </row>
    <row r="1205" spans="1:32">
      <c r="A1205" s="86"/>
      <c r="B1205" s="86"/>
      <c r="C1205" s="86"/>
      <c r="D1205" s="86"/>
      <c r="E1205" s="86"/>
      <c r="F1205" s="86"/>
      <c r="G1205" s="86"/>
      <c r="H1205" s="86"/>
      <c r="I1205" s="86"/>
      <c r="J1205" s="86"/>
      <c r="K1205" s="86"/>
      <c r="L1205" s="86"/>
      <c r="M1205" s="86"/>
      <c r="N1205" s="86"/>
      <c r="O1205" s="86"/>
      <c r="P1205" s="86"/>
      <c r="Q1205" s="86"/>
      <c r="R1205" s="86"/>
      <c r="S1205" s="86"/>
      <c r="T1205" s="86"/>
      <c r="U1205" s="86"/>
      <c r="V1205" s="86"/>
      <c r="W1205" s="86"/>
      <c r="X1205" s="86"/>
      <c r="Y1205" s="86"/>
      <c r="Z1205" s="86"/>
      <c r="AA1205" s="86"/>
      <c r="AB1205" s="86"/>
      <c r="AC1205" s="86"/>
      <c r="AD1205" s="86"/>
      <c r="AE1205" s="86"/>
      <c r="AF1205" s="86"/>
    </row>
    <row r="1206" spans="1:32">
      <c r="A1206" s="86"/>
      <c r="B1206" s="86"/>
      <c r="C1206" s="86"/>
      <c r="D1206" s="86"/>
      <c r="E1206" s="86"/>
      <c r="F1206" s="86"/>
      <c r="G1206" s="86"/>
      <c r="H1206" s="86"/>
      <c r="I1206" s="86"/>
      <c r="J1206" s="86"/>
      <c r="K1206" s="86"/>
      <c r="L1206" s="86"/>
      <c r="M1206" s="86"/>
      <c r="N1206" s="86"/>
      <c r="O1206" s="86"/>
      <c r="P1206" s="86"/>
      <c r="Q1206" s="86"/>
      <c r="R1206" s="86"/>
      <c r="S1206" s="86"/>
      <c r="T1206" s="86"/>
      <c r="U1206" s="86"/>
      <c r="V1206" s="86"/>
      <c r="W1206" s="86"/>
      <c r="X1206" s="86"/>
      <c r="Y1206" s="86"/>
      <c r="Z1206" s="86"/>
      <c r="AA1206" s="86"/>
      <c r="AB1206" s="86"/>
      <c r="AC1206" s="86"/>
      <c r="AD1206" s="86"/>
      <c r="AE1206" s="86"/>
      <c r="AF1206" s="86"/>
    </row>
    <row r="1207" spans="1:32">
      <c r="A1207" s="86"/>
      <c r="B1207" s="86"/>
      <c r="C1207" s="86"/>
      <c r="D1207" s="86"/>
      <c r="E1207" s="86"/>
      <c r="F1207" s="86"/>
      <c r="G1207" s="86"/>
      <c r="H1207" s="86"/>
      <c r="I1207" s="86"/>
      <c r="J1207" s="86"/>
      <c r="K1207" s="86"/>
      <c r="L1207" s="86"/>
      <c r="M1207" s="86"/>
      <c r="N1207" s="86"/>
      <c r="O1207" s="86"/>
      <c r="P1207" s="86"/>
      <c r="Q1207" s="86"/>
      <c r="R1207" s="86"/>
      <c r="S1207" s="86"/>
      <c r="T1207" s="86"/>
      <c r="U1207" s="86"/>
      <c r="V1207" s="86"/>
      <c r="W1207" s="86"/>
      <c r="X1207" s="86"/>
      <c r="Y1207" s="86"/>
      <c r="Z1207" s="86"/>
      <c r="AA1207" s="86"/>
      <c r="AB1207" s="86"/>
      <c r="AC1207" s="86"/>
      <c r="AD1207" s="86"/>
      <c r="AE1207" s="86"/>
      <c r="AF1207" s="86"/>
    </row>
    <row r="1208" spans="1:32">
      <c r="A1208" s="86"/>
      <c r="B1208" s="86"/>
      <c r="C1208" s="86"/>
      <c r="D1208" s="86"/>
      <c r="E1208" s="86"/>
      <c r="F1208" s="86"/>
      <c r="G1208" s="86"/>
      <c r="H1208" s="86"/>
      <c r="I1208" s="86"/>
      <c r="J1208" s="86"/>
      <c r="K1208" s="86"/>
      <c r="L1208" s="86"/>
      <c r="M1208" s="86"/>
      <c r="N1208" s="86"/>
      <c r="O1208" s="86"/>
      <c r="P1208" s="86"/>
      <c r="Q1208" s="86"/>
      <c r="R1208" s="86"/>
      <c r="S1208" s="86"/>
      <c r="T1208" s="86"/>
      <c r="U1208" s="86"/>
      <c r="V1208" s="86"/>
      <c r="W1208" s="86"/>
      <c r="X1208" s="86"/>
      <c r="Y1208" s="86"/>
      <c r="Z1208" s="86"/>
      <c r="AA1208" s="86"/>
      <c r="AB1208" s="86"/>
      <c r="AC1208" s="86"/>
      <c r="AD1208" s="86"/>
      <c r="AE1208" s="86"/>
      <c r="AF1208" s="86"/>
    </row>
    <row r="1209" spans="1:32">
      <c r="A1209" s="86"/>
      <c r="B1209" s="86"/>
      <c r="C1209" s="86"/>
      <c r="D1209" s="86"/>
      <c r="E1209" s="86"/>
      <c r="F1209" s="86"/>
      <c r="G1209" s="86"/>
      <c r="H1209" s="86"/>
      <c r="I1209" s="86"/>
      <c r="J1209" s="86"/>
      <c r="K1209" s="86"/>
      <c r="L1209" s="86"/>
      <c r="M1209" s="86"/>
      <c r="N1209" s="86"/>
      <c r="O1209" s="86"/>
      <c r="P1209" s="86"/>
      <c r="Q1209" s="86"/>
      <c r="R1209" s="86"/>
      <c r="S1209" s="86"/>
      <c r="T1209" s="86"/>
      <c r="U1209" s="86"/>
      <c r="V1209" s="86"/>
      <c r="W1209" s="86"/>
      <c r="X1209" s="86"/>
      <c r="Y1209" s="86"/>
      <c r="Z1209" s="86"/>
      <c r="AA1209" s="86"/>
      <c r="AB1209" s="86"/>
      <c r="AC1209" s="86"/>
      <c r="AD1209" s="86"/>
      <c r="AE1209" s="86"/>
      <c r="AF1209" s="86"/>
    </row>
    <row r="1210" spans="1:32">
      <c r="A1210" s="86"/>
      <c r="B1210" s="86"/>
      <c r="C1210" s="86"/>
      <c r="D1210" s="86"/>
      <c r="E1210" s="86"/>
      <c r="F1210" s="86"/>
      <c r="G1210" s="86"/>
      <c r="H1210" s="86"/>
      <c r="I1210" s="86"/>
      <c r="J1210" s="86"/>
      <c r="K1210" s="86"/>
      <c r="L1210" s="86"/>
      <c r="M1210" s="86"/>
      <c r="N1210" s="86"/>
      <c r="O1210" s="86"/>
      <c r="P1210" s="86"/>
      <c r="Q1210" s="86"/>
      <c r="R1210" s="86"/>
      <c r="S1210" s="86"/>
      <c r="T1210" s="86"/>
      <c r="U1210" s="86"/>
      <c r="V1210" s="86"/>
      <c r="W1210" s="86"/>
      <c r="X1210" s="86"/>
      <c r="Y1210" s="86"/>
      <c r="Z1210" s="86"/>
      <c r="AA1210" s="86"/>
      <c r="AB1210" s="86"/>
      <c r="AC1210" s="86"/>
      <c r="AD1210" s="86"/>
      <c r="AE1210" s="86"/>
      <c r="AF1210" s="86"/>
    </row>
    <row r="1211" spans="1:32">
      <c r="A1211" s="86"/>
      <c r="B1211" s="86"/>
      <c r="C1211" s="86"/>
      <c r="D1211" s="86"/>
      <c r="E1211" s="86"/>
      <c r="F1211" s="86"/>
      <c r="G1211" s="86"/>
      <c r="H1211" s="86"/>
      <c r="I1211" s="86"/>
      <c r="J1211" s="86"/>
      <c r="K1211" s="86"/>
      <c r="L1211" s="86"/>
      <c r="M1211" s="86"/>
      <c r="N1211" s="86"/>
      <c r="O1211" s="86"/>
      <c r="P1211" s="86"/>
      <c r="Q1211" s="86"/>
      <c r="R1211" s="86"/>
      <c r="S1211" s="86"/>
      <c r="T1211" s="86"/>
      <c r="U1211" s="86"/>
      <c r="V1211" s="86"/>
      <c r="W1211" s="86"/>
      <c r="X1211" s="86"/>
      <c r="Y1211" s="86"/>
      <c r="Z1211" s="86"/>
      <c r="AA1211" s="86"/>
      <c r="AB1211" s="86"/>
      <c r="AC1211" s="86"/>
      <c r="AD1211" s="86"/>
      <c r="AE1211" s="86"/>
      <c r="AF1211" s="86"/>
    </row>
    <row r="1212" spans="1:32">
      <c r="A1212" s="86"/>
      <c r="B1212" s="86"/>
      <c r="C1212" s="86"/>
      <c r="D1212" s="86"/>
      <c r="E1212" s="86"/>
      <c r="F1212" s="86"/>
      <c r="G1212" s="86"/>
      <c r="H1212" s="86"/>
      <c r="I1212" s="86"/>
      <c r="J1212" s="86"/>
      <c r="K1212" s="86"/>
      <c r="L1212" s="86"/>
      <c r="M1212" s="86"/>
      <c r="N1212" s="86"/>
      <c r="O1212" s="86"/>
      <c r="P1212" s="86"/>
      <c r="Q1212" s="86"/>
      <c r="R1212" s="86"/>
      <c r="S1212" s="86"/>
      <c r="T1212" s="86"/>
      <c r="U1212" s="86"/>
      <c r="V1212" s="86"/>
      <c r="W1212" s="86"/>
      <c r="X1212" s="86"/>
      <c r="Y1212" s="86"/>
      <c r="Z1212" s="86"/>
      <c r="AA1212" s="86"/>
      <c r="AB1212" s="86"/>
      <c r="AC1212" s="86"/>
      <c r="AD1212" s="86"/>
      <c r="AE1212" s="86"/>
      <c r="AF1212" s="86"/>
    </row>
    <row r="1213" spans="1:32">
      <c r="A1213" s="86"/>
      <c r="B1213" s="86"/>
      <c r="C1213" s="86"/>
      <c r="D1213" s="86"/>
      <c r="E1213" s="86"/>
      <c r="F1213" s="86"/>
      <c r="G1213" s="86"/>
      <c r="H1213" s="86"/>
      <c r="I1213" s="86"/>
      <c r="J1213" s="86"/>
      <c r="K1213" s="86"/>
      <c r="L1213" s="86"/>
      <c r="M1213" s="86"/>
      <c r="N1213" s="86"/>
      <c r="O1213" s="86"/>
      <c r="P1213" s="86"/>
      <c r="Q1213" s="86"/>
      <c r="R1213" s="86"/>
      <c r="S1213" s="86"/>
      <c r="T1213" s="86"/>
      <c r="U1213" s="86"/>
      <c r="V1213" s="86"/>
      <c r="W1213" s="86"/>
      <c r="X1213" s="86"/>
      <c r="Y1213" s="86"/>
      <c r="Z1213" s="86"/>
      <c r="AA1213" s="86"/>
      <c r="AB1213" s="86"/>
      <c r="AC1213" s="86"/>
      <c r="AD1213" s="86"/>
      <c r="AE1213" s="86"/>
      <c r="AF1213" s="86"/>
    </row>
    <row r="1214" spans="1:32">
      <c r="A1214" s="86"/>
      <c r="B1214" s="86"/>
      <c r="C1214" s="86"/>
      <c r="D1214" s="86"/>
      <c r="E1214" s="86"/>
      <c r="F1214" s="86"/>
      <c r="G1214" s="86"/>
      <c r="H1214" s="86"/>
      <c r="I1214" s="86"/>
      <c r="J1214" s="86"/>
      <c r="K1214" s="86"/>
      <c r="L1214" s="86"/>
      <c r="M1214" s="86"/>
      <c r="N1214" s="86"/>
      <c r="O1214" s="86"/>
      <c r="P1214" s="86"/>
      <c r="Q1214" s="86"/>
      <c r="R1214" s="86"/>
      <c r="S1214" s="86"/>
      <c r="T1214" s="86"/>
      <c r="U1214" s="86"/>
      <c r="V1214" s="86"/>
      <c r="W1214" s="86"/>
      <c r="X1214" s="86"/>
      <c r="Y1214" s="86"/>
      <c r="Z1214" s="86"/>
      <c r="AA1214" s="86"/>
      <c r="AB1214" s="86"/>
      <c r="AC1214" s="86"/>
      <c r="AD1214" s="86"/>
      <c r="AE1214" s="86"/>
      <c r="AF1214" s="86"/>
    </row>
    <row r="1215" spans="1:32">
      <c r="A1215" s="86"/>
      <c r="B1215" s="86"/>
      <c r="C1215" s="86"/>
      <c r="D1215" s="86"/>
      <c r="E1215" s="86"/>
      <c r="F1215" s="86"/>
      <c r="G1215" s="86"/>
      <c r="H1215" s="86"/>
      <c r="I1215" s="86"/>
      <c r="J1215" s="86"/>
      <c r="K1215" s="86"/>
      <c r="L1215" s="86"/>
      <c r="M1215" s="86"/>
      <c r="N1215" s="86"/>
      <c r="O1215" s="86"/>
      <c r="P1215" s="86"/>
      <c r="Q1215" s="86"/>
      <c r="R1215" s="86"/>
      <c r="S1215" s="86"/>
      <c r="T1215" s="86"/>
      <c r="U1215" s="86"/>
      <c r="V1215" s="86"/>
      <c r="W1215" s="86"/>
      <c r="X1215" s="86"/>
      <c r="Y1215" s="86"/>
      <c r="Z1215" s="86"/>
      <c r="AA1215" s="86"/>
      <c r="AB1215" s="86"/>
      <c r="AC1215" s="86"/>
      <c r="AD1215" s="86"/>
      <c r="AE1215" s="86"/>
      <c r="AF1215" s="86"/>
    </row>
    <row r="1216" spans="1:32">
      <c r="A1216" s="86"/>
      <c r="B1216" s="86"/>
      <c r="C1216" s="86"/>
      <c r="D1216" s="86"/>
      <c r="E1216" s="86"/>
      <c r="F1216" s="86"/>
      <c r="G1216" s="86"/>
      <c r="H1216" s="86"/>
      <c r="I1216" s="86"/>
      <c r="J1216" s="86"/>
      <c r="K1216" s="86"/>
      <c r="L1216" s="86"/>
      <c r="M1216" s="86"/>
      <c r="N1216" s="86"/>
      <c r="O1216" s="86"/>
      <c r="P1216" s="86"/>
      <c r="Q1216" s="86"/>
      <c r="R1216" s="86"/>
      <c r="S1216" s="86"/>
      <c r="T1216" s="86"/>
      <c r="U1216" s="86"/>
      <c r="V1216" s="86"/>
      <c r="W1216" s="86"/>
      <c r="X1216" s="86"/>
      <c r="Y1216" s="86"/>
      <c r="Z1216" s="86"/>
      <c r="AA1216" s="86"/>
      <c r="AB1216" s="86"/>
      <c r="AC1216" s="86"/>
      <c r="AD1216" s="86"/>
      <c r="AE1216" s="86"/>
      <c r="AF1216" s="86"/>
    </row>
    <row r="1217" spans="1:32">
      <c r="A1217" s="86"/>
      <c r="B1217" s="86"/>
      <c r="C1217" s="86"/>
      <c r="D1217" s="86"/>
      <c r="E1217" s="86"/>
      <c r="F1217" s="86"/>
      <c r="G1217" s="86"/>
      <c r="H1217" s="86"/>
      <c r="I1217" s="86"/>
      <c r="J1217" s="86"/>
      <c r="K1217" s="86"/>
      <c r="L1217" s="86"/>
      <c r="M1217" s="86"/>
      <c r="N1217" s="86"/>
      <c r="O1217" s="86"/>
      <c r="P1217" s="86"/>
      <c r="Q1217" s="86"/>
      <c r="R1217" s="86"/>
      <c r="S1217" s="86"/>
      <c r="T1217" s="86"/>
      <c r="U1217" s="86"/>
      <c r="V1217" s="86"/>
      <c r="W1217" s="86"/>
      <c r="X1217" s="86"/>
      <c r="Y1217" s="86"/>
      <c r="Z1217" s="86"/>
      <c r="AA1217" s="86"/>
      <c r="AB1217" s="86"/>
      <c r="AC1217" s="86"/>
      <c r="AD1217" s="86"/>
      <c r="AE1217" s="86"/>
      <c r="AF1217" s="86"/>
    </row>
    <row r="1218" spans="1:32">
      <c r="A1218" s="86"/>
      <c r="B1218" s="86"/>
      <c r="C1218" s="86"/>
      <c r="D1218" s="86"/>
      <c r="E1218" s="86"/>
      <c r="F1218" s="86"/>
      <c r="G1218" s="86"/>
      <c r="H1218" s="86"/>
      <c r="I1218" s="86"/>
      <c r="J1218" s="86"/>
      <c r="K1218" s="86"/>
      <c r="L1218" s="86"/>
      <c r="M1218" s="86"/>
      <c r="N1218" s="86"/>
      <c r="O1218" s="86"/>
      <c r="P1218" s="86"/>
      <c r="Q1218" s="86"/>
      <c r="R1218" s="86"/>
      <c r="S1218" s="86"/>
      <c r="T1218" s="86"/>
      <c r="U1218" s="86"/>
      <c r="V1218" s="86"/>
      <c r="W1218" s="86"/>
      <c r="X1218" s="86"/>
      <c r="Y1218" s="86"/>
      <c r="Z1218" s="86"/>
      <c r="AA1218" s="86"/>
      <c r="AB1218" s="86"/>
      <c r="AC1218" s="86"/>
      <c r="AD1218" s="86"/>
      <c r="AE1218" s="86"/>
      <c r="AF1218" s="86"/>
    </row>
    <row r="1219" spans="1:32">
      <c r="A1219" s="86"/>
      <c r="B1219" s="86"/>
      <c r="C1219" s="86"/>
      <c r="D1219" s="86"/>
      <c r="E1219" s="86"/>
      <c r="F1219" s="86"/>
      <c r="G1219" s="86"/>
      <c r="H1219" s="86"/>
      <c r="I1219" s="86"/>
      <c r="J1219" s="86"/>
      <c r="K1219" s="86"/>
      <c r="L1219" s="86"/>
      <c r="M1219" s="86"/>
      <c r="N1219" s="86"/>
      <c r="O1219" s="86"/>
      <c r="P1219" s="86"/>
      <c r="Q1219" s="86"/>
      <c r="R1219" s="86"/>
      <c r="S1219" s="86"/>
      <c r="T1219" s="86"/>
      <c r="U1219" s="86"/>
      <c r="V1219" s="86"/>
      <c r="W1219" s="86"/>
      <c r="X1219" s="86"/>
      <c r="Y1219" s="86"/>
      <c r="Z1219" s="86"/>
      <c r="AA1219" s="86"/>
      <c r="AB1219" s="86"/>
      <c r="AC1219" s="86"/>
      <c r="AD1219" s="86"/>
      <c r="AE1219" s="86"/>
      <c r="AF1219" s="86"/>
    </row>
    <row r="1220" spans="1:32">
      <c r="A1220" s="86"/>
      <c r="B1220" s="86"/>
      <c r="C1220" s="86"/>
      <c r="D1220" s="86"/>
      <c r="E1220" s="86"/>
      <c r="F1220" s="86"/>
      <c r="G1220" s="86"/>
      <c r="H1220" s="86"/>
      <c r="I1220" s="86"/>
      <c r="J1220" s="86"/>
      <c r="K1220" s="86"/>
      <c r="L1220" s="86"/>
      <c r="M1220" s="86"/>
      <c r="N1220" s="86"/>
      <c r="O1220" s="86"/>
      <c r="P1220" s="86"/>
      <c r="Q1220" s="86"/>
      <c r="R1220" s="86"/>
      <c r="S1220" s="86"/>
      <c r="T1220" s="86"/>
      <c r="U1220" s="86"/>
      <c r="V1220" s="86"/>
      <c r="W1220" s="86"/>
      <c r="X1220" s="86"/>
      <c r="Y1220" s="86"/>
      <c r="Z1220" s="86"/>
      <c r="AA1220" s="86"/>
      <c r="AB1220" s="86"/>
      <c r="AC1220" s="86"/>
      <c r="AD1220" s="86"/>
      <c r="AE1220" s="86"/>
      <c r="AF1220" s="86"/>
    </row>
    <row r="1221" spans="1:32">
      <c r="A1221" s="86"/>
      <c r="B1221" s="86"/>
      <c r="C1221" s="86"/>
      <c r="D1221" s="86"/>
      <c r="E1221" s="86"/>
      <c r="F1221" s="86"/>
      <c r="G1221" s="86"/>
      <c r="H1221" s="86"/>
      <c r="I1221" s="86"/>
      <c r="J1221" s="86"/>
      <c r="K1221" s="86"/>
      <c r="L1221" s="86"/>
      <c r="M1221" s="86"/>
      <c r="N1221" s="86"/>
      <c r="O1221" s="86"/>
      <c r="P1221" s="86"/>
      <c r="Q1221" s="86"/>
      <c r="R1221" s="86"/>
      <c r="S1221" s="86"/>
      <c r="T1221" s="86"/>
      <c r="U1221" s="86"/>
      <c r="V1221" s="86"/>
      <c r="W1221" s="86"/>
      <c r="X1221" s="86"/>
      <c r="Y1221" s="86"/>
      <c r="Z1221" s="86"/>
      <c r="AA1221" s="86"/>
      <c r="AB1221" s="86"/>
      <c r="AC1221" s="86"/>
      <c r="AD1221" s="86"/>
      <c r="AE1221" s="86"/>
      <c r="AF1221" s="86"/>
    </row>
    <row r="1222" spans="1:32">
      <c r="A1222" s="86"/>
      <c r="B1222" s="86"/>
      <c r="C1222" s="86"/>
      <c r="D1222" s="86"/>
      <c r="E1222" s="86"/>
      <c r="F1222" s="86"/>
      <c r="G1222" s="86"/>
      <c r="H1222" s="86"/>
      <c r="I1222" s="86"/>
      <c r="J1222" s="86"/>
      <c r="K1222" s="86"/>
      <c r="L1222" s="86"/>
      <c r="M1222" s="86"/>
      <c r="N1222" s="86"/>
      <c r="O1222" s="86"/>
      <c r="P1222" s="86"/>
      <c r="Q1222" s="86"/>
      <c r="R1222" s="86"/>
      <c r="S1222" s="86"/>
      <c r="T1222" s="86"/>
      <c r="U1222" s="86"/>
      <c r="V1222" s="86"/>
      <c r="W1222" s="86"/>
      <c r="X1222" s="86"/>
      <c r="Y1222" s="86"/>
      <c r="Z1222" s="86"/>
      <c r="AA1222" s="86"/>
      <c r="AB1222" s="86"/>
      <c r="AC1222" s="86"/>
      <c r="AD1222" s="86"/>
      <c r="AE1222" s="86"/>
      <c r="AF1222" s="86"/>
    </row>
    <row r="1223" spans="1:32">
      <c r="A1223" s="86"/>
      <c r="B1223" s="86"/>
      <c r="C1223" s="86"/>
      <c r="D1223" s="86"/>
      <c r="E1223" s="86"/>
      <c r="F1223" s="86"/>
      <c r="G1223" s="86"/>
      <c r="H1223" s="86"/>
      <c r="I1223" s="86"/>
      <c r="J1223" s="86"/>
      <c r="K1223" s="86"/>
      <c r="L1223" s="86"/>
      <c r="M1223" s="86"/>
      <c r="N1223" s="86"/>
      <c r="O1223" s="86"/>
      <c r="P1223" s="86"/>
      <c r="Q1223" s="86"/>
      <c r="R1223" s="86"/>
      <c r="S1223" s="86"/>
      <c r="T1223" s="86"/>
      <c r="U1223" s="86"/>
      <c r="V1223" s="86"/>
      <c r="W1223" s="86"/>
      <c r="X1223" s="86"/>
      <c r="Y1223" s="86"/>
      <c r="Z1223" s="86"/>
      <c r="AA1223" s="86"/>
      <c r="AB1223" s="86"/>
      <c r="AC1223" s="86"/>
      <c r="AD1223" s="86"/>
      <c r="AE1223" s="86"/>
      <c r="AF1223" s="86"/>
    </row>
    <row r="1224" spans="1:32">
      <c r="A1224" s="86"/>
      <c r="B1224" s="86"/>
      <c r="C1224" s="86"/>
      <c r="D1224" s="86"/>
      <c r="E1224" s="86"/>
      <c r="F1224" s="86"/>
      <c r="G1224" s="86"/>
      <c r="H1224" s="86"/>
      <c r="I1224" s="86"/>
      <c r="J1224" s="86"/>
      <c r="K1224" s="86"/>
      <c r="L1224" s="86"/>
      <c r="M1224" s="86"/>
      <c r="N1224" s="86"/>
      <c r="O1224" s="86"/>
      <c r="P1224" s="86"/>
      <c r="Q1224" s="86"/>
      <c r="R1224" s="86"/>
      <c r="S1224" s="86"/>
      <c r="T1224" s="86"/>
      <c r="U1224" s="86"/>
      <c r="V1224" s="86"/>
      <c r="W1224" s="86"/>
      <c r="X1224" s="86"/>
      <c r="Y1224" s="86"/>
      <c r="Z1224" s="86"/>
      <c r="AA1224" s="86"/>
      <c r="AB1224" s="86"/>
      <c r="AC1224" s="86"/>
      <c r="AD1224" s="86"/>
      <c r="AE1224" s="86"/>
      <c r="AF1224" s="86"/>
    </row>
    <row r="1225" spans="1:32">
      <c r="A1225" s="86"/>
      <c r="B1225" s="86"/>
      <c r="C1225" s="86"/>
      <c r="D1225" s="86"/>
      <c r="E1225" s="86"/>
      <c r="F1225" s="86"/>
      <c r="G1225" s="86"/>
      <c r="H1225" s="86"/>
      <c r="I1225" s="86"/>
      <c r="J1225" s="86"/>
      <c r="K1225" s="86"/>
      <c r="L1225" s="86"/>
      <c r="M1225" s="86"/>
      <c r="N1225" s="86"/>
      <c r="O1225" s="86"/>
      <c r="P1225" s="86"/>
      <c r="Q1225" s="86"/>
      <c r="R1225" s="86"/>
      <c r="S1225" s="86"/>
      <c r="T1225" s="86"/>
      <c r="U1225" s="86"/>
      <c r="V1225" s="86"/>
      <c r="W1225" s="86"/>
      <c r="X1225" s="86"/>
      <c r="Y1225" s="86"/>
      <c r="Z1225" s="86"/>
      <c r="AA1225" s="86"/>
      <c r="AB1225" s="86"/>
      <c r="AC1225" s="86"/>
      <c r="AD1225" s="86"/>
      <c r="AE1225" s="86"/>
      <c r="AF1225" s="86"/>
    </row>
    <row r="1226" spans="1:32">
      <c r="A1226" s="86"/>
      <c r="B1226" s="86"/>
      <c r="C1226" s="86"/>
      <c r="D1226" s="86"/>
      <c r="E1226" s="86"/>
      <c r="F1226" s="86"/>
      <c r="G1226" s="86"/>
      <c r="H1226" s="86"/>
      <c r="I1226" s="86"/>
      <c r="J1226" s="86"/>
      <c r="K1226" s="86"/>
      <c r="L1226" s="86"/>
      <c r="M1226" s="86"/>
      <c r="N1226" s="86"/>
      <c r="O1226" s="86"/>
      <c r="P1226" s="86"/>
      <c r="Q1226" s="86"/>
      <c r="R1226" s="86"/>
      <c r="S1226" s="86"/>
      <c r="T1226" s="86"/>
      <c r="U1226" s="86"/>
      <c r="V1226" s="86"/>
      <c r="W1226" s="86"/>
      <c r="X1226" s="86"/>
      <c r="Y1226" s="86"/>
      <c r="Z1226" s="86"/>
      <c r="AA1226" s="86"/>
      <c r="AB1226" s="86"/>
      <c r="AC1226" s="86"/>
      <c r="AD1226" s="86"/>
      <c r="AE1226" s="86"/>
      <c r="AF1226" s="86"/>
    </row>
    <row r="1227" spans="1:32">
      <c r="A1227" s="86"/>
      <c r="B1227" s="86"/>
      <c r="C1227" s="86"/>
      <c r="D1227" s="86"/>
      <c r="E1227" s="86"/>
      <c r="F1227" s="86"/>
      <c r="G1227" s="86"/>
      <c r="H1227" s="86"/>
      <c r="I1227" s="86"/>
      <c r="J1227" s="86"/>
      <c r="K1227" s="86"/>
      <c r="L1227" s="86"/>
      <c r="M1227" s="86"/>
      <c r="N1227" s="86"/>
      <c r="O1227" s="86"/>
      <c r="P1227" s="86"/>
      <c r="Q1227" s="86"/>
      <c r="R1227" s="86"/>
      <c r="S1227" s="86"/>
      <c r="T1227" s="86"/>
      <c r="U1227" s="86"/>
      <c r="V1227" s="86"/>
      <c r="W1227" s="86"/>
      <c r="X1227" s="86"/>
      <c r="Y1227" s="86"/>
      <c r="Z1227" s="86"/>
      <c r="AA1227" s="86"/>
      <c r="AB1227" s="86"/>
      <c r="AC1227" s="86"/>
      <c r="AD1227" s="86"/>
      <c r="AE1227" s="86"/>
      <c r="AF1227" s="86"/>
    </row>
    <row r="1228" spans="1:32">
      <c r="A1228" s="86"/>
      <c r="B1228" s="86"/>
      <c r="C1228" s="86"/>
      <c r="D1228" s="86"/>
      <c r="E1228" s="86"/>
      <c r="F1228" s="86"/>
      <c r="G1228" s="86"/>
      <c r="H1228" s="86"/>
      <c r="I1228" s="86"/>
      <c r="J1228" s="86"/>
      <c r="K1228" s="86"/>
      <c r="L1228" s="86"/>
      <c r="M1228" s="86"/>
      <c r="N1228" s="86"/>
      <c r="O1228" s="86"/>
      <c r="P1228" s="86"/>
      <c r="Q1228" s="86"/>
      <c r="R1228" s="86"/>
      <c r="S1228" s="86"/>
      <c r="T1228" s="86"/>
      <c r="U1228" s="86"/>
      <c r="V1228" s="86"/>
      <c r="W1228" s="86"/>
      <c r="X1228" s="86"/>
      <c r="Y1228" s="86"/>
      <c r="Z1228" s="86"/>
      <c r="AA1228" s="86"/>
      <c r="AB1228" s="86"/>
      <c r="AC1228" s="86"/>
      <c r="AD1228" s="86"/>
      <c r="AE1228" s="86"/>
      <c r="AF1228" s="86"/>
    </row>
    <row r="1229" spans="1:32">
      <c r="A1229" s="86"/>
      <c r="B1229" s="86"/>
      <c r="C1229" s="86"/>
      <c r="D1229" s="86"/>
      <c r="E1229" s="86"/>
      <c r="F1229" s="86"/>
      <c r="G1229" s="86"/>
      <c r="H1229" s="86"/>
      <c r="I1229" s="86"/>
      <c r="J1229" s="86"/>
      <c r="K1229" s="86"/>
      <c r="L1229" s="86"/>
      <c r="M1229" s="86"/>
      <c r="N1229" s="86"/>
      <c r="O1229" s="86"/>
      <c r="P1229" s="86"/>
      <c r="Q1229" s="86"/>
      <c r="R1229" s="86"/>
      <c r="S1229" s="86"/>
      <c r="T1229" s="86"/>
      <c r="U1229" s="86"/>
      <c r="V1229" s="86"/>
      <c r="W1229" s="86"/>
      <c r="X1229" s="86"/>
      <c r="Y1229" s="86"/>
      <c r="Z1229" s="86"/>
      <c r="AA1229" s="86"/>
      <c r="AB1229" s="86"/>
      <c r="AC1229" s="86"/>
      <c r="AD1229" s="86"/>
      <c r="AE1229" s="86"/>
      <c r="AF1229" s="86"/>
    </row>
    <row r="1230" spans="1:32">
      <c r="A1230" s="86"/>
      <c r="B1230" s="86"/>
      <c r="C1230" s="86"/>
      <c r="D1230" s="86"/>
      <c r="E1230" s="86"/>
      <c r="F1230" s="86"/>
      <c r="G1230" s="86"/>
      <c r="H1230" s="86"/>
      <c r="I1230" s="86"/>
      <c r="J1230" s="86"/>
      <c r="K1230" s="86"/>
      <c r="L1230" s="86"/>
      <c r="M1230" s="86"/>
      <c r="N1230" s="86"/>
      <c r="O1230" s="86"/>
      <c r="P1230" s="86"/>
      <c r="Q1230" s="86"/>
      <c r="R1230" s="86"/>
      <c r="S1230" s="86"/>
      <c r="T1230" s="86"/>
      <c r="U1230" s="86"/>
      <c r="V1230" s="86"/>
      <c r="W1230" s="86"/>
      <c r="X1230" s="86"/>
      <c r="Y1230" s="86"/>
      <c r="Z1230" s="86"/>
      <c r="AA1230" s="86"/>
      <c r="AB1230" s="86"/>
      <c r="AC1230" s="86"/>
      <c r="AD1230" s="86"/>
      <c r="AE1230" s="86"/>
      <c r="AF1230" s="86"/>
    </row>
    <row r="1231" spans="1:32">
      <c r="A1231" s="86"/>
      <c r="B1231" s="86"/>
      <c r="C1231" s="86"/>
      <c r="D1231" s="86"/>
      <c r="E1231" s="86"/>
      <c r="F1231" s="86"/>
      <c r="G1231" s="86"/>
      <c r="H1231" s="86"/>
      <c r="I1231" s="86"/>
      <c r="J1231" s="86"/>
      <c r="K1231" s="86"/>
      <c r="L1231" s="86"/>
      <c r="M1231" s="86"/>
      <c r="N1231" s="86"/>
      <c r="O1231" s="86"/>
      <c r="P1231" s="86"/>
      <c r="Q1231" s="86"/>
      <c r="R1231" s="86"/>
      <c r="S1231" s="86"/>
      <c r="T1231" s="86"/>
      <c r="U1231" s="86"/>
      <c r="V1231" s="86"/>
      <c r="W1231" s="86"/>
      <c r="X1231" s="86"/>
      <c r="Y1231" s="86"/>
      <c r="Z1231" s="86"/>
      <c r="AA1231" s="86"/>
      <c r="AB1231" s="86"/>
      <c r="AC1231" s="86"/>
      <c r="AD1231" s="86"/>
      <c r="AE1231" s="86"/>
      <c r="AF1231" s="86"/>
    </row>
    <row r="1232" spans="1:32">
      <c r="A1232" s="86"/>
      <c r="B1232" s="86"/>
      <c r="C1232" s="86"/>
      <c r="D1232" s="86"/>
      <c r="E1232" s="86"/>
      <c r="F1232" s="86"/>
      <c r="G1232" s="86"/>
      <c r="H1232" s="86"/>
      <c r="I1232" s="86"/>
      <c r="J1232" s="86"/>
      <c r="K1232" s="86"/>
      <c r="L1232" s="86"/>
      <c r="M1232" s="86"/>
      <c r="N1232" s="86"/>
      <c r="O1232" s="86"/>
      <c r="P1232" s="86"/>
      <c r="Q1232" s="86"/>
      <c r="R1232" s="86"/>
      <c r="S1232" s="86"/>
      <c r="T1232" s="86"/>
      <c r="U1232" s="86"/>
      <c r="V1232" s="86"/>
      <c r="W1232" s="86"/>
      <c r="X1232" s="86"/>
      <c r="Y1232" s="86"/>
      <c r="Z1232" s="86"/>
      <c r="AA1232" s="86"/>
      <c r="AB1232" s="86"/>
      <c r="AC1232" s="86"/>
      <c r="AD1232" s="86"/>
      <c r="AE1232" s="86"/>
      <c r="AF1232" s="86"/>
    </row>
    <row r="1233" spans="1:32">
      <c r="A1233" s="86"/>
      <c r="B1233" s="86"/>
      <c r="C1233" s="86"/>
      <c r="D1233" s="86"/>
      <c r="E1233" s="86"/>
      <c r="F1233" s="86"/>
      <c r="G1233" s="86"/>
      <c r="H1233" s="86"/>
      <c r="I1233" s="86"/>
      <c r="J1233" s="86"/>
      <c r="K1233" s="86"/>
      <c r="L1233" s="86"/>
      <c r="M1233" s="86"/>
      <c r="N1233" s="86"/>
      <c r="O1233" s="86"/>
      <c r="P1233" s="86"/>
      <c r="Q1233" s="86"/>
      <c r="R1233" s="86"/>
      <c r="S1233" s="86"/>
      <c r="T1233" s="86"/>
      <c r="U1233" s="86"/>
      <c r="V1233" s="86"/>
      <c r="W1233" s="86"/>
      <c r="X1233" s="86"/>
      <c r="Y1233" s="86"/>
      <c r="Z1233" s="86"/>
      <c r="AA1233" s="86"/>
      <c r="AB1233" s="86"/>
      <c r="AC1233" s="86"/>
      <c r="AD1233" s="86"/>
      <c r="AE1233" s="86"/>
      <c r="AF1233" s="86"/>
    </row>
    <row r="1234" spans="1:32">
      <c r="A1234" s="86"/>
      <c r="B1234" s="86"/>
      <c r="C1234" s="86"/>
      <c r="D1234" s="86"/>
      <c r="E1234" s="86"/>
      <c r="F1234" s="86"/>
      <c r="G1234" s="86"/>
      <c r="H1234" s="86"/>
      <c r="I1234" s="86"/>
      <c r="J1234" s="86"/>
      <c r="K1234" s="86"/>
      <c r="L1234" s="86"/>
      <c r="M1234" s="86"/>
      <c r="N1234" s="86"/>
      <c r="O1234" s="86"/>
      <c r="P1234" s="86"/>
      <c r="Q1234" s="86"/>
      <c r="R1234" s="86"/>
      <c r="S1234" s="86"/>
      <c r="T1234" s="86"/>
      <c r="U1234" s="86"/>
      <c r="V1234" s="86"/>
      <c r="W1234" s="86"/>
      <c r="X1234" s="86"/>
      <c r="Y1234" s="86"/>
      <c r="Z1234" s="86"/>
      <c r="AA1234" s="86"/>
      <c r="AB1234" s="86"/>
      <c r="AC1234" s="86"/>
      <c r="AD1234" s="86"/>
      <c r="AE1234" s="86"/>
      <c r="AF1234" s="86"/>
    </row>
    <row r="1235" spans="1:32">
      <c r="A1235" s="86"/>
      <c r="B1235" s="86"/>
      <c r="C1235" s="86"/>
      <c r="D1235" s="86"/>
      <c r="E1235" s="86"/>
      <c r="F1235" s="86"/>
      <c r="G1235" s="86"/>
      <c r="H1235" s="86"/>
      <c r="I1235" s="86"/>
      <c r="J1235" s="86"/>
      <c r="K1235" s="86"/>
      <c r="L1235" s="86"/>
      <c r="M1235" s="86"/>
      <c r="N1235" s="86"/>
      <c r="O1235" s="86"/>
      <c r="P1235" s="86"/>
      <c r="Q1235" s="86"/>
      <c r="R1235" s="86"/>
      <c r="S1235" s="86"/>
      <c r="T1235" s="86"/>
      <c r="U1235" s="86"/>
      <c r="V1235" s="86"/>
      <c r="W1235" s="86"/>
      <c r="X1235" s="86"/>
      <c r="Y1235" s="86"/>
      <c r="Z1235" s="86"/>
      <c r="AA1235" s="86"/>
      <c r="AB1235" s="86"/>
      <c r="AC1235" s="86"/>
      <c r="AD1235" s="86"/>
      <c r="AE1235" s="86"/>
      <c r="AF1235" s="86"/>
    </row>
    <row r="1236" spans="1:32">
      <c r="A1236" s="86"/>
      <c r="B1236" s="86"/>
      <c r="C1236" s="86"/>
      <c r="D1236" s="86"/>
      <c r="E1236" s="86"/>
      <c r="F1236" s="86"/>
      <c r="G1236" s="86"/>
      <c r="H1236" s="86"/>
      <c r="I1236" s="86"/>
      <c r="J1236" s="86"/>
      <c r="K1236" s="86"/>
      <c r="L1236" s="86"/>
      <c r="M1236" s="86"/>
      <c r="N1236" s="86"/>
      <c r="O1236" s="86"/>
      <c r="P1236" s="86"/>
      <c r="Q1236" s="86"/>
      <c r="R1236" s="86"/>
      <c r="S1236" s="86"/>
      <c r="T1236" s="86"/>
      <c r="U1236" s="86"/>
      <c r="V1236" s="86"/>
      <c r="W1236" s="86"/>
      <c r="X1236" s="86"/>
      <c r="Y1236" s="86"/>
      <c r="Z1236" s="86"/>
      <c r="AA1236" s="86"/>
      <c r="AB1236" s="86"/>
      <c r="AC1236" s="86"/>
      <c r="AD1236" s="86"/>
      <c r="AE1236" s="86"/>
      <c r="AF1236" s="86"/>
    </row>
    <row r="1237" spans="1:32">
      <c r="A1237" s="86"/>
      <c r="B1237" s="86"/>
      <c r="C1237" s="86"/>
      <c r="D1237" s="86"/>
      <c r="E1237" s="86"/>
      <c r="F1237" s="86"/>
      <c r="G1237" s="86"/>
      <c r="H1237" s="86"/>
      <c r="I1237" s="86"/>
      <c r="J1237" s="86"/>
      <c r="K1237" s="86"/>
      <c r="L1237" s="86"/>
      <c r="M1237" s="86"/>
      <c r="N1237" s="86"/>
      <c r="O1237" s="86"/>
      <c r="P1237" s="86"/>
      <c r="Q1237" s="86"/>
      <c r="R1237" s="86"/>
      <c r="S1237" s="86"/>
      <c r="T1237" s="86"/>
      <c r="U1237" s="86"/>
      <c r="V1237" s="86"/>
      <c r="W1237" s="86"/>
      <c r="X1237" s="86"/>
      <c r="Y1237" s="86"/>
      <c r="Z1237" s="86"/>
      <c r="AA1237" s="86"/>
      <c r="AB1237" s="86"/>
      <c r="AC1237" s="86"/>
      <c r="AD1237" s="86"/>
      <c r="AE1237" s="86"/>
      <c r="AF1237" s="86"/>
    </row>
    <row r="1238" spans="1:32">
      <c r="A1238" s="86"/>
      <c r="B1238" s="86"/>
      <c r="C1238" s="86"/>
      <c r="D1238" s="86"/>
      <c r="E1238" s="86"/>
      <c r="F1238" s="86"/>
      <c r="G1238" s="86"/>
      <c r="H1238" s="86"/>
      <c r="I1238" s="86"/>
      <c r="J1238" s="86"/>
      <c r="K1238" s="86"/>
      <c r="L1238" s="86"/>
      <c r="M1238" s="86"/>
      <c r="N1238" s="86"/>
      <c r="O1238" s="86"/>
      <c r="P1238" s="86"/>
      <c r="Q1238" s="86"/>
      <c r="R1238" s="86"/>
      <c r="S1238" s="86"/>
      <c r="T1238" s="86"/>
      <c r="U1238" s="86"/>
      <c r="V1238" s="86"/>
      <c r="W1238" s="86"/>
      <c r="X1238" s="86"/>
      <c r="Y1238" s="86"/>
      <c r="Z1238" s="86"/>
      <c r="AA1238" s="86"/>
      <c r="AB1238" s="86"/>
      <c r="AC1238" s="86"/>
      <c r="AD1238" s="86"/>
      <c r="AE1238" s="86"/>
      <c r="AF1238" s="86"/>
    </row>
    <row r="1239" spans="1:32">
      <c r="A1239" s="86"/>
      <c r="B1239" s="86"/>
      <c r="C1239" s="86"/>
      <c r="D1239" s="86"/>
      <c r="E1239" s="86"/>
      <c r="F1239" s="86"/>
      <c r="G1239" s="86"/>
      <c r="H1239" s="86"/>
      <c r="I1239" s="86"/>
      <c r="J1239" s="86"/>
      <c r="K1239" s="86"/>
      <c r="L1239" s="86"/>
      <c r="M1239" s="86"/>
      <c r="N1239" s="86"/>
      <c r="O1239" s="86"/>
      <c r="P1239" s="86"/>
      <c r="Q1239" s="86"/>
      <c r="R1239" s="86"/>
      <c r="S1239" s="86"/>
      <c r="T1239" s="86"/>
      <c r="U1239" s="86"/>
      <c r="V1239" s="86"/>
      <c r="W1239" s="86"/>
      <c r="X1239" s="86"/>
      <c r="Y1239" s="86"/>
      <c r="Z1239" s="86"/>
      <c r="AA1239" s="86"/>
      <c r="AB1239" s="86"/>
      <c r="AC1239" s="86"/>
      <c r="AD1239" s="86"/>
      <c r="AE1239" s="86"/>
      <c r="AF1239" s="86"/>
    </row>
    <row r="1240" spans="1:32">
      <c r="A1240" s="86"/>
      <c r="B1240" s="86"/>
      <c r="C1240" s="86"/>
      <c r="D1240" s="86"/>
      <c r="E1240" s="86"/>
      <c r="F1240" s="86"/>
      <c r="G1240" s="86"/>
      <c r="H1240" s="86"/>
      <c r="I1240" s="86"/>
      <c r="J1240" s="86"/>
      <c r="K1240" s="86"/>
      <c r="L1240" s="86"/>
      <c r="M1240" s="86"/>
      <c r="N1240" s="86"/>
      <c r="O1240" s="86"/>
      <c r="P1240" s="86"/>
      <c r="Q1240" s="86"/>
      <c r="R1240" s="86"/>
      <c r="S1240" s="86"/>
      <c r="T1240" s="86"/>
      <c r="U1240" s="86"/>
      <c r="V1240" s="86"/>
      <c r="W1240" s="86"/>
      <c r="X1240" s="86"/>
      <c r="Y1240" s="86"/>
      <c r="Z1240" s="86"/>
      <c r="AA1240" s="86"/>
      <c r="AB1240" s="86"/>
      <c r="AC1240" s="86"/>
      <c r="AD1240" s="86"/>
      <c r="AE1240" s="86"/>
      <c r="AF1240" s="86"/>
    </row>
    <row r="1241" spans="1:32">
      <c r="A1241" s="86"/>
      <c r="B1241" s="86"/>
      <c r="C1241" s="86"/>
      <c r="D1241" s="86"/>
      <c r="E1241" s="86"/>
      <c r="F1241" s="86"/>
      <c r="G1241" s="86"/>
      <c r="H1241" s="86"/>
      <c r="I1241" s="86"/>
      <c r="J1241" s="86"/>
      <c r="K1241" s="86"/>
      <c r="L1241" s="86"/>
      <c r="M1241" s="86"/>
      <c r="N1241" s="86"/>
      <c r="O1241" s="86"/>
      <c r="P1241" s="86"/>
      <c r="Q1241" s="86"/>
      <c r="R1241" s="86"/>
      <c r="S1241" s="86"/>
      <c r="T1241" s="86"/>
      <c r="U1241" s="86"/>
      <c r="V1241" s="86"/>
      <c r="W1241" s="86"/>
      <c r="X1241" s="86"/>
      <c r="Y1241" s="86"/>
      <c r="Z1241" s="86"/>
      <c r="AA1241" s="86"/>
      <c r="AB1241" s="86"/>
      <c r="AC1241" s="86"/>
      <c r="AD1241" s="86"/>
      <c r="AE1241" s="86"/>
      <c r="AF1241" s="86"/>
    </row>
    <row r="1242" spans="1:32">
      <c r="A1242" s="86"/>
      <c r="B1242" s="86"/>
      <c r="C1242" s="86"/>
      <c r="D1242" s="86"/>
      <c r="E1242" s="86"/>
      <c r="F1242" s="86"/>
      <c r="G1242" s="86"/>
      <c r="H1242" s="86"/>
      <c r="I1242" s="86"/>
      <c r="J1242" s="86"/>
      <c r="K1242" s="86"/>
      <c r="L1242" s="86"/>
      <c r="M1242" s="86"/>
      <c r="N1242" s="86"/>
      <c r="O1242" s="86"/>
      <c r="P1242" s="86"/>
      <c r="Q1242" s="86"/>
      <c r="R1242" s="86"/>
      <c r="S1242" s="86"/>
      <c r="T1242" s="86"/>
      <c r="U1242" s="86"/>
      <c r="V1242" s="86"/>
      <c r="W1242" s="86"/>
      <c r="X1242" s="86"/>
      <c r="Y1242" s="86"/>
      <c r="Z1242" s="86"/>
      <c r="AA1242" s="86"/>
      <c r="AB1242" s="86"/>
      <c r="AC1242" s="86"/>
      <c r="AD1242" s="86"/>
      <c r="AE1242" s="86"/>
      <c r="AF1242" s="86"/>
    </row>
    <row r="1243" spans="1:32">
      <c r="A1243" s="86"/>
      <c r="B1243" s="86"/>
      <c r="C1243" s="86"/>
      <c r="D1243" s="86"/>
      <c r="E1243" s="86"/>
      <c r="F1243" s="86"/>
      <c r="G1243" s="86"/>
      <c r="H1243" s="86"/>
      <c r="I1243" s="86"/>
      <c r="J1243" s="86"/>
      <c r="K1243" s="86"/>
      <c r="L1243" s="86"/>
      <c r="M1243" s="86"/>
      <c r="N1243" s="86"/>
      <c r="O1243" s="86"/>
      <c r="P1243" s="86"/>
      <c r="Q1243" s="86"/>
      <c r="R1243" s="86"/>
      <c r="S1243" s="86"/>
      <c r="T1243" s="86"/>
      <c r="U1243" s="86"/>
      <c r="V1243" s="86"/>
      <c r="W1243" s="86"/>
      <c r="X1243" s="86"/>
      <c r="Y1243" s="86"/>
      <c r="Z1243" s="86"/>
      <c r="AA1243" s="86"/>
      <c r="AB1243" s="86"/>
      <c r="AC1243" s="86"/>
      <c r="AD1243" s="86"/>
      <c r="AE1243" s="86"/>
      <c r="AF1243" s="86"/>
    </row>
    <row r="1244" spans="1:32">
      <c r="A1244" s="86"/>
      <c r="B1244" s="86"/>
      <c r="C1244" s="86"/>
      <c r="D1244" s="86"/>
      <c r="E1244" s="86"/>
      <c r="F1244" s="86"/>
      <c r="G1244" s="86"/>
      <c r="H1244" s="86"/>
      <c r="I1244" s="86"/>
      <c r="J1244" s="86"/>
      <c r="K1244" s="86"/>
      <c r="L1244" s="86"/>
      <c r="M1244" s="86"/>
      <c r="N1244" s="86"/>
      <c r="O1244" s="86"/>
      <c r="P1244" s="86"/>
      <c r="Q1244" s="86"/>
      <c r="R1244" s="86"/>
      <c r="S1244" s="86"/>
      <c r="T1244" s="86"/>
      <c r="U1244" s="86"/>
      <c r="V1244" s="86"/>
      <c r="W1244" s="86"/>
      <c r="X1244" s="86"/>
      <c r="Y1244" s="86"/>
      <c r="Z1244" s="86"/>
      <c r="AA1244" s="86"/>
      <c r="AB1244" s="86"/>
      <c r="AC1244" s="86"/>
      <c r="AD1244" s="86"/>
      <c r="AE1244" s="86"/>
      <c r="AF1244" s="86"/>
    </row>
    <row r="1245" spans="1:32">
      <c r="A1245" s="86"/>
      <c r="B1245" s="86"/>
      <c r="C1245" s="86"/>
      <c r="D1245" s="86"/>
      <c r="E1245" s="86"/>
      <c r="F1245" s="86"/>
      <c r="G1245" s="86"/>
      <c r="H1245" s="86"/>
      <c r="I1245" s="86"/>
      <c r="J1245" s="86"/>
      <c r="K1245" s="86"/>
      <c r="L1245" s="86"/>
      <c r="M1245" s="86"/>
      <c r="N1245" s="86"/>
      <c r="O1245" s="86"/>
      <c r="P1245" s="86"/>
      <c r="Q1245" s="86"/>
      <c r="R1245" s="86"/>
      <c r="S1245" s="86"/>
      <c r="T1245" s="86"/>
      <c r="U1245" s="86"/>
      <c r="V1245" s="86"/>
      <c r="W1245" s="86"/>
      <c r="X1245" s="86"/>
      <c r="Y1245" s="86"/>
      <c r="Z1245" s="86"/>
      <c r="AA1245" s="86"/>
      <c r="AB1245" s="86"/>
      <c r="AC1245" s="86"/>
      <c r="AD1245" s="86"/>
      <c r="AE1245" s="86"/>
      <c r="AF1245" s="86"/>
    </row>
    <row r="1246" spans="1:32">
      <c r="A1246" s="86"/>
      <c r="B1246" s="86"/>
      <c r="C1246" s="86"/>
      <c r="D1246" s="86"/>
      <c r="E1246" s="86"/>
      <c r="F1246" s="86"/>
      <c r="G1246" s="86"/>
      <c r="H1246" s="86"/>
      <c r="I1246" s="86"/>
      <c r="J1246" s="86"/>
      <c r="K1246" s="86"/>
      <c r="L1246" s="86"/>
      <c r="M1246" s="86"/>
      <c r="N1246" s="86"/>
      <c r="O1246" s="86"/>
      <c r="P1246" s="86"/>
      <c r="Q1246" s="86"/>
      <c r="R1246" s="86"/>
      <c r="S1246" s="86"/>
      <c r="T1246" s="86"/>
      <c r="U1246" s="86"/>
      <c r="V1246" s="86"/>
      <c r="W1246" s="86"/>
      <c r="X1246" s="86"/>
      <c r="Y1246" s="86"/>
      <c r="Z1246" s="86"/>
      <c r="AA1246" s="86"/>
      <c r="AB1246" s="86"/>
      <c r="AC1246" s="86"/>
      <c r="AD1246" s="86"/>
      <c r="AE1246" s="86"/>
      <c r="AF1246" s="86"/>
    </row>
    <row r="1247" spans="1:32">
      <c r="A1247" s="86"/>
      <c r="B1247" s="86"/>
      <c r="C1247" s="86"/>
      <c r="D1247" s="86"/>
      <c r="E1247" s="86"/>
      <c r="F1247" s="86"/>
      <c r="G1247" s="86"/>
      <c r="H1247" s="86"/>
      <c r="I1247" s="86"/>
      <c r="J1247" s="86"/>
      <c r="K1247" s="86"/>
      <c r="L1247" s="86"/>
      <c r="M1247" s="86"/>
      <c r="N1247" s="86"/>
      <c r="O1247" s="86"/>
      <c r="P1247" s="86"/>
      <c r="Q1247" s="86"/>
      <c r="R1247" s="86"/>
      <c r="S1247" s="86"/>
      <c r="T1247" s="86"/>
      <c r="U1247" s="86"/>
      <c r="V1247" s="86"/>
      <c r="W1247" s="86"/>
      <c r="X1247" s="86"/>
      <c r="Y1247" s="86"/>
      <c r="Z1247" s="86"/>
      <c r="AA1247" s="86"/>
      <c r="AB1247" s="86"/>
      <c r="AC1247" s="86"/>
      <c r="AD1247" s="86"/>
      <c r="AE1247" s="86"/>
      <c r="AF1247" s="86"/>
    </row>
    <row r="1248" spans="1:32">
      <c r="A1248" s="86"/>
      <c r="B1248" s="86"/>
      <c r="C1248" s="86"/>
      <c r="D1248" s="86"/>
      <c r="E1248" s="86"/>
      <c r="F1248" s="86"/>
      <c r="G1248" s="86"/>
      <c r="H1248" s="86"/>
      <c r="I1248" s="86"/>
      <c r="J1248" s="86"/>
      <c r="K1248" s="86"/>
      <c r="L1248" s="86"/>
      <c r="M1248" s="86"/>
      <c r="N1248" s="86"/>
      <c r="O1248" s="86"/>
      <c r="P1248" s="86"/>
      <c r="Q1248" s="86"/>
      <c r="R1248" s="86"/>
      <c r="S1248" s="86"/>
      <c r="T1248" s="86"/>
      <c r="U1248" s="86"/>
      <c r="V1248" s="86"/>
      <c r="W1248" s="86"/>
      <c r="X1248" s="86"/>
      <c r="Y1248" s="86"/>
      <c r="Z1248" s="86"/>
      <c r="AA1248" s="86"/>
      <c r="AB1248" s="86"/>
      <c r="AC1248" s="86"/>
      <c r="AD1248" s="86"/>
      <c r="AE1248" s="86"/>
      <c r="AF1248" s="86"/>
    </row>
    <row r="1249" spans="1:32">
      <c r="A1249" s="86"/>
      <c r="B1249" s="86"/>
      <c r="C1249" s="86"/>
      <c r="D1249" s="86"/>
      <c r="E1249" s="86"/>
      <c r="F1249" s="86"/>
      <c r="G1249" s="86"/>
      <c r="H1249" s="86"/>
      <c r="I1249" s="86"/>
      <c r="J1249" s="86"/>
      <c r="K1249" s="86"/>
      <c r="L1249" s="86"/>
      <c r="M1249" s="86"/>
      <c r="N1249" s="86"/>
      <c r="O1249" s="86"/>
      <c r="P1249" s="86"/>
      <c r="Q1249" s="86"/>
      <c r="R1249" s="86"/>
      <c r="S1249" s="86"/>
      <c r="T1249" s="86"/>
      <c r="U1249" s="86"/>
      <c r="V1249" s="86"/>
      <c r="W1249" s="86"/>
      <c r="X1249" s="86"/>
      <c r="Y1249" s="86"/>
      <c r="Z1249" s="86"/>
      <c r="AA1249" s="86"/>
      <c r="AB1249" s="86"/>
      <c r="AC1249" s="86"/>
      <c r="AD1249" s="86"/>
      <c r="AE1249" s="86"/>
      <c r="AF1249" s="86"/>
    </row>
    <row r="1250" spans="1:32">
      <c r="A1250" s="86"/>
      <c r="B1250" s="86"/>
      <c r="C1250" s="86"/>
      <c r="D1250" s="86"/>
      <c r="E1250" s="86"/>
      <c r="F1250" s="86"/>
      <c r="G1250" s="86"/>
      <c r="H1250" s="86"/>
      <c r="I1250" s="86"/>
      <c r="J1250" s="86"/>
      <c r="K1250" s="86"/>
      <c r="L1250" s="86"/>
      <c r="M1250" s="86"/>
      <c r="N1250" s="86"/>
      <c r="O1250" s="86"/>
      <c r="P1250" s="86"/>
      <c r="Q1250" s="86"/>
      <c r="R1250" s="86"/>
      <c r="S1250" s="86"/>
      <c r="T1250" s="86"/>
      <c r="U1250" s="86"/>
      <c r="V1250" s="86"/>
      <c r="W1250" s="86"/>
      <c r="X1250" s="86"/>
      <c r="Y1250" s="86"/>
      <c r="Z1250" s="86"/>
      <c r="AA1250" s="86"/>
      <c r="AB1250" s="86"/>
      <c r="AC1250" s="86"/>
      <c r="AD1250" s="86"/>
      <c r="AE1250" s="86"/>
      <c r="AF1250" s="86"/>
    </row>
    <row r="1251" spans="1:32">
      <c r="A1251" s="86"/>
      <c r="B1251" s="86"/>
      <c r="C1251" s="86"/>
      <c r="D1251" s="86"/>
      <c r="E1251" s="86"/>
      <c r="F1251" s="86"/>
      <c r="G1251" s="86"/>
      <c r="H1251" s="86"/>
      <c r="I1251" s="86"/>
      <c r="J1251" s="86"/>
      <c r="K1251" s="86"/>
      <c r="L1251" s="86"/>
      <c r="M1251" s="86"/>
      <c r="N1251" s="86"/>
      <c r="O1251" s="86"/>
      <c r="P1251" s="86"/>
      <c r="Q1251" s="86"/>
      <c r="R1251" s="86"/>
      <c r="S1251" s="86"/>
      <c r="T1251" s="86"/>
      <c r="U1251" s="86"/>
      <c r="V1251" s="86"/>
      <c r="W1251" s="86"/>
      <c r="X1251" s="86"/>
      <c r="Y1251" s="86"/>
      <c r="Z1251" s="86"/>
      <c r="AA1251" s="86"/>
      <c r="AB1251" s="86"/>
      <c r="AC1251" s="86"/>
      <c r="AD1251" s="86"/>
      <c r="AE1251" s="86"/>
      <c r="AF1251" s="86"/>
    </row>
    <row r="1252" spans="1:32">
      <c r="A1252" s="86"/>
      <c r="B1252" s="86"/>
      <c r="C1252" s="86"/>
      <c r="D1252" s="86"/>
      <c r="E1252" s="86"/>
      <c r="F1252" s="86"/>
      <c r="G1252" s="86"/>
      <c r="H1252" s="86"/>
      <c r="I1252" s="86"/>
      <c r="J1252" s="86"/>
      <c r="K1252" s="86"/>
      <c r="L1252" s="86"/>
      <c r="M1252" s="86"/>
      <c r="N1252" s="86"/>
      <c r="O1252" s="86"/>
      <c r="P1252" s="86"/>
      <c r="Q1252" s="86"/>
      <c r="R1252" s="86"/>
      <c r="S1252" s="86"/>
      <c r="T1252" s="86"/>
      <c r="U1252" s="86"/>
      <c r="V1252" s="86"/>
      <c r="W1252" s="86"/>
      <c r="X1252" s="86"/>
      <c r="Y1252" s="86"/>
      <c r="Z1252" s="86"/>
      <c r="AA1252" s="86"/>
      <c r="AB1252" s="86"/>
      <c r="AC1252" s="86"/>
      <c r="AD1252" s="86"/>
      <c r="AE1252" s="86"/>
      <c r="AF1252" s="86"/>
    </row>
    <row r="1253" spans="1:32">
      <c r="A1253" s="86"/>
      <c r="B1253" s="86"/>
      <c r="C1253" s="86"/>
      <c r="D1253" s="86"/>
      <c r="E1253" s="86"/>
      <c r="F1253" s="86"/>
      <c r="G1253" s="86"/>
      <c r="H1253" s="86"/>
      <c r="I1253" s="86"/>
      <c r="J1253" s="86"/>
      <c r="K1253" s="86"/>
      <c r="L1253" s="86"/>
      <c r="M1253" s="86"/>
      <c r="N1253" s="86"/>
      <c r="O1253" s="86"/>
      <c r="P1253" s="86"/>
      <c r="Q1253" s="86"/>
      <c r="R1253" s="86"/>
      <c r="S1253" s="86"/>
      <c r="T1253" s="86"/>
      <c r="U1253" s="86"/>
      <c r="V1253" s="86"/>
      <c r="W1253" s="86"/>
      <c r="X1253" s="86"/>
      <c r="Y1253" s="86"/>
      <c r="Z1253" s="86"/>
      <c r="AA1253" s="86"/>
      <c r="AB1253" s="86"/>
      <c r="AC1253" s="86"/>
      <c r="AD1253" s="86"/>
      <c r="AE1253" s="86"/>
      <c r="AF1253" s="86"/>
    </row>
    <row r="1254" spans="1:32">
      <c r="A1254" s="86"/>
      <c r="B1254" s="86"/>
      <c r="C1254" s="86"/>
      <c r="D1254" s="86"/>
      <c r="E1254" s="86"/>
      <c r="F1254" s="86"/>
      <c r="G1254" s="86"/>
      <c r="H1254" s="86"/>
      <c r="I1254" s="86"/>
      <c r="J1254" s="86"/>
      <c r="K1254" s="86"/>
      <c r="L1254" s="86"/>
      <c r="M1254" s="86"/>
      <c r="N1254" s="86"/>
      <c r="O1254" s="86"/>
      <c r="P1254" s="86"/>
      <c r="Q1254" s="86"/>
      <c r="R1254" s="86"/>
      <c r="S1254" s="86"/>
      <c r="T1254" s="86"/>
      <c r="U1254" s="86"/>
      <c r="V1254" s="86"/>
      <c r="W1254" s="86"/>
      <c r="X1254" s="86"/>
      <c r="Y1254" s="86"/>
      <c r="Z1254" s="86"/>
      <c r="AA1254" s="86"/>
      <c r="AB1254" s="86"/>
      <c r="AC1254" s="86"/>
      <c r="AD1254" s="86"/>
      <c r="AE1254" s="86"/>
      <c r="AF1254" s="86"/>
    </row>
    <row r="1255" spans="1:32">
      <c r="A1255" s="86"/>
      <c r="B1255" s="86"/>
      <c r="C1255" s="86"/>
      <c r="D1255" s="86"/>
      <c r="E1255" s="86"/>
      <c r="F1255" s="86"/>
      <c r="G1255" s="86"/>
      <c r="H1255" s="86"/>
      <c r="I1255" s="86"/>
      <c r="J1255" s="86"/>
      <c r="K1255" s="86"/>
      <c r="L1255" s="86"/>
      <c r="M1255" s="86"/>
      <c r="N1255" s="86"/>
      <c r="O1255" s="86"/>
      <c r="P1255" s="86"/>
      <c r="Q1255" s="86"/>
      <c r="R1255" s="86"/>
      <c r="S1255" s="86"/>
      <c r="T1255" s="86"/>
      <c r="U1255" s="86"/>
      <c r="V1255" s="86"/>
      <c r="W1255" s="86"/>
      <c r="X1255" s="86"/>
      <c r="Y1255" s="86"/>
      <c r="Z1255" s="86"/>
      <c r="AA1255" s="86"/>
      <c r="AB1255" s="86"/>
      <c r="AC1255" s="86"/>
      <c r="AD1255" s="86"/>
      <c r="AE1255" s="86"/>
      <c r="AF1255" s="86"/>
    </row>
    <row r="1256" spans="1:32">
      <c r="A1256" s="86"/>
      <c r="B1256" s="86"/>
      <c r="C1256" s="86"/>
      <c r="D1256" s="86"/>
      <c r="E1256" s="86"/>
      <c r="F1256" s="86"/>
      <c r="G1256" s="86"/>
      <c r="H1256" s="86"/>
      <c r="I1256" s="86"/>
      <c r="J1256" s="86"/>
      <c r="K1256" s="86"/>
      <c r="L1256" s="86"/>
      <c r="M1256" s="86"/>
      <c r="N1256" s="86"/>
      <c r="O1256" s="86"/>
      <c r="P1256" s="86"/>
      <c r="Q1256" s="86"/>
      <c r="R1256" s="86"/>
      <c r="S1256" s="86"/>
      <c r="T1256" s="86"/>
      <c r="U1256" s="86"/>
      <c r="V1256" s="86"/>
      <c r="W1256" s="86"/>
      <c r="X1256" s="86"/>
      <c r="Y1256" s="86"/>
      <c r="Z1256" s="86"/>
      <c r="AA1256" s="86"/>
      <c r="AB1256" s="86"/>
      <c r="AC1256" s="86"/>
      <c r="AD1256" s="86"/>
      <c r="AE1256" s="86"/>
      <c r="AF1256" s="86"/>
    </row>
    <row r="1257" spans="1:32">
      <c r="A1257" s="86"/>
      <c r="B1257" s="86"/>
      <c r="C1257" s="86"/>
      <c r="D1257" s="86"/>
      <c r="E1257" s="86"/>
      <c r="F1257" s="86"/>
      <c r="G1257" s="86"/>
      <c r="H1257" s="86"/>
      <c r="I1257" s="86"/>
      <c r="J1257" s="86"/>
      <c r="K1257" s="86"/>
      <c r="L1257" s="86"/>
      <c r="M1257" s="86"/>
      <c r="N1257" s="86"/>
      <c r="O1257" s="86"/>
      <c r="P1257" s="86"/>
      <c r="Q1257" s="86"/>
      <c r="R1257" s="86"/>
      <c r="S1257" s="86"/>
      <c r="T1257" s="86"/>
      <c r="U1257" s="86"/>
      <c r="V1257" s="86"/>
      <c r="W1257" s="86"/>
      <c r="X1257" s="86"/>
      <c r="Y1257" s="86"/>
      <c r="Z1257" s="86"/>
      <c r="AA1257" s="86"/>
      <c r="AB1257" s="86"/>
      <c r="AC1257" s="86"/>
      <c r="AD1257" s="86"/>
      <c r="AE1257" s="86"/>
      <c r="AF1257" s="86"/>
    </row>
    <row r="1258" spans="1:32">
      <c r="A1258" s="86"/>
      <c r="B1258" s="86"/>
      <c r="C1258" s="86"/>
      <c r="D1258" s="86"/>
      <c r="E1258" s="86"/>
      <c r="F1258" s="86"/>
      <c r="G1258" s="86"/>
      <c r="H1258" s="86"/>
      <c r="I1258" s="86"/>
      <c r="J1258" s="86"/>
      <c r="K1258" s="86"/>
      <c r="L1258" s="86"/>
      <c r="M1258" s="86"/>
      <c r="N1258" s="86"/>
      <c r="O1258" s="86"/>
      <c r="P1258" s="86"/>
      <c r="Q1258" s="86"/>
      <c r="R1258" s="86"/>
      <c r="S1258" s="86"/>
      <c r="T1258" s="86"/>
      <c r="U1258" s="86"/>
      <c r="V1258" s="86"/>
      <c r="W1258" s="86"/>
      <c r="X1258" s="86"/>
      <c r="Y1258" s="86"/>
      <c r="Z1258" s="86"/>
      <c r="AA1258" s="86"/>
      <c r="AB1258" s="86"/>
      <c r="AC1258" s="86"/>
      <c r="AD1258" s="86"/>
      <c r="AE1258" s="86"/>
      <c r="AF1258" s="86"/>
    </row>
    <row r="1259" spans="1:32">
      <c r="A1259" s="86"/>
      <c r="B1259" s="86"/>
      <c r="C1259" s="86"/>
      <c r="D1259" s="86"/>
      <c r="E1259" s="86"/>
      <c r="F1259" s="86"/>
      <c r="G1259" s="86"/>
      <c r="H1259" s="86"/>
      <c r="I1259" s="86"/>
      <c r="J1259" s="86"/>
      <c r="K1259" s="86"/>
      <c r="L1259" s="86"/>
      <c r="M1259" s="86"/>
      <c r="N1259" s="86"/>
      <c r="O1259" s="86"/>
      <c r="P1259" s="86"/>
      <c r="Q1259" s="86"/>
      <c r="R1259" s="86"/>
      <c r="S1259" s="86"/>
      <c r="T1259" s="86"/>
      <c r="U1259" s="86"/>
      <c r="V1259" s="86"/>
      <c r="W1259" s="86"/>
      <c r="X1259" s="86"/>
      <c r="Y1259" s="86"/>
      <c r="Z1259" s="86"/>
      <c r="AA1259" s="86"/>
      <c r="AB1259" s="86"/>
      <c r="AC1259" s="86"/>
      <c r="AD1259" s="86"/>
      <c r="AE1259" s="86"/>
      <c r="AF1259" s="86"/>
    </row>
    <row r="1260" spans="1:32">
      <c r="A1260" s="86"/>
      <c r="B1260" s="86"/>
      <c r="C1260" s="86"/>
      <c r="D1260" s="86"/>
      <c r="E1260" s="86"/>
      <c r="F1260" s="86"/>
      <c r="G1260" s="86"/>
      <c r="H1260" s="86"/>
      <c r="I1260" s="86"/>
      <c r="J1260" s="86"/>
      <c r="K1260" s="86"/>
      <c r="L1260" s="86"/>
      <c r="M1260" s="86"/>
      <c r="N1260" s="86"/>
      <c r="O1260" s="86"/>
      <c r="P1260" s="86"/>
      <c r="Q1260" s="86"/>
      <c r="R1260" s="86"/>
      <c r="S1260" s="86"/>
      <c r="T1260" s="86"/>
      <c r="U1260" s="86"/>
      <c r="V1260" s="86"/>
      <c r="W1260" s="86"/>
      <c r="X1260" s="86"/>
      <c r="Y1260" s="86"/>
      <c r="Z1260" s="86"/>
      <c r="AA1260" s="86"/>
      <c r="AB1260" s="86"/>
      <c r="AC1260" s="86"/>
      <c r="AD1260" s="86"/>
      <c r="AE1260" s="86"/>
      <c r="AF1260" s="86"/>
    </row>
    <row r="1261" spans="1:32">
      <c r="A1261" s="86"/>
      <c r="B1261" s="86"/>
      <c r="C1261" s="86"/>
      <c r="D1261" s="86"/>
      <c r="E1261" s="86"/>
      <c r="F1261" s="86"/>
      <c r="G1261" s="86"/>
      <c r="H1261" s="86"/>
      <c r="I1261" s="86"/>
      <c r="J1261" s="86"/>
      <c r="K1261" s="86"/>
      <c r="L1261" s="86"/>
      <c r="M1261" s="86"/>
      <c r="N1261" s="86"/>
      <c r="O1261" s="86"/>
      <c r="P1261" s="86"/>
      <c r="Q1261" s="86"/>
      <c r="R1261" s="86"/>
      <c r="S1261" s="86"/>
      <c r="T1261" s="86"/>
      <c r="U1261" s="86"/>
      <c r="V1261" s="86"/>
      <c r="W1261" s="86"/>
      <c r="X1261" s="86"/>
      <c r="Y1261" s="86"/>
      <c r="Z1261" s="86"/>
      <c r="AA1261" s="86"/>
      <c r="AB1261" s="86"/>
      <c r="AC1261" s="86"/>
      <c r="AD1261" s="86"/>
      <c r="AE1261" s="86"/>
      <c r="AF1261" s="86"/>
    </row>
    <row r="1262" spans="1:32">
      <c r="A1262" s="86"/>
      <c r="B1262" s="86"/>
      <c r="C1262" s="86"/>
      <c r="D1262" s="86"/>
      <c r="E1262" s="86"/>
      <c r="F1262" s="86"/>
      <c r="G1262" s="86"/>
      <c r="H1262" s="86"/>
      <c r="I1262" s="86"/>
      <c r="J1262" s="86"/>
      <c r="K1262" s="86"/>
      <c r="L1262" s="86"/>
      <c r="M1262" s="86"/>
      <c r="N1262" s="86"/>
      <c r="O1262" s="86"/>
      <c r="P1262" s="86"/>
      <c r="Q1262" s="86"/>
      <c r="R1262" s="86"/>
      <c r="S1262" s="86"/>
      <c r="T1262" s="86"/>
      <c r="U1262" s="86"/>
      <c r="V1262" s="86"/>
      <c r="W1262" s="86"/>
      <c r="X1262" s="86"/>
      <c r="Y1262" s="86"/>
      <c r="Z1262" s="86"/>
      <c r="AA1262" s="86"/>
      <c r="AB1262" s="86"/>
      <c r="AC1262" s="86"/>
      <c r="AD1262" s="86"/>
      <c r="AE1262" s="86"/>
      <c r="AF1262" s="86"/>
    </row>
    <row r="1263" spans="1:32">
      <c r="A1263" s="86"/>
      <c r="B1263" s="86"/>
      <c r="C1263" s="86"/>
      <c r="D1263" s="86"/>
      <c r="E1263" s="86"/>
      <c r="F1263" s="86"/>
      <c r="G1263" s="86"/>
      <c r="H1263" s="86"/>
      <c r="I1263" s="86"/>
      <c r="J1263" s="86"/>
      <c r="K1263" s="86"/>
      <c r="L1263" s="86"/>
      <c r="M1263" s="86"/>
      <c r="N1263" s="86"/>
      <c r="O1263" s="86"/>
      <c r="P1263" s="86"/>
      <c r="Q1263" s="86"/>
      <c r="R1263" s="86"/>
      <c r="S1263" s="86"/>
      <c r="T1263" s="86"/>
      <c r="U1263" s="86"/>
      <c r="V1263" s="86"/>
      <c r="W1263" s="86"/>
      <c r="X1263" s="86"/>
      <c r="Y1263" s="86"/>
      <c r="Z1263" s="86"/>
      <c r="AA1263" s="86"/>
      <c r="AB1263" s="86"/>
      <c r="AC1263" s="86"/>
      <c r="AD1263" s="86"/>
      <c r="AE1263" s="86"/>
      <c r="AF1263" s="86"/>
    </row>
    <row r="1264" spans="1:32">
      <c r="A1264" s="86"/>
      <c r="B1264" s="86"/>
      <c r="C1264" s="86"/>
      <c r="D1264" s="86"/>
      <c r="E1264" s="86"/>
      <c r="F1264" s="86"/>
      <c r="G1264" s="86"/>
      <c r="H1264" s="86"/>
      <c r="I1264" s="86"/>
      <c r="J1264" s="86"/>
      <c r="K1264" s="86"/>
      <c r="L1264" s="86"/>
      <c r="M1264" s="86"/>
      <c r="N1264" s="86"/>
      <c r="O1264" s="86"/>
      <c r="P1264" s="86"/>
      <c r="Q1264" s="86"/>
      <c r="R1264" s="86"/>
      <c r="S1264" s="86"/>
      <c r="T1264" s="86"/>
      <c r="U1264" s="86"/>
      <c r="V1264" s="86"/>
      <c r="W1264" s="86"/>
      <c r="X1264" s="86"/>
      <c r="Y1264" s="86"/>
      <c r="Z1264" s="86"/>
      <c r="AA1264" s="86"/>
      <c r="AB1264" s="86"/>
      <c r="AC1264" s="86"/>
      <c r="AD1264" s="86"/>
      <c r="AE1264" s="86"/>
      <c r="AF1264" s="86"/>
    </row>
    <row r="1265" spans="1:32">
      <c r="A1265" s="86"/>
      <c r="B1265" s="86"/>
      <c r="C1265" s="86"/>
      <c r="D1265" s="86"/>
      <c r="E1265" s="86"/>
      <c r="F1265" s="86"/>
      <c r="G1265" s="86"/>
      <c r="H1265" s="86"/>
      <c r="I1265" s="86"/>
      <c r="J1265" s="86"/>
      <c r="K1265" s="86"/>
      <c r="L1265" s="86"/>
      <c r="M1265" s="86"/>
      <c r="N1265" s="86"/>
      <c r="O1265" s="86"/>
      <c r="P1265" s="86"/>
      <c r="Q1265" s="86"/>
      <c r="R1265" s="86"/>
      <c r="S1265" s="86"/>
      <c r="T1265" s="86"/>
      <c r="U1265" s="86"/>
      <c r="V1265" s="86"/>
      <c r="W1265" s="86"/>
      <c r="X1265" s="86"/>
      <c r="Y1265" s="86"/>
      <c r="Z1265" s="86"/>
      <c r="AA1265" s="86"/>
      <c r="AB1265" s="86"/>
      <c r="AC1265" s="86"/>
      <c r="AD1265" s="86"/>
      <c r="AE1265" s="86"/>
      <c r="AF1265" s="86"/>
    </row>
    <row r="1266" spans="1:32">
      <c r="A1266" s="86"/>
      <c r="B1266" s="86"/>
      <c r="C1266" s="86"/>
      <c r="D1266" s="86"/>
      <c r="E1266" s="86"/>
      <c r="F1266" s="86"/>
      <c r="G1266" s="86"/>
      <c r="H1266" s="86"/>
      <c r="I1266" s="86"/>
      <c r="J1266" s="86"/>
      <c r="K1266" s="86"/>
      <c r="L1266" s="86"/>
      <c r="M1266" s="86"/>
      <c r="N1266" s="86"/>
      <c r="O1266" s="86"/>
      <c r="P1266" s="86"/>
      <c r="Q1266" s="86"/>
      <c r="R1266" s="86"/>
      <c r="S1266" s="86"/>
      <c r="T1266" s="86"/>
      <c r="U1266" s="86"/>
      <c r="V1266" s="86"/>
      <c r="W1266" s="86"/>
      <c r="X1266" s="86"/>
      <c r="Y1266" s="86"/>
      <c r="Z1266" s="86"/>
      <c r="AA1266" s="86"/>
      <c r="AB1266" s="86"/>
      <c r="AC1266" s="86"/>
      <c r="AD1266" s="86"/>
      <c r="AE1266" s="86"/>
      <c r="AF1266" s="86"/>
    </row>
    <row r="1267" spans="1:32">
      <c r="A1267" s="86"/>
      <c r="B1267" s="86"/>
      <c r="C1267" s="86"/>
      <c r="D1267" s="86"/>
      <c r="E1267" s="86"/>
      <c r="F1267" s="86"/>
      <c r="G1267" s="86"/>
      <c r="H1267" s="86"/>
      <c r="I1267" s="86"/>
      <c r="J1267" s="86"/>
      <c r="K1267" s="86"/>
      <c r="L1267" s="86"/>
      <c r="M1267" s="86"/>
      <c r="N1267" s="86"/>
      <c r="O1267" s="86"/>
      <c r="P1267" s="86"/>
      <c r="Q1267" s="86"/>
      <c r="R1267" s="86"/>
      <c r="S1267" s="86"/>
      <c r="T1267" s="86"/>
      <c r="U1267" s="86"/>
      <c r="V1267" s="86"/>
      <c r="W1267" s="86"/>
      <c r="X1267" s="86"/>
      <c r="Y1267" s="86"/>
      <c r="Z1267" s="86"/>
      <c r="AA1267" s="86"/>
      <c r="AB1267" s="86"/>
      <c r="AC1267" s="86"/>
      <c r="AD1267" s="86"/>
      <c r="AE1267" s="86"/>
      <c r="AF1267" s="86"/>
    </row>
    <row r="1268" spans="1:32">
      <c r="A1268" s="86"/>
      <c r="B1268" s="86"/>
      <c r="C1268" s="86"/>
      <c r="D1268" s="86"/>
      <c r="E1268" s="86"/>
      <c r="F1268" s="86"/>
      <c r="G1268" s="86"/>
      <c r="H1268" s="86"/>
      <c r="I1268" s="86"/>
      <c r="J1268" s="86"/>
      <c r="K1268" s="86"/>
      <c r="L1268" s="86"/>
      <c r="M1268" s="86"/>
      <c r="N1268" s="86"/>
      <c r="O1268" s="86"/>
      <c r="P1268" s="86"/>
      <c r="Q1268" s="86"/>
      <c r="R1268" s="86"/>
      <c r="S1268" s="86"/>
      <c r="T1268" s="86"/>
      <c r="U1268" s="86"/>
      <c r="V1268" s="86"/>
      <c r="W1268" s="86"/>
      <c r="X1268" s="86"/>
      <c r="Y1268" s="86"/>
      <c r="Z1268" s="86"/>
      <c r="AA1268" s="86"/>
      <c r="AB1268" s="86"/>
      <c r="AC1268" s="86"/>
      <c r="AD1268" s="86"/>
      <c r="AE1268" s="86"/>
      <c r="AF1268" s="86"/>
    </row>
    <row r="1269" spans="1:32">
      <c r="A1269" s="86"/>
      <c r="B1269" s="86"/>
      <c r="C1269" s="86"/>
      <c r="D1269" s="86"/>
      <c r="E1269" s="86"/>
      <c r="F1269" s="86"/>
      <c r="G1269" s="86"/>
      <c r="H1269" s="86"/>
      <c r="I1269" s="86"/>
      <c r="J1269" s="86"/>
      <c r="K1269" s="86"/>
      <c r="L1269" s="86"/>
      <c r="M1269" s="86"/>
      <c r="N1269" s="86"/>
      <c r="O1269" s="86"/>
      <c r="P1269" s="86"/>
      <c r="Q1269" s="86"/>
      <c r="R1269" s="86"/>
      <c r="S1269" s="86"/>
      <c r="T1269" s="86"/>
      <c r="U1269" s="86"/>
      <c r="V1269" s="86"/>
      <c r="W1269" s="86"/>
      <c r="X1269" s="86"/>
      <c r="Y1269" s="86"/>
      <c r="Z1269" s="86"/>
      <c r="AA1269" s="86"/>
      <c r="AB1269" s="86"/>
      <c r="AC1269" s="86"/>
      <c r="AD1269" s="86"/>
      <c r="AE1269" s="86"/>
      <c r="AF1269" s="86"/>
    </row>
    <row r="1270" spans="1:32">
      <c r="A1270" s="86"/>
      <c r="B1270" s="86"/>
      <c r="C1270" s="86"/>
      <c r="D1270" s="86"/>
      <c r="E1270" s="86"/>
      <c r="F1270" s="86"/>
      <c r="G1270" s="86"/>
      <c r="H1270" s="86"/>
      <c r="I1270" s="86"/>
      <c r="J1270" s="86"/>
      <c r="K1270" s="86"/>
      <c r="L1270" s="86"/>
      <c r="M1270" s="86"/>
      <c r="N1270" s="86"/>
      <c r="O1270" s="86"/>
      <c r="P1270" s="86"/>
      <c r="Q1270" s="86"/>
      <c r="R1270" s="86"/>
      <c r="S1270" s="86"/>
      <c r="T1270" s="86"/>
      <c r="U1270" s="86"/>
      <c r="V1270" s="86"/>
      <c r="W1270" s="86"/>
      <c r="X1270" s="86"/>
      <c r="Y1270" s="86"/>
      <c r="Z1270" s="86"/>
      <c r="AA1270" s="86"/>
      <c r="AB1270" s="86"/>
      <c r="AC1270" s="86"/>
      <c r="AD1270" s="86"/>
      <c r="AE1270" s="86"/>
      <c r="AF1270" s="86"/>
    </row>
    <row r="1271" spans="1:32">
      <c r="A1271" s="86"/>
      <c r="B1271" s="86"/>
      <c r="C1271" s="86"/>
      <c r="D1271" s="86"/>
      <c r="E1271" s="86"/>
      <c r="F1271" s="86"/>
      <c r="G1271" s="86"/>
      <c r="H1271" s="86"/>
      <c r="I1271" s="86"/>
      <c r="J1271" s="86"/>
      <c r="K1271" s="86"/>
      <c r="L1271" s="86"/>
      <c r="M1271" s="86"/>
      <c r="N1271" s="86"/>
      <c r="O1271" s="86"/>
      <c r="P1271" s="86"/>
      <c r="Q1271" s="86"/>
      <c r="R1271" s="86"/>
      <c r="S1271" s="86"/>
      <c r="T1271" s="86"/>
      <c r="U1271" s="86"/>
      <c r="V1271" s="86"/>
      <c r="W1271" s="86"/>
      <c r="X1271" s="86"/>
      <c r="Y1271" s="86"/>
      <c r="Z1271" s="86"/>
      <c r="AA1271" s="86"/>
      <c r="AB1271" s="86"/>
      <c r="AC1271" s="86"/>
      <c r="AD1271" s="86"/>
      <c r="AE1271" s="86"/>
      <c r="AF1271" s="86"/>
    </row>
    <row r="1272" spans="1:32">
      <c r="A1272" s="86"/>
      <c r="B1272" s="86"/>
      <c r="C1272" s="86"/>
      <c r="D1272" s="86"/>
      <c r="E1272" s="86"/>
      <c r="F1272" s="86"/>
      <c r="G1272" s="86"/>
      <c r="H1272" s="86"/>
      <c r="I1272" s="86"/>
      <c r="J1272" s="86"/>
      <c r="K1272" s="86"/>
      <c r="L1272" s="86"/>
      <c r="M1272" s="86"/>
      <c r="N1272" s="86"/>
      <c r="O1272" s="86"/>
      <c r="P1272" s="86"/>
      <c r="Q1272" s="86"/>
      <c r="R1272" s="86"/>
      <c r="S1272" s="86"/>
      <c r="T1272" s="86"/>
      <c r="U1272" s="86"/>
      <c r="V1272" s="86"/>
      <c r="W1272" s="86"/>
      <c r="X1272" s="86"/>
      <c r="Y1272" s="86"/>
      <c r="Z1272" s="86"/>
      <c r="AA1272" s="86"/>
      <c r="AB1272" s="86"/>
      <c r="AC1272" s="86"/>
      <c r="AD1272" s="86"/>
      <c r="AE1272" s="86"/>
      <c r="AF1272" s="86"/>
    </row>
    <row r="1273" spans="1:32">
      <c r="A1273" s="86"/>
      <c r="B1273" s="86"/>
      <c r="C1273" s="86"/>
      <c r="D1273" s="86"/>
      <c r="E1273" s="86"/>
      <c r="F1273" s="86"/>
      <c r="G1273" s="86"/>
      <c r="H1273" s="86"/>
      <c r="I1273" s="86"/>
      <c r="J1273" s="86"/>
      <c r="K1273" s="86"/>
      <c r="L1273" s="86"/>
      <c r="M1273" s="86"/>
      <c r="N1273" s="86"/>
      <c r="O1273" s="86"/>
      <c r="P1273" s="86"/>
      <c r="Q1273" s="86"/>
      <c r="R1273" s="86"/>
      <c r="S1273" s="86"/>
      <c r="T1273" s="86"/>
      <c r="U1273" s="86"/>
      <c r="V1273" s="86"/>
      <c r="W1273" s="86"/>
      <c r="X1273" s="86"/>
      <c r="Y1273" s="86"/>
      <c r="Z1273" s="86"/>
      <c r="AA1273" s="86"/>
      <c r="AB1273" s="86"/>
      <c r="AC1273" s="86"/>
      <c r="AD1273" s="86"/>
      <c r="AE1273" s="86"/>
      <c r="AF1273" s="86"/>
    </row>
    <row r="1274" spans="1:32">
      <c r="A1274" s="86"/>
      <c r="B1274" s="86"/>
      <c r="C1274" s="86"/>
      <c r="D1274" s="86"/>
      <c r="E1274" s="86"/>
      <c r="F1274" s="86"/>
      <c r="G1274" s="86"/>
      <c r="H1274" s="86"/>
      <c r="I1274" s="86"/>
      <c r="J1274" s="86"/>
      <c r="K1274" s="86"/>
      <c r="L1274" s="86"/>
      <c r="M1274" s="86"/>
      <c r="N1274" s="86"/>
      <c r="O1274" s="86"/>
      <c r="P1274" s="86"/>
      <c r="Q1274" s="86"/>
      <c r="R1274" s="86"/>
      <c r="S1274" s="86"/>
      <c r="T1274" s="86"/>
      <c r="U1274" s="86"/>
      <c r="V1274" s="86"/>
      <c r="W1274" s="86"/>
      <c r="X1274" s="86"/>
      <c r="Y1274" s="86"/>
      <c r="Z1274" s="86"/>
      <c r="AA1274" s="86"/>
      <c r="AB1274" s="86"/>
      <c r="AC1274" s="86"/>
      <c r="AD1274" s="86"/>
      <c r="AE1274" s="86"/>
      <c r="AF1274" s="86"/>
    </row>
    <row r="1275" spans="1:32">
      <c r="A1275" s="86"/>
      <c r="B1275" s="86"/>
      <c r="C1275" s="86"/>
      <c r="D1275" s="86"/>
      <c r="E1275" s="86"/>
      <c r="F1275" s="86"/>
      <c r="G1275" s="86"/>
      <c r="H1275" s="86"/>
      <c r="I1275" s="86"/>
      <c r="J1275" s="86"/>
      <c r="K1275" s="86"/>
      <c r="L1275" s="86"/>
      <c r="M1275" s="86"/>
      <c r="N1275" s="86"/>
      <c r="O1275" s="86"/>
      <c r="P1275" s="86"/>
      <c r="Q1275" s="86"/>
      <c r="R1275" s="86"/>
      <c r="S1275" s="86"/>
      <c r="T1275" s="86"/>
      <c r="U1275" s="86"/>
      <c r="V1275" s="86"/>
      <c r="W1275" s="86"/>
      <c r="X1275" s="86"/>
      <c r="Y1275" s="86"/>
      <c r="Z1275" s="86"/>
      <c r="AA1275" s="86"/>
      <c r="AB1275" s="86"/>
      <c r="AC1275" s="86"/>
      <c r="AD1275" s="86"/>
      <c r="AE1275" s="86"/>
      <c r="AF1275" s="86"/>
    </row>
    <row r="1276" spans="1:32">
      <c r="A1276" s="86"/>
      <c r="B1276" s="86"/>
      <c r="C1276" s="86"/>
      <c r="D1276" s="86"/>
      <c r="E1276" s="86"/>
      <c r="F1276" s="86"/>
      <c r="G1276" s="86"/>
      <c r="H1276" s="86"/>
      <c r="I1276" s="86"/>
      <c r="J1276" s="86"/>
      <c r="K1276" s="86"/>
      <c r="L1276" s="86"/>
      <c r="M1276" s="86"/>
      <c r="N1276" s="86"/>
      <c r="O1276" s="86"/>
      <c r="P1276" s="86"/>
      <c r="Q1276" s="86"/>
      <c r="R1276" s="86"/>
      <c r="S1276" s="86"/>
      <c r="T1276" s="86"/>
      <c r="U1276" s="86"/>
      <c r="V1276" s="86"/>
      <c r="W1276" s="86"/>
      <c r="X1276" s="86"/>
      <c r="Y1276" s="86"/>
      <c r="Z1276" s="86"/>
      <c r="AA1276" s="86"/>
      <c r="AB1276" s="86"/>
      <c r="AC1276" s="86"/>
      <c r="AD1276" s="86"/>
      <c r="AE1276" s="86"/>
      <c r="AF1276" s="86"/>
    </row>
    <row r="1277" spans="1:32">
      <c r="A1277" s="86"/>
      <c r="B1277" s="86"/>
      <c r="C1277" s="86"/>
      <c r="D1277" s="86"/>
      <c r="E1277" s="86"/>
      <c r="F1277" s="86"/>
      <c r="G1277" s="86"/>
      <c r="H1277" s="86"/>
      <c r="I1277" s="86"/>
      <c r="J1277" s="86"/>
      <c r="K1277" s="86"/>
      <c r="L1277" s="86"/>
      <c r="M1277" s="86"/>
      <c r="N1277" s="86"/>
      <c r="O1277" s="86"/>
      <c r="P1277" s="86"/>
      <c r="Q1277" s="86"/>
      <c r="R1277" s="86"/>
      <c r="S1277" s="86"/>
      <c r="T1277" s="86"/>
      <c r="U1277" s="86"/>
      <c r="V1277" s="86"/>
      <c r="W1277" s="86"/>
      <c r="X1277" s="86"/>
      <c r="Y1277" s="86"/>
      <c r="Z1277" s="86"/>
      <c r="AA1277" s="86"/>
      <c r="AB1277" s="86"/>
      <c r="AC1277" s="86"/>
      <c r="AD1277" s="86"/>
      <c r="AE1277" s="86"/>
      <c r="AF1277" s="86"/>
    </row>
    <row r="1278" spans="1:32">
      <c r="A1278" s="86"/>
      <c r="B1278" s="86"/>
      <c r="C1278" s="86"/>
      <c r="D1278" s="86"/>
      <c r="E1278" s="86"/>
      <c r="F1278" s="86"/>
      <c r="G1278" s="86"/>
      <c r="H1278" s="86"/>
      <c r="I1278" s="86"/>
      <c r="J1278" s="86"/>
      <c r="K1278" s="86"/>
      <c r="L1278" s="86"/>
      <c r="M1278" s="86"/>
      <c r="N1278" s="86"/>
      <c r="O1278" s="86"/>
      <c r="P1278" s="86"/>
      <c r="Q1278" s="86"/>
      <c r="R1278" s="86"/>
      <c r="S1278" s="86"/>
      <c r="T1278" s="86"/>
      <c r="U1278" s="86"/>
      <c r="V1278" s="86"/>
      <c r="W1278" s="86"/>
      <c r="X1278" s="86"/>
      <c r="Y1278" s="86"/>
      <c r="Z1278" s="86"/>
      <c r="AA1278" s="86"/>
      <c r="AB1278" s="86"/>
      <c r="AC1278" s="86"/>
      <c r="AD1278" s="86"/>
      <c r="AE1278" s="86"/>
      <c r="AF1278" s="86"/>
    </row>
    <row r="1279" spans="1:32">
      <c r="A1279" s="86"/>
      <c r="B1279" s="86"/>
      <c r="C1279" s="86"/>
      <c r="D1279" s="86"/>
      <c r="E1279" s="86"/>
      <c r="F1279" s="86"/>
      <c r="G1279" s="86"/>
      <c r="H1279" s="86"/>
      <c r="I1279" s="86"/>
      <c r="J1279" s="86"/>
      <c r="K1279" s="86"/>
      <c r="L1279" s="86"/>
      <c r="M1279" s="86"/>
      <c r="N1279" s="86"/>
      <c r="O1279" s="86"/>
      <c r="P1279" s="86"/>
      <c r="Q1279" s="86"/>
      <c r="R1279" s="86"/>
      <c r="S1279" s="86"/>
      <c r="T1279" s="86"/>
      <c r="U1279" s="86"/>
      <c r="V1279" s="86"/>
      <c r="W1279" s="86"/>
      <c r="X1279" s="86"/>
      <c r="Y1279" s="86"/>
      <c r="Z1279" s="86"/>
      <c r="AA1279" s="86"/>
      <c r="AB1279" s="86"/>
      <c r="AC1279" s="86"/>
      <c r="AD1279" s="86"/>
      <c r="AE1279" s="86"/>
      <c r="AF1279" s="86"/>
    </row>
    <row r="1280" spans="1:32">
      <c r="A1280" s="86"/>
      <c r="B1280" s="86"/>
      <c r="C1280" s="86"/>
      <c r="D1280" s="86"/>
      <c r="E1280" s="86"/>
      <c r="F1280" s="86"/>
      <c r="G1280" s="86"/>
      <c r="H1280" s="86"/>
      <c r="I1280" s="86"/>
      <c r="J1280" s="86"/>
      <c r="K1280" s="86"/>
      <c r="L1280" s="86"/>
      <c r="M1280" s="86"/>
      <c r="N1280" s="86"/>
      <c r="O1280" s="86"/>
      <c r="P1280" s="86"/>
      <c r="Q1280" s="86"/>
      <c r="R1280" s="86"/>
      <c r="S1280" s="86"/>
      <c r="T1280" s="86"/>
      <c r="U1280" s="86"/>
      <c r="V1280" s="86"/>
      <c r="W1280" s="86"/>
      <c r="X1280" s="86"/>
      <c r="Y1280" s="86"/>
      <c r="Z1280" s="86"/>
      <c r="AA1280" s="86"/>
      <c r="AB1280" s="86"/>
      <c r="AC1280" s="86"/>
      <c r="AD1280" s="86"/>
      <c r="AE1280" s="86"/>
      <c r="AF1280" s="86"/>
    </row>
    <row r="1281" spans="1:32">
      <c r="A1281" s="86"/>
      <c r="B1281" s="86"/>
      <c r="C1281" s="86"/>
      <c r="D1281" s="86"/>
      <c r="E1281" s="86"/>
      <c r="F1281" s="86"/>
      <c r="G1281" s="86"/>
      <c r="H1281" s="86"/>
      <c r="I1281" s="86"/>
      <c r="J1281" s="86"/>
      <c r="K1281" s="86"/>
      <c r="L1281" s="86"/>
      <c r="M1281" s="86"/>
      <c r="N1281" s="86"/>
      <c r="O1281" s="86"/>
      <c r="P1281" s="86"/>
      <c r="Q1281" s="86"/>
      <c r="R1281" s="86"/>
      <c r="S1281" s="86"/>
      <c r="T1281" s="86"/>
      <c r="U1281" s="86"/>
      <c r="V1281" s="86"/>
      <c r="W1281" s="86"/>
      <c r="X1281" s="86"/>
      <c r="Y1281" s="86"/>
      <c r="Z1281" s="86"/>
      <c r="AA1281" s="86"/>
      <c r="AB1281" s="86"/>
      <c r="AC1281" s="86"/>
      <c r="AD1281" s="86"/>
      <c r="AE1281" s="86"/>
      <c r="AF1281" s="86"/>
    </row>
    <row r="1282" spans="1:32">
      <c r="A1282" s="86"/>
      <c r="B1282" s="86"/>
      <c r="C1282" s="86"/>
      <c r="D1282" s="86"/>
      <c r="E1282" s="86"/>
      <c r="F1282" s="86"/>
      <c r="G1282" s="86"/>
      <c r="H1282" s="86"/>
      <c r="I1282" s="86"/>
      <c r="J1282" s="86"/>
      <c r="K1282" s="86"/>
      <c r="L1282" s="86"/>
      <c r="M1282" s="86"/>
      <c r="N1282" s="86"/>
      <c r="O1282" s="86"/>
      <c r="P1282" s="86"/>
      <c r="Q1282" s="86"/>
      <c r="R1282" s="86"/>
      <c r="S1282" s="86"/>
      <c r="T1282" s="86"/>
      <c r="U1282" s="86"/>
      <c r="V1282" s="86"/>
      <c r="W1282" s="86"/>
      <c r="X1282" s="86"/>
      <c r="Y1282" s="86"/>
      <c r="Z1282" s="86"/>
      <c r="AA1282" s="86"/>
      <c r="AB1282" s="86"/>
      <c r="AC1282" s="86"/>
      <c r="AD1282" s="86"/>
      <c r="AE1282" s="86"/>
      <c r="AF1282" s="86"/>
    </row>
    <row r="1283" spans="1:32">
      <c r="A1283" s="86"/>
      <c r="B1283" s="86"/>
      <c r="C1283" s="86"/>
      <c r="D1283" s="86"/>
      <c r="E1283" s="86"/>
      <c r="F1283" s="86"/>
      <c r="G1283" s="86"/>
      <c r="H1283" s="86"/>
      <c r="I1283" s="86"/>
      <c r="J1283" s="86"/>
      <c r="K1283" s="86"/>
      <c r="L1283" s="86"/>
      <c r="M1283" s="86"/>
      <c r="N1283" s="86"/>
      <c r="O1283" s="86"/>
      <c r="P1283" s="86"/>
      <c r="Q1283" s="86"/>
      <c r="R1283" s="86"/>
      <c r="S1283" s="86"/>
      <c r="T1283" s="86"/>
      <c r="U1283" s="86"/>
      <c r="V1283" s="86"/>
      <c r="W1283" s="86"/>
      <c r="X1283" s="86"/>
      <c r="Y1283" s="86"/>
      <c r="Z1283" s="86"/>
      <c r="AA1283" s="86"/>
      <c r="AB1283" s="86"/>
      <c r="AC1283" s="86"/>
      <c r="AD1283" s="86"/>
      <c r="AE1283" s="86"/>
      <c r="AF1283" s="86"/>
    </row>
    <row r="1284" spans="1:32">
      <c r="A1284" s="86"/>
      <c r="B1284" s="86"/>
      <c r="C1284" s="86"/>
      <c r="D1284" s="86"/>
      <c r="E1284" s="86"/>
      <c r="F1284" s="86"/>
      <c r="G1284" s="86"/>
      <c r="H1284" s="86"/>
      <c r="I1284" s="86"/>
      <c r="J1284" s="86"/>
      <c r="K1284" s="86"/>
      <c r="L1284" s="86"/>
      <c r="M1284" s="86"/>
      <c r="N1284" s="86"/>
      <c r="O1284" s="86"/>
      <c r="P1284" s="86"/>
      <c r="Q1284" s="86"/>
      <c r="R1284" s="86"/>
      <c r="S1284" s="86"/>
      <c r="T1284" s="86"/>
      <c r="U1284" s="86"/>
      <c r="V1284" s="86"/>
      <c r="W1284" s="86"/>
      <c r="X1284" s="86"/>
      <c r="Y1284" s="86"/>
      <c r="Z1284" s="86"/>
      <c r="AA1284" s="86"/>
      <c r="AB1284" s="86"/>
      <c r="AC1284" s="86"/>
      <c r="AD1284" s="86"/>
      <c r="AE1284" s="86"/>
      <c r="AF1284" s="86"/>
    </row>
    <row r="1285" spans="1:32">
      <c r="A1285" s="86"/>
      <c r="B1285" s="86"/>
      <c r="C1285" s="86"/>
      <c r="D1285" s="86"/>
      <c r="E1285" s="86"/>
      <c r="F1285" s="86"/>
      <c r="G1285" s="86"/>
      <c r="H1285" s="86"/>
      <c r="I1285" s="86"/>
      <c r="J1285" s="86"/>
      <c r="K1285" s="86"/>
      <c r="L1285" s="86"/>
      <c r="M1285" s="86"/>
      <c r="N1285" s="86"/>
      <c r="O1285" s="86"/>
      <c r="P1285" s="86"/>
      <c r="Q1285" s="86"/>
      <c r="R1285" s="86"/>
      <c r="S1285" s="86"/>
      <c r="T1285" s="86"/>
      <c r="U1285" s="86"/>
      <c r="V1285" s="86"/>
      <c r="W1285" s="86"/>
      <c r="X1285" s="86"/>
      <c r="Y1285" s="86"/>
      <c r="Z1285" s="86"/>
      <c r="AA1285" s="86"/>
      <c r="AB1285" s="86"/>
      <c r="AC1285" s="86"/>
      <c r="AD1285" s="86"/>
      <c r="AE1285" s="86"/>
      <c r="AF1285" s="86"/>
    </row>
    <row r="1286" spans="1:32">
      <c r="A1286" s="86"/>
      <c r="B1286" s="86"/>
      <c r="C1286" s="86"/>
      <c r="D1286" s="86"/>
      <c r="E1286" s="86"/>
      <c r="F1286" s="86"/>
      <c r="G1286" s="86"/>
      <c r="H1286" s="86"/>
      <c r="I1286" s="86"/>
      <c r="J1286" s="86"/>
      <c r="K1286" s="86"/>
      <c r="L1286" s="86"/>
      <c r="M1286" s="86"/>
      <c r="N1286" s="86"/>
      <c r="O1286" s="86"/>
      <c r="P1286" s="86"/>
      <c r="Q1286" s="86"/>
      <c r="R1286" s="86"/>
      <c r="S1286" s="86"/>
      <c r="T1286" s="86"/>
      <c r="U1286" s="86"/>
      <c r="V1286" s="86"/>
      <c r="W1286" s="86"/>
      <c r="X1286" s="86"/>
      <c r="Y1286" s="86"/>
      <c r="Z1286" s="86"/>
      <c r="AA1286" s="86"/>
      <c r="AB1286" s="86"/>
      <c r="AC1286" s="86"/>
      <c r="AD1286" s="86"/>
      <c r="AE1286" s="86"/>
      <c r="AF1286" s="86"/>
    </row>
    <row r="1287" spans="1:32">
      <c r="A1287" s="86"/>
      <c r="B1287" s="86"/>
      <c r="C1287" s="86"/>
      <c r="D1287" s="86"/>
      <c r="E1287" s="86"/>
      <c r="F1287" s="86"/>
      <c r="G1287" s="86"/>
      <c r="H1287" s="86"/>
      <c r="I1287" s="86"/>
      <c r="J1287" s="86"/>
      <c r="K1287" s="86"/>
      <c r="L1287" s="86"/>
      <c r="M1287" s="86"/>
      <c r="N1287" s="86"/>
      <c r="O1287" s="86"/>
      <c r="P1287" s="86"/>
      <c r="Q1287" s="86"/>
      <c r="R1287" s="86"/>
      <c r="S1287" s="86"/>
      <c r="T1287" s="86"/>
      <c r="U1287" s="86"/>
      <c r="V1287" s="86"/>
      <c r="W1287" s="86"/>
      <c r="X1287" s="86"/>
      <c r="Y1287" s="86"/>
      <c r="Z1287" s="86"/>
      <c r="AA1287" s="86"/>
      <c r="AB1287" s="86"/>
      <c r="AC1287" s="86"/>
      <c r="AD1287" s="86"/>
      <c r="AE1287" s="86"/>
      <c r="AF1287" s="86"/>
    </row>
    <row r="1288" spans="1:32">
      <c r="A1288" s="86"/>
      <c r="B1288" s="86"/>
      <c r="C1288" s="86"/>
      <c r="D1288" s="86"/>
      <c r="E1288" s="86"/>
      <c r="F1288" s="86"/>
      <c r="G1288" s="86"/>
      <c r="H1288" s="86"/>
      <c r="I1288" s="86"/>
      <c r="J1288" s="86"/>
      <c r="K1288" s="86"/>
      <c r="L1288" s="86"/>
      <c r="M1288" s="86"/>
      <c r="N1288" s="86"/>
      <c r="O1288" s="86"/>
      <c r="P1288" s="86"/>
      <c r="Q1288" s="86"/>
      <c r="R1288" s="86"/>
      <c r="S1288" s="86"/>
      <c r="T1288" s="86"/>
      <c r="U1288" s="86"/>
      <c r="V1288" s="86"/>
      <c r="W1288" s="86"/>
      <c r="X1288" s="86"/>
      <c r="Y1288" s="86"/>
      <c r="Z1288" s="86"/>
      <c r="AA1288" s="86"/>
      <c r="AB1288" s="86"/>
      <c r="AC1288" s="86"/>
      <c r="AD1288" s="86"/>
      <c r="AE1288" s="86"/>
      <c r="AF1288" s="86"/>
    </row>
    <row r="1289" spans="1:32">
      <c r="A1289" s="86"/>
      <c r="B1289" s="86"/>
      <c r="C1289" s="86"/>
      <c r="D1289" s="86"/>
      <c r="E1289" s="86"/>
      <c r="F1289" s="86"/>
      <c r="G1289" s="86"/>
      <c r="H1289" s="86"/>
      <c r="I1289" s="86"/>
      <c r="J1289" s="86"/>
      <c r="K1289" s="86"/>
      <c r="L1289" s="86"/>
      <c r="M1289" s="86"/>
      <c r="N1289" s="86"/>
      <c r="O1289" s="86"/>
      <c r="P1289" s="86"/>
      <c r="Q1289" s="86"/>
      <c r="R1289" s="86"/>
      <c r="S1289" s="86"/>
      <c r="T1289" s="86"/>
      <c r="U1289" s="86"/>
      <c r="V1289" s="86"/>
      <c r="W1289" s="86"/>
      <c r="X1289" s="86"/>
      <c r="Y1289" s="86"/>
      <c r="Z1289" s="86"/>
      <c r="AA1289" s="86"/>
      <c r="AB1289" s="86"/>
      <c r="AC1289" s="86"/>
      <c r="AD1289" s="86"/>
      <c r="AE1289" s="86"/>
      <c r="AF1289" s="86"/>
    </row>
    <row r="1290" spans="1:32">
      <c r="A1290" s="86"/>
      <c r="B1290" s="86"/>
      <c r="C1290" s="86"/>
      <c r="D1290" s="86"/>
      <c r="E1290" s="86"/>
      <c r="F1290" s="86"/>
      <c r="G1290" s="86"/>
      <c r="H1290" s="86"/>
      <c r="I1290" s="86"/>
      <c r="J1290" s="86"/>
      <c r="K1290" s="86"/>
      <c r="L1290" s="86"/>
      <c r="M1290" s="86"/>
      <c r="N1290" s="86"/>
      <c r="O1290" s="86"/>
      <c r="P1290" s="86"/>
      <c r="Q1290" s="86"/>
      <c r="R1290" s="86"/>
      <c r="S1290" s="86"/>
      <c r="T1290" s="86"/>
      <c r="U1290" s="86"/>
      <c r="V1290" s="86"/>
      <c r="W1290" s="86"/>
      <c r="X1290" s="86"/>
      <c r="Y1290" s="86"/>
      <c r="Z1290" s="86"/>
      <c r="AA1290" s="86"/>
      <c r="AB1290" s="86"/>
      <c r="AC1290" s="86"/>
      <c r="AD1290" s="86"/>
      <c r="AE1290" s="86"/>
      <c r="AF1290" s="86"/>
    </row>
    <row r="1291" spans="1:32">
      <c r="A1291" s="86"/>
      <c r="B1291" s="86"/>
      <c r="C1291" s="86"/>
      <c r="D1291" s="86"/>
      <c r="E1291" s="86"/>
      <c r="F1291" s="86"/>
      <c r="G1291" s="86"/>
      <c r="H1291" s="86"/>
      <c r="I1291" s="86"/>
      <c r="J1291" s="86"/>
      <c r="K1291" s="86"/>
      <c r="L1291" s="86"/>
      <c r="M1291" s="86"/>
      <c r="N1291" s="86"/>
      <c r="O1291" s="86"/>
      <c r="P1291" s="86"/>
      <c r="Q1291" s="86"/>
      <c r="R1291" s="86"/>
      <c r="S1291" s="86"/>
      <c r="T1291" s="86"/>
      <c r="U1291" s="86"/>
      <c r="V1291" s="86"/>
      <c r="W1291" s="86"/>
      <c r="X1291" s="86"/>
      <c r="Y1291" s="86"/>
      <c r="Z1291" s="86"/>
      <c r="AA1291" s="86"/>
      <c r="AB1291" s="86"/>
      <c r="AC1291" s="86"/>
      <c r="AD1291" s="86"/>
      <c r="AE1291" s="86"/>
      <c r="AF1291" s="86"/>
    </row>
    <row r="1292" spans="1:32">
      <c r="A1292" s="86"/>
      <c r="B1292" s="86"/>
      <c r="C1292" s="86"/>
      <c r="D1292" s="86"/>
      <c r="E1292" s="86"/>
      <c r="F1292" s="86"/>
      <c r="G1292" s="86"/>
      <c r="H1292" s="86"/>
      <c r="I1292" s="86"/>
      <c r="J1292" s="86"/>
      <c r="K1292" s="86"/>
      <c r="L1292" s="86"/>
      <c r="M1292" s="86"/>
      <c r="N1292" s="86"/>
      <c r="O1292" s="86"/>
      <c r="P1292" s="86"/>
      <c r="Q1292" s="86"/>
      <c r="R1292" s="86"/>
      <c r="S1292" s="86"/>
      <c r="T1292" s="86"/>
      <c r="U1292" s="86"/>
      <c r="V1292" s="86"/>
      <c r="W1292" s="86"/>
      <c r="X1292" s="86"/>
      <c r="Y1292" s="86"/>
      <c r="Z1292" s="86"/>
      <c r="AA1292" s="86"/>
      <c r="AB1292" s="86"/>
      <c r="AC1292" s="86"/>
      <c r="AD1292" s="86"/>
      <c r="AE1292" s="86"/>
      <c r="AF1292" s="86"/>
    </row>
    <row r="1293" spans="1:32">
      <c r="A1293" s="86"/>
      <c r="B1293" s="86"/>
      <c r="C1293" s="86"/>
      <c r="D1293" s="86"/>
      <c r="E1293" s="86"/>
      <c r="F1293" s="86"/>
      <c r="G1293" s="86"/>
      <c r="H1293" s="86"/>
      <c r="I1293" s="86"/>
      <c r="J1293" s="86"/>
      <c r="K1293" s="86"/>
      <c r="L1293" s="86"/>
      <c r="M1293" s="86"/>
      <c r="N1293" s="86"/>
      <c r="O1293" s="86"/>
      <c r="P1293" s="86"/>
      <c r="Q1293" s="86"/>
      <c r="R1293" s="86"/>
      <c r="S1293" s="86"/>
      <c r="T1293" s="86"/>
      <c r="U1293" s="86"/>
      <c r="V1293" s="86"/>
      <c r="W1293" s="86"/>
      <c r="X1293" s="86"/>
      <c r="Y1293" s="86"/>
      <c r="Z1293" s="86"/>
      <c r="AA1293" s="86"/>
      <c r="AB1293" s="86"/>
      <c r="AC1293" s="86"/>
      <c r="AD1293" s="86"/>
      <c r="AE1293" s="86"/>
      <c r="AF1293" s="86"/>
    </row>
    <row r="1294" spans="1:32">
      <c r="A1294" s="86"/>
      <c r="B1294" s="86"/>
      <c r="C1294" s="86"/>
      <c r="D1294" s="86"/>
      <c r="E1294" s="86"/>
      <c r="F1294" s="86"/>
      <c r="G1294" s="86"/>
      <c r="H1294" s="86"/>
      <c r="I1294" s="86"/>
      <c r="J1294" s="86"/>
      <c r="K1294" s="86"/>
      <c r="L1294" s="86"/>
      <c r="M1294" s="86"/>
      <c r="N1294" s="86"/>
      <c r="O1294" s="86"/>
      <c r="P1294" s="86"/>
      <c r="Q1294" s="86"/>
      <c r="R1294" s="86"/>
      <c r="S1294" s="86"/>
      <c r="T1294" s="86"/>
      <c r="U1294" s="86"/>
      <c r="V1294" s="86"/>
      <c r="W1294" s="86"/>
      <c r="X1294" s="86"/>
      <c r="Y1294" s="86"/>
      <c r="Z1294" s="86"/>
      <c r="AA1294" s="86"/>
      <c r="AB1294" s="86"/>
      <c r="AC1294" s="86"/>
      <c r="AD1294" s="86"/>
      <c r="AE1294" s="86"/>
      <c r="AF1294" s="86"/>
    </row>
    <row r="1295" spans="1:32">
      <c r="A1295" s="86"/>
      <c r="B1295" s="86"/>
      <c r="C1295" s="86"/>
      <c r="D1295" s="86"/>
      <c r="E1295" s="86"/>
      <c r="F1295" s="86"/>
      <c r="G1295" s="86"/>
      <c r="H1295" s="86"/>
      <c r="I1295" s="86"/>
      <c r="J1295" s="86"/>
      <c r="K1295" s="86"/>
      <c r="L1295" s="86"/>
      <c r="M1295" s="86"/>
      <c r="N1295" s="86"/>
      <c r="O1295" s="86"/>
      <c r="P1295" s="86"/>
      <c r="Q1295" s="86"/>
      <c r="R1295" s="86"/>
      <c r="S1295" s="86"/>
      <c r="T1295" s="86"/>
      <c r="U1295" s="86"/>
      <c r="V1295" s="86"/>
      <c r="W1295" s="86"/>
      <c r="X1295" s="86"/>
      <c r="Y1295" s="86"/>
      <c r="Z1295" s="86"/>
      <c r="AA1295" s="86"/>
      <c r="AB1295" s="86"/>
      <c r="AC1295" s="86"/>
      <c r="AD1295" s="86"/>
      <c r="AE1295" s="86"/>
      <c r="AF1295" s="86"/>
    </row>
    <row r="1296" spans="1:32">
      <c r="A1296" s="86"/>
      <c r="B1296" s="86"/>
      <c r="C1296" s="86"/>
      <c r="D1296" s="86"/>
      <c r="E1296" s="86"/>
      <c r="F1296" s="86"/>
      <c r="G1296" s="86"/>
      <c r="H1296" s="86"/>
      <c r="I1296" s="86"/>
      <c r="J1296" s="86"/>
      <c r="K1296" s="86"/>
      <c r="L1296" s="86"/>
      <c r="M1296" s="86"/>
      <c r="N1296" s="86"/>
      <c r="O1296" s="86"/>
      <c r="P1296" s="86"/>
      <c r="Q1296" s="86"/>
      <c r="R1296" s="86"/>
      <c r="S1296" s="86"/>
      <c r="T1296" s="86"/>
      <c r="U1296" s="86"/>
      <c r="V1296" s="86"/>
      <c r="W1296" s="86"/>
      <c r="X1296" s="86"/>
      <c r="Y1296" s="86"/>
      <c r="Z1296" s="86"/>
      <c r="AA1296" s="86"/>
      <c r="AB1296" s="86"/>
      <c r="AC1296" s="86"/>
      <c r="AD1296" s="86"/>
      <c r="AE1296" s="86"/>
      <c r="AF1296" s="86"/>
    </row>
    <row r="1297" spans="1:32">
      <c r="A1297" s="86"/>
      <c r="B1297" s="86"/>
      <c r="C1297" s="86"/>
      <c r="D1297" s="86"/>
      <c r="E1297" s="86"/>
      <c r="F1297" s="86"/>
      <c r="G1297" s="86"/>
      <c r="H1297" s="86"/>
      <c r="I1297" s="86"/>
      <c r="J1297" s="86"/>
      <c r="K1297" s="86"/>
      <c r="L1297" s="86"/>
      <c r="M1297" s="86"/>
      <c r="N1297" s="86"/>
      <c r="O1297" s="86"/>
      <c r="P1297" s="86"/>
      <c r="Q1297" s="86"/>
      <c r="R1297" s="86"/>
      <c r="S1297" s="86"/>
      <c r="T1297" s="86"/>
      <c r="U1297" s="86"/>
      <c r="V1297" s="86"/>
      <c r="W1297" s="86"/>
      <c r="X1297" s="86"/>
      <c r="Y1297" s="86"/>
      <c r="Z1297" s="86"/>
      <c r="AA1297" s="86"/>
      <c r="AB1297" s="86"/>
      <c r="AC1297" s="86"/>
      <c r="AD1297" s="86"/>
      <c r="AE1297" s="86"/>
      <c r="AF1297" s="86"/>
    </row>
    <row r="1298" spans="1:32">
      <c r="A1298" s="86"/>
      <c r="B1298" s="86"/>
      <c r="C1298" s="86"/>
      <c r="D1298" s="86"/>
      <c r="E1298" s="86"/>
      <c r="F1298" s="86"/>
      <c r="G1298" s="86"/>
      <c r="H1298" s="86"/>
      <c r="I1298" s="86"/>
      <c r="J1298" s="86"/>
      <c r="K1298" s="86"/>
      <c r="L1298" s="86"/>
      <c r="M1298" s="86"/>
      <c r="N1298" s="86"/>
      <c r="O1298" s="86"/>
      <c r="P1298" s="86"/>
      <c r="Q1298" s="86"/>
      <c r="R1298" s="86"/>
      <c r="S1298" s="86"/>
      <c r="T1298" s="86"/>
      <c r="U1298" s="86"/>
      <c r="V1298" s="86"/>
      <c r="W1298" s="86"/>
      <c r="X1298" s="86"/>
      <c r="Y1298" s="86"/>
      <c r="Z1298" s="86"/>
      <c r="AA1298" s="86"/>
      <c r="AB1298" s="86"/>
      <c r="AC1298" s="86"/>
      <c r="AD1298" s="86"/>
      <c r="AE1298" s="86"/>
      <c r="AF1298" s="86"/>
    </row>
    <row r="1299" spans="1:32">
      <c r="A1299" s="86"/>
      <c r="B1299" s="86"/>
      <c r="C1299" s="86"/>
      <c r="D1299" s="86"/>
      <c r="E1299" s="86"/>
      <c r="F1299" s="86"/>
      <c r="G1299" s="86"/>
      <c r="H1299" s="86"/>
      <c r="I1299" s="86"/>
      <c r="J1299" s="86"/>
      <c r="K1299" s="86"/>
      <c r="L1299" s="86"/>
      <c r="M1299" s="86"/>
      <c r="N1299" s="86"/>
      <c r="O1299" s="86"/>
      <c r="P1299" s="86"/>
      <c r="Q1299" s="86"/>
      <c r="R1299" s="86"/>
      <c r="S1299" s="86"/>
      <c r="T1299" s="86"/>
      <c r="U1299" s="86"/>
      <c r="V1299" s="86"/>
      <c r="W1299" s="86"/>
      <c r="X1299" s="86"/>
      <c r="Y1299" s="86"/>
      <c r="Z1299" s="86"/>
      <c r="AA1299" s="86"/>
      <c r="AB1299" s="86"/>
      <c r="AC1299" s="86"/>
      <c r="AD1299" s="86"/>
      <c r="AE1299" s="86"/>
      <c r="AF1299" s="86"/>
    </row>
    <row r="1300" spans="1:32">
      <c r="A1300" s="86"/>
      <c r="B1300" s="86"/>
      <c r="C1300" s="86"/>
      <c r="D1300" s="86"/>
      <c r="E1300" s="86"/>
      <c r="F1300" s="86"/>
      <c r="G1300" s="86"/>
      <c r="H1300" s="86"/>
      <c r="I1300" s="86"/>
      <c r="J1300" s="86"/>
      <c r="K1300" s="86"/>
      <c r="L1300" s="86"/>
      <c r="M1300" s="86"/>
      <c r="N1300" s="86"/>
      <c r="O1300" s="86"/>
      <c r="P1300" s="86"/>
      <c r="Q1300" s="86"/>
      <c r="R1300" s="86"/>
      <c r="S1300" s="86"/>
      <c r="T1300" s="86"/>
      <c r="U1300" s="86"/>
      <c r="V1300" s="86"/>
      <c r="W1300" s="86"/>
      <c r="X1300" s="86"/>
      <c r="Y1300" s="86"/>
      <c r="Z1300" s="86"/>
      <c r="AA1300" s="86"/>
      <c r="AB1300" s="86"/>
      <c r="AC1300" s="86"/>
      <c r="AD1300" s="86"/>
      <c r="AE1300" s="86"/>
      <c r="AF1300" s="86"/>
    </row>
    <row r="1301" spans="1:32">
      <c r="A1301" s="86"/>
      <c r="B1301" s="86"/>
      <c r="C1301" s="86"/>
      <c r="D1301" s="86"/>
      <c r="E1301" s="86"/>
      <c r="F1301" s="86"/>
      <c r="G1301" s="86"/>
      <c r="H1301" s="86"/>
      <c r="I1301" s="86"/>
      <c r="J1301" s="86"/>
      <c r="K1301" s="86"/>
      <c r="L1301" s="86"/>
      <c r="M1301" s="86"/>
      <c r="N1301" s="86"/>
      <c r="O1301" s="86"/>
      <c r="P1301" s="86"/>
      <c r="Q1301" s="86"/>
      <c r="R1301" s="86"/>
      <c r="S1301" s="86"/>
      <c r="T1301" s="86"/>
      <c r="U1301" s="86"/>
      <c r="V1301" s="86"/>
      <c r="W1301" s="86"/>
      <c r="X1301" s="86"/>
      <c r="Y1301" s="86"/>
      <c r="Z1301" s="86"/>
      <c r="AA1301" s="86"/>
      <c r="AB1301" s="86"/>
      <c r="AC1301" s="86"/>
      <c r="AD1301" s="86"/>
      <c r="AE1301" s="86"/>
      <c r="AF1301" s="86"/>
    </row>
    <row r="1302" spans="1:32">
      <c r="A1302" s="86"/>
      <c r="B1302" s="86"/>
      <c r="C1302" s="86"/>
      <c r="D1302" s="86"/>
      <c r="E1302" s="86"/>
      <c r="F1302" s="86"/>
      <c r="G1302" s="86"/>
      <c r="H1302" s="86"/>
      <c r="I1302" s="86"/>
      <c r="J1302" s="86"/>
      <c r="K1302" s="86"/>
      <c r="L1302" s="86"/>
      <c r="M1302" s="86"/>
      <c r="N1302" s="86"/>
      <c r="O1302" s="86"/>
      <c r="P1302" s="86"/>
      <c r="Q1302" s="86"/>
      <c r="R1302" s="86"/>
      <c r="S1302" s="86"/>
      <c r="T1302" s="86"/>
      <c r="U1302" s="86"/>
      <c r="V1302" s="86"/>
      <c r="W1302" s="86"/>
      <c r="X1302" s="86"/>
      <c r="Y1302" s="86"/>
      <c r="Z1302" s="86"/>
      <c r="AA1302" s="86"/>
      <c r="AB1302" s="86"/>
      <c r="AC1302" s="86"/>
      <c r="AD1302" s="86"/>
      <c r="AE1302" s="86"/>
      <c r="AF1302" s="86"/>
    </row>
    <row r="1303" spans="1:32">
      <c r="A1303" s="86"/>
      <c r="B1303" s="86"/>
      <c r="C1303" s="86"/>
      <c r="D1303" s="86"/>
      <c r="E1303" s="86"/>
      <c r="F1303" s="86"/>
      <c r="G1303" s="86"/>
      <c r="H1303" s="86"/>
      <c r="I1303" s="86"/>
      <c r="J1303" s="86"/>
      <c r="K1303" s="86"/>
      <c r="L1303" s="86"/>
      <c r="M1303" s="86"/>
      <c r="N1303" s="86"/>
      <c r="O1303" s="86"/>
      <c r="P1303" s="86"/>
      <c r="Q1303" s="86"/>
      <c r="R1303" s="86"/>
      <c r="S1303" s="86"/>
      <c r="T1303" s="86"/>
      <c r="U1303" s="86"/>
      <c r="V1303" s="86"/>
      <c r="W1303" s="86"/>
      <c r="X1303" s="86"/>
      <c r="Y1303" s="86"/>
      <c r="Z1303" s="86"/>
      <c r="AA1303" s="86"/>
      <c r="AB1303" s="86"/>
      <c r="AC1303" s="86"/>
      <c r="AD1303" s="86"/>
      <c r="AE1303" s="86"/>
      <c r="AF1303" s="86"/>
    </row>
    <row r="1304" spans="1:32">
      <c r="A1304" s="86"/>
      <c r="B1304" s="86"/>
      <c r="C1304" s="86"/>
      <c r="D1304" s="86"/>
      <c r="E1304" s="86"/>
      <c r="F1304" s="86"/>
      <c r="G1304" s="86"/>
      <c r="H1304" s="86"/>
      <c r="I1304" s="86"/>
      <c r="J1304" s="86"/>
      <c r="K1304" s="86"/>
      <c r="L1304" s="86"/>
      <c r="M1304" s="86"/>
      <c r="N1304" s="86"/>
      <c r="O1304" s="86"/>
      <c r="P1304" s="86"/>
      <c r="Q1304" s="86"/>
      <c r="R1304" s="86"/>
      <c r="S1304" s="86"/>
      <c r="T1304" s="86"/>
      <c r="U1304" s="86"/>
      <c r="V1304" s="86"/>
      <c r="W1304" s="86"/>
      <c r="X1304" s="86"/>
      <c r="Y1304" s="86"/>
      <c r="Z1304" s="86"/>
      <c r="AA1304" s="86"/>
      <c r="AB1304" s="86"/>
      <c r="AC1304" s="86"/>
      <c r="AD1304" s="86"/>
      <c r="AE1304" s="86"/>
      <c r="AF1304" s="86"/>
    </row>
    <row r="1305" spans="1:32">
      <c r="A1305" s="86"/>
      <c r="B1305" s="86"/>
      <c r="C1305" s="86"/>
      <c r="D1305" s="86"/>
      <c r="E1305" s="86"/>
      <c r="F1305" s="86"/>
      <c r="G1305" s="86"/>
      <c r="H1305" s="86"/>
      <c r="I1305" s="86"/>
      <c r="J1305" s="86"/>
      <c r="K1305" s="86"/>
      <c r="L1305" s="86"/>
      <c r="M1305" s="86"/>
      <c r="N1305" s="86"/>
      <c r="O1305" s="86"/>
      <c r="P1305" s="86"/>
      <c r="Q1305" s="86"/>
      <c r="R1305" s="86"/>
      <c r="S1305" s="86"/>
      <c r="T1305" s="86"/>
      <c r="U1305" s="86"/>
      <c r="V1305" s="86"/>
      <c r="W1305" s="86"/>
      <c r="X1305" s="86"/>
      <c r="Y1305" s="86"/>
      <c r="Z1305" s="86"/>
      <c r="AA1305" s="86"/>
      <c r="AB1305" s="86"/>
      <c r="AC1305" s="86"/>
      <c r="AD1305" s="86"/>
      <c r="AE1305" s="86"/>
      <c r="AF1305" s="86"/>
    </row>
    <row r="1306" spans="1:32">
      <c r="A1306" s="86"/>
      <c r="B1306" s="86"/>
      <c r="C1306" s="86"/>
      <c r="D1306" s="86"/>
      <c r="E1306" s="86"/>
      <c r="F1306" s="86"/>
      <c r="G1306" s="86"/>
      <c r="H1306" s="86"/>
      <c r="I1306" s="86"/>
      <c r="J1306" s="86"/>
      <c r="K1306" s="86"/>
      <c r="L1306" s="86"/>
      <c r="M1306" s="86"/>
      <c r="N1306" s="86"/>
      <c r="O1306" s="86"/>
      <c r="P1306" s="86"/>
      <c r="Q1306" s="86"/>
      <c r="R1306" s="86"/>
      <c r="S1306" s="86"/>
      <c r="T1306" s="86"/>
      <c r="U1306" s="86"/>
      <c r="V1306" s="86"/>
      <c r="W1306" s="86"/>
      <c r="X1306" s="86"/>
      <c r="Y1306" s="86"/>
      <c r="Z1306" s="86"/>
      <c r="AA1306" s="86"/>
      <c r="AB1306" s="86"/>
      <c r="AC1306" s="86"/>
      <c r="AD1306" s="86"/>
      <c r="AE1306" s="86"/>
      <c r="AF1306" s="86"/>
    </row>
    <row r="1307" spans="1:32">
      <c r="A1307" s="86"/>
      <c r="B1307" s="86"/>
      <c r="C1307" s="86"/>
      <c r="D1307" s="86"/>
      <c r="E1307" s="86"/>
      <c r="F1307" s="86"/>
      <c r="G1307" s="86"/>
      <c r="H1307" s="86"/>
      <c r="I1307" s="86"/>
      <c r="J1307" s="86"/>
      <c r="K1307" s="86"/>
      <c r="L1307" s="86"/>
      <c r="M1307" s="86"/>
      <c r="N1307" s="86"/>
      <c r="O1307" s="86"/>
      <c r="P1307" s="86"/>
      <c r="Q1307" s="86"/>
      <c r="R1307" s="86"/>
      <c r="S1307" s="86"/>
      <c r="T1307" s="86"/>
      <c r="U1307" s="86"/>
      <c r="V1307" s="86"/>
      <c r="W1307" s="86"/>
      <c r="X1307" s="86"/>
      <c r="Y1307" s="86"/>
      <c r="Z1307" s="86"/>
      <c r="AA1307" s="86"/>
      <c r="AB1307" s="86"/>
      <c r="AC1307" s="86"/>
      <c r="AD1307" s="86"/>
      <c r="AE1307" s="86"/>
      <c r="AF1307" s="86"/>
    </row>
    <row r="1308" spans="1:32">
      <c r="A1308" s="86"/>
      <c r="B1308" s="86"/>
      <c r="C1308" s="86"/>
      <c r="D1308" s="86"/>
      <c r="E1308" s="86"/>
      <c r="F1308" s="86"/>
      <c r="G1308" s="86"/>
      <c r="H1308" s="86"/>
      <c r="I1308" s="86"/>
      <c r="J1308" s="86"/>
      <c r="K1308" s="86"/>
      <c r="L1308" s="86"/>
      <c r="M1308" s="86"/>
      <c r="N1308" s="86"/>
      <c r="O1308" s="86"/>
      <c r="P1308" s="86"/>
      <c r="Q1308" s="86"/>
      <c r="R1308" s="86"/>
      <c r="S1308" s="86"/>
      <c r="T1308" s="86"/>
      <c r="U1308" s="86"/>
      <c r="V1308" s="86"/>
      <c r="W1308" s="86"/>
      <c r="X1308" s="86"/>
      <c r="Y1308" s="86"/>
      <c r="Z1308" s="86"/>
      <c r="AA1308" s="86"/>
      <c r="AB1308" s="86"/>
      <c r="AC1308" s="86"/>
      <c r="AD1308" s="86"/>
      <c r="AE1308" s="86"/>
      <c r="AF1308" s="86"/>
    </row>
    <row r="1309" spans="1:32">
      <c r="A1309" s="86"/>
      <c r="B1309" s="86"/>
      <c r="C1309" s="86"/>
      <c r="D1309" s="86"/>
      <c r="E1309" s="86"/>
      <c r="F1309" s="86"/>
      <c r="G1309" s="86"/>
      <c r="H1309" s="86"/>
      <c r="I1309" s="86"/>
      <c r="J1309" s="86"/>
      <c r="K1309" s="86"/>
      <c r="L1309" s="86"/>
      <c r="M1309" s="86"/>
      <c r="N1309" s="86"/>
      <c r="O1309" s="86"/>
      <c r="P1309" s="86"/>
      <c r="Q1309" s="86"/>
      <c r="R1309" s="86"/>
      <c r="S1309" s="86"/>
      <c r="T1309" s="86"/>
      <c r="U1309" s="86"/>
      <c r="V1309" s="86"/>
      <c r="W1309" s="86"/>
      <c r="X1309" s="86"/>
      <c r="Y1309" s="86"/>
      <c r="Z1309" s="86"/>
      <c r="AA1309" s="86"/>
      <c r="AB1309" s="86"/>
      <c r="AC1309" s="86"/>
      <c r="AD1309" s="86"/>
      <c r="AE1309" s="86"/>
      <c r="AF1309" s="86"/>
    </row>
    <row r="1310" spans="1:32">
      <c r="A1310" s="86"/>
      <c r="B1310" s="86"/>
      <c r="C1310" s="86"/>
      <c r="D1310" s="86"/>
      <c r="E1310" s="86"/>
      <c r="F1310" s="86"/>
      <c r="G1310" s="86"/>
      <c r="H1310" s="86"/>
      <c r="I1310" s="86"/>
      <c r="J1310" s="86"/>
      <c r="K1310" s="86"/>
      <c r="L1310" s="86"/>
      <c r="M1310" s="86"/>
      <c r="N1310" s="86"/>
      <c r="O1310" s="86"/>
      <c r="P1310" s="86"/>
      <c r="Q1310" s="86"/>
      <c r="R1310" s="86"/>
      <c r="S1310" s="86"/>
      <c r="T1310" s="86"/>
      <c r="U1310" s="86"/>
      <c r="V1310" s="86"/>
      <c r="W1310" s="86"/>
      <c r="X1310" s="86"/>
      <c r="Y1310" s="86"/>
      <c r="Z1310" s="86"/>
      <c r="AA1310" s="86"/>
      <c r="AB1310" s="86"/>
      <c r="AC1310" s="86"/>
      <c r="AD1310" s="86"/>
      <c r="AE1310" s="86"/>
      <c r="AF1310" s="86"/>
    </row>
    <row r="1311" spans="1:32">
      <c r="A1311" s="86"/>
      <c r="B1311" s="86"/>
      <c r="C1311" s="86"/>
      <c r="D1311" s="86"/>
      <c r="E1311" s="86"/>
      <c r="F1311" s="86"/>
      <c r="G1311" s="86"/>
      <c r="H1311" s="86"/>
      <c r="I1311" s="86"/>
      <c r="J1311" s="86"/>
      <c r="K1311" s="86"/>
      <c r="L1311" s="86"/>
      <c r="M1311" s="86"/>
      <c r="N1311" s="86"/>
      <c r="O1311" s="86"/>
      <c r="P1311" s="86"/>
      <c r="Q1311" s="86"/>
      <c r="R1311" s="86"/>
      <c r="S1311" s="86"/>
      <c r="T1311" s="86"/>
      <c r="U1311" s="86"/>
      <c r="V1311" s="86"/>
      <c r="W1311" s="86"/>
      <c r="X1311" s="86"/>
      <c r="Y1311" s="86"/>
      <c r="Z1311" s="86"/>
      <c r="AA1311" s="86"/>
      <c r="AB1311" s="86"/>
      <c r="AC1311" s="86"/>
      <c r="AD1311" s="86"/>
      <c r="AE1311" s="86"/>
      <c r="AF1311" s="86"/>
    </row>
    <row r="1312" spans="1:32">
      <c r="A1312" s="86"/>
      <c r="B1312" s="86"/>
      <c r="C1312" s="86"/>
      <c r="D1312" s="86"/>
      <c r="E1312" s="86"/>
      <c r="F1312" s="86"/>
      <c r="G1312" s="86"/>
      <c r="H1312" s="86"/>
      <c r="I1312" s="86"/>
      <c r="J1312" s="86"/>
      <c r="K1312" s="86"/>
      <c r="L1312" s="86"/>
      <c r="M1312" s="86"/>
      <c r="N1312" s="86"/>
      <c r="O1312" s="86"/>
      <c r="P1312" s="86"/>
      <c r="Q1312" s="86"/>
      <c r="R1312" s="86"/>
      <c r="S1312" s="86"/>
      <c r="T1312" s="86"/>
      <c r="U1312" s="86"/>
      <c r="V1312" s="86"/>
      <c r="W1312" s="86"/>
      <c r="X1312" s="86"/>
      <c r="Y1312" s="86"/>
      <c r="Z1312" s="86"/>
      <c r="AA1312" s="86"/>
      <c r="AB1312" s="86"/>
      <c r="AC1312" s="86"/>
      <c r="AD1312" s="86"/>
      <c r="AE1312" s="86"/>
      <c r="AF1312" s="86"/>
    </row>
    <row r="1313" spans="1:32">
      <c r="A1313" s="86"/>
      <c r="B1313" s="86"/>
      <c r="C1313" s="86"/>
      <c r="D1313" s="86"/>
      <c r="E1313" s="86"/>
      <c r="F1313" s="86"/>
      <c r="G1313" s="86"/>
      <c r="H1313" s="86"/>
      <c r="I1313" s="86"/>
      <c r="J1313" s="86"/>
      <c r="K1313" s="86"/>
      <c r="L1313" s="86"/>
      <c r="M1313" s="86"/>
      <c r="N1313" s="86"/>
      <c r="O1313" s="86"/>
      <c r="P1313" s="86"/>
      <c r="Q1313" s="86"/>
      <c r="R1313" s="86"/>
      <c r="S1313" s="86"/>
      <c r="T1313" s="86"/>
      <c r="U1313" s="86"/>
      <c r="V1313" s="86"/>
      <c r="W1313" s="86"/>
      <c r="X1313" s="86"/>
      <c r="Y1313" s="86"/>
      <c r="Z1313" s="86"/>
      <c r="AA1313" s="86"/>
      <c r="AB1313" s="86"/>
      <c r="AC1313" s="86"/>
      <c r="AD1313" s="86"/>
      <c r="AE1313" s="86"/>
      <c r="AF1313" s="86"/>
    </row>
    <row r="1314" spans="1:32">
      <c r="A1314" s="86"/>
      <c r="B1314" s="86"/>
      <c r="C1314" s="86"/>
      <c r="D1314" s="86"/>
      <c r="E1314" s="86"/>
      <c r="F1314" s="86"/>
      <c r="G1314" s="86"/>
      <c r="H1314" s="86"/>
      <c r="I1314" s="86"/>
      <c r="J1314" s="86"/>
      <c r="K1314" s="86"/>
      <c r="L1314" s="86"/>
      <c r="M1314" s="86"/>
      <c r="N1314" s="86"/>
      <c r="O1314" s="86"/>
      <c r="P1314" s="86"/>
      <c r="Q1314" s="86"/>
      <c r="R1314" s="86"/>
      <c r="S1314" s="86"/>
      <c r="T1314" s="86"/>
      <c r="U1314" s="86"/>
      <c r="V1314" s="86"/>
      <c r="W1314" s="86"/>
      <c r="X1314" s="86"/>
      <c r="Y1314" s="86"/>
      <c r="Z1314" s="86"/>
      <c r="AA1314" s="86"/>
      <c r="AB1314" s="86"/>
      <c r="AC1314" s="86"/>
      <c r="AD1314" s="86"/>
      <c r="AE1314" s="86"/>
      <c r="AF1314" s="86"/>
    </row>
    <row r="1315" spans="1:32">
      <c r="A1315" s="86"/>
      <c r="B1315" s="86"/>
      <c r="C1315" s="86"/>
      <c r="D1315" s="86"/>
      <c r="E1315" s="86"/>
      <c r="F1315" s="86"/>
      <c r="G1315" s="86"/>
      <c r="H1315" s="86"/>
      <c r="I1315" s="86"/>
      <c r="J1315" s="86"/>
      <c r="K1315" s="86"/>
      <c r="L1315" s="86"/>
      <c r="M1315" s="86"/>
      <c r="N1315" s="86"/>
      <c r="O1315" s="86"/>
      <c r="P1315" s="86"/>
      <c r="Q1315" s="86"/>
      <c r="R1315" s="86"/>
      <c r="S1315" s="86"/>
      <c r="T1315" s="86"/>
      <c r="U1315" s="86"/>
      <c r="V1315" s="86"/>
      <c r="W1315" s="86"/>
      <c r="X1315" s="86"/>
      <c r="Y1315" s="86"/>
      <c r="Z1315" s="86"/>
      <c r="AA1315" s="86"/>
      <c r="AB1315" s="86"/>
      <c r="AC1315" s="86"/>
      <c r="AD1315" s="86"/>
      <c r="AE1315" s="86"/>
      <c r="AF1315" s="86"/>
    </row>
    <row r="1316" spans="1:32">
      <c r="A1316" s="86"/>
      <c r="B1316" s="86"/>
      <c r="C1316" s="86"/>
      <c r="D1316" s="86"/>
      <c r="E1316" s="86"/>
      <c r="F1316" s="86"/>
      <c r="G1316" s="86"/>
      <c r="H1316" s="86"/>
      <c r="I1316" s="86"/>
      <c r="J1316" s="86"/>
      <c r="K1316" s="86"/>
      <c r="L1316" s="86"/>
      <c r="M1316" s="86"/>
      <c r="N1316" s="86"/>
      <c r="O1316" s="86"/>
      <c r="P1316" s="86"/>
      <c r="Q1316" s="86"/>
      <c r="R1316" s="86"/>
      <c r="S1316" s="86"/>
      <c r="T1316" s="86"/>
      <c r="U1316" s="86"/>
      <c r="V1316" s="86"/>
      <c r="W1316" s="86"/>
      <c r="X1316" s="86"/>
      <c r="Y1316" s="86"/>
      <c r="Z1316" s="86"/>
      <c r="AA1316" s="86"/>
      <c r="AB1316" s="86"/>
      <c r="AC1316" s="86"/>
      <c r="AD1316" s="86"/>
      <c r="AE1316" s="86"/>
      <c r="AF1316" s="86"/>
    </row>
    <row r="1317" spans="1:32">
      <c r="A1317" s="86"/>
      <c r="B1317" s="86"/>
      <c r="C1317" s="86"/>
      <c r="D1317" s="86"/>
      <c r="E1317" s="86"/>
      <c r="F1317" s="86"/>
      <c r="G1317" s="86"/>
      <c r="H1317" s="86"/>
      <c r="I1317" s="86"/>
      <c r="J1317" s="86"/>
      <c r="K1317" s="86"/>
      <c r="L1317" s="86"/>
      <c r="M1317" s="86"/>
      <c r="N1317" s="86"/>
      <c r="O1317" s="86"/>
      <c r="P1317" s="86"/>
      <c r="Q1317" s="86"/>
      <c r="R1317" s="86"/>
      <c r="S1317" s="86"/>
      <c r="T1317" s="86"/>
      <c r="U1317" s="86"/>
      <c r="V1317" s="86"/>
      <c r="W1317" s="86"/>
      <c r="X1317" s="86"/>
      <c r="Y1317" s="86"/>
      <c r="Z1317" s="86"/>
      <c r="AA1317" s="86"/>
      <c r="AB1317" s="86"/>
      <c r="AC1317" s="86"/>
      <c r="AD1317" s="86"/>
      <c r="AE1317" s="86"/>
      <c r="AF1317" s="86"/>
    </row>
    <row r="1318" spans="1:32">
      <c r="A1318" s="86"/>
      <c r="B1318" s="86"/>
      <c r="C1318" s="86"/>
      <c r="D1318" s="86"/>
      <c r="E1318" s="86"/>
      <c r="F1318" s="86"/>
      <c r="G1318" s="86"/>
      <c r="H1318" s="86"/>
      <c r="I1318" s="86"/>
      <c r="J1318" s="86"/>
      <c r="K1318" s="86"/>
      <c r="L1318" s="86"/>
      <c r="M1318" s="86"/>
      <c r="N1318" s="86"/>
      <c r="O1318" s="86"/>
      <c r="P1318" s="86"/>
      <c r="Q1318" s="86"/>
      <c r="R1318" s="86"/>
      <c r="S1318" s="86"/>
      <c r="T1318" s="86"/>
      <c r="U1318" s="86"/>
      <c r="V1318" s="86"/>
      <c r="W1318" s="86"/>
      <c r="X1318" s="86"/>
      <c r="Y1318" s="86"/>
      <c r="Z1318" s="86"/>
      <c r="AA1318" s="86"/>
      <c r="AB1318" s="86"/>
      <c r="AC1318" s="86"/>
      <c r="AD1318" s="86"/>
      <c r="AE1318" s="86"/>
      <c r="AF1318" s="86"/>
    </row>
    <row r="1319" spans="1:32">
      <c r="A1319" s="86"/>
      <c r="B1319" s="86"/>
      <c r="C1319" s="86"/>
      <c r="D1319" s="86"/>
      <c r="E1319" s="86"/>
      <c r="F1319" s="86"/>
      <c r="G1319" s="86"/>
      <c r="H1319" s="86"/>
      <c r="I1319" s="86"/>
      <c r="J1319" s="86"/>
      <c r="K1319" s="86"/>
      <c r="L1319" s="86"/>
      <c r="M1319" s="86"/>
      <c r="N1319" s="86"/>
      <c r="O1319" s="86"/>
      <c r="P1319" s="86"/>
      <c r="Q1319" s="86"/>
      <c r="R1319" s="86"/>
      <c r="S1319" s="86"/>
      <c r="T1319" s="86"/>
      <c r="U1319" s="86"/>
      <c r="V1319" s="86"/>
      <c r="W1319" s="86"/>
      <c r="X1319" s="86"/>
      <c r="Y1319" s="86"/>
      <c r="Z1319" s="86"/>
      <c r="AA1319" s="86"/>
      <c r="AB1319" s="86"/>
      <c r="AC1319" s="86"/>
      <c r="AD1319" s="86"/>
      <c r="AE1319" s="86"/>
      <c r="AF1319" s="86"/>
    </row>
    <row r="1320" spans="1:32">
      <c r="A1320" s="86"/>
      <c r="B1320" s="86"/>
      <c r="C1320" s="86"/>
      <c r="D1320" s="86"/>
      <c r="E1320" s="86"/>
      <c r="F1320" s="86"/>
      <c r="G1320" s="86"/>
      <c r="H1320" s="86"/>
      <c r="I1320" s="86"/>
      <c r="J1320" s="86"/>
      <c r="K1320" s="86"/>
      <c r="L1320" s="86"/>
      <c r="M1320" s="86"/>
      <c r="N1320" s="86"/>
      <c r="O1320" s="86"/>
      <c r="P1320" s="86"/>
      <c r="Q1320" s="86"/>
      <c r="R1320" s="86"/>
      <c r="S1320" s="86"/>
      <c r="T1320" s="86"/>
      <c r="U1320" s="86"/>
      <c r="V1320" s="86"/>
      <c r="W1320" s="86"/>
      <c r="X1320" s="86"/>
      <c r="Y1320" s="86"/>
      <c r="Z1320" s="86"/>
      <c r="AA1320" s="86"/>
      <c r="AB1320" s="86"/>
      <c r="AC1320" s="86"/>
      <c r="AD1320" s="86"/>
      <c r="AE1320" s="86"/>
      <c r="AF1320" s="86"/>
    </row>
    <row r="1321" spans="1:32">
      <c r="A1321" s="86"/>
      <c r="B1321" s="86"/>
      <c r="C1321" s="86"/>
      <c r="D1321" s="86"/>
      <c r="E1321" s="86"/>
      <c r="F1321" s="86"/>
      <c r="G1321" s="86"/>
      <c r="H1321" s="86"/>
      <c r="I1321" s="86"/>
      <c r="J1321" s="86"/>
      <c r="K1321" s="86"/>
      <c r="L1321" s="86"/>
      <c r="M1321" s="86"/>
      <c r="N1321" s="86"/>
      <c r="O1321" s="86"/>
      <c r="P1321" s="86"/>
      <c r="Q1321" s="86"/>
      <c r="R1321" s="86"/>
      <c r="S1321" s="86"/>
      <c r="T1321" s="86"/>
      <c r="U1321" s="86"/>
      <c r="V1321" s="86"/>
      <c r="W1321" s="86"/>
      <c r="X1321" s="86"/>
      <c r="Y1321" s="86"/>
      <c r="Z1321" s="86"/>
      <c r="AA1321" s="86"/>
      <c r="AB1321" s="86"/>
      <c r="AC1321" s="86"/>
      <c r="AD1321" s="86"/>
      <c r="AE1321" s="86"/>
      <c r="AF1321" s="86"/>
    </row>
    <row r="1322" spans="1:32">
      <c r="A1322" s="86"/>
      <c r="B1322" s="86"/>
      <c r="C1322" s="86"/>
      <c r="D1322" s="86"/>
      <c r="E1322" s="86"/>
      <c r="F1322" s="86"/>
      <c r="G1322" s="86"/>
      <c r="H1322" s="86"/>
      <c r="I1322" s="86"/>
      <c r="J1322" s="86"/>
      <c r="K1322" s="86"/>
      <c r="L1322" s="86"/>
      <c r="M1322" s="86"/>
      <c r="N1322" s="86"/>
      <c r="O1322" s="86"/>
      <c r="P1322" s="86"/>
      <c r="Q1322" s="86"/>
      <c r="R1322" s="86"/>
      <c r="S1322" s="86"/>
      <c r="T1322" s="86"/>
      <c r="U1322" s="86"/>
      <c r="V1322" s="86"/>
      <c r="W1322" s="86"/>
      <c r="X1322" s="86"/>
      <c r="Y1322" s="86"/>
      <c r="Z1322" s="86"/>
      <c r="AA1322" s="86"/>
      <c r="AB1322" s="86"/>
      <c r="AC1322" s="86"/>
      <c r="AD1322" s="86"/>
      <c r="AE1322" s="86"/>
      <c r="AF1322" s="86"/>
    </row>
    <row r="1323" spans="1:32">
      <c r="A1323" s="86"/>
      <c r="B1323" s="86"/>
      <c r="C1323" s="86"/>
      <c r="D1323" s="86"/>
      <c r="E1323" s="86"/>
      <c r="F1323" s="86"/>
      <c r="G1323" s="86"/>
      <c r="H1323" s="86"/>
      <c r="I1323" s="86"/>
      <c r="J1323" s="86"/>
      <c r="K1323" s="86"/>
      <c r="L1323" s="86"/>
      <c r="M1323" s="86"/>
      <c r="N1323" s="86"/>
      <c r="O1323" s="86"/>
      <c r="P1323" s="86"/>
      <c r="Q1323" s="86"/>
      <c r="R1323" s="86"/>
      <c r="S1323" s="86"/>
      <c r="T1323" s="86"/>
      <c r="U1323" s="86"/>
      <c r="V1323" s="86"/>
      <c r="W1323" s="86"/>
      <c r="X1323" s="86"/>
      <c r="Y1323" s="86"/>
      <c r="Z1323" s="86"/>
      <c r="AA1323" s="86"/>
      <c r="AB1323" s="86"/>
      <c r="AC1323" s="86"/>
      <c r="AD1323" s="86"/>
      <c r="AE1323" s="86"/>
      <c r="AF1323" s="86"/>
    </row>
    <row r="1324" spans="1:32">
      <c r="A1324" s="86"/>
      <c r="B1324" s="86"/>
      <c r="C1324" s="86"/>
      <c r="D1324" s="86"/>
      <c r="E1324" s="86"/>
      <c r="F1324" s="86"/>
      <c r="G1324" s="86"/>
      <c r="H1324" s="86"/>
      <c r="I1324" s="86"/>
      <c r="J1324" s="86"/>
      <c r="K1324" s="86"/>
      <c r="L1324" s="86"/>
      <c r="M1324" s="86"/>
      <c r="N1324" s="86"/>
      <c r="O1324" s="86"/>
      <c r="P1324" s="86"/>
      <c r="Q1324" s="86"/>
      <c r="R1324" s="86"/>
      <c r="S1324" s="86"/>
      <c r="T1324" s="86"/>
      <c r="U1324" s="86"/>
      <c r="V1324" s="86"/>
      <c r="W1324" s="86"/>
      <c r="X1324" s="86"/>
      <c r="Y1324" s="86"/>
      <c r="Z1324" s="86"/>
      <c r="AA1324" s="86"/>
      <c r="AB1324" s="86"/>
      <c r="AC1324" s="86"/>
      <c r="AD1324" s="86"/>
      <c r="AE1324" s="86"/>
      <c r="AF1324" s="86"/>
    </row>
    <row r="1325" spans="1:32">
      <c r="A1325" s="86"/>
      <c r="B1325" s="86"/>
      <c r="C1325" s="86"/>
      <c r="D1325" s="86"/>
      <c r="E1325" s="86"/>
      <c r="F1325" s="86"/>
      <c r="G1325" s="86"/>
      <c r="H1325" s="86"/>
      <c r="I1325" s="86"/>
      <c r="J1325" s="86"/>
      <c r="K1325" s="86"/>
      <c r="L1325" s="86"/>
      <c r="M1325" s="86"/>
      <c r="N1325" s="86"/>
      <c r="O1325" s="86"/>
      <c r="P1325" s="86"/>
      <c r="Q1325" s="86"/>
      <c r="R1325" s="86"/>
      <c r="S1325" s="86"/>
      <c r="T1325" s="86"/>
      <c r="U1325" s="86"/>
      <c r="V1325" s="86"/>
      <c r="W1325" s="86"/>
      <c r="X1325" s="86"/>
      <c r="Y1325" s="86"/>
      <c r="Z1325" s="86"/>
      <c r="AA1325" s="86"/>
      <c r="AB1325" s="86"/>
      <c r="AC1325" s="86"/>
      <c r="AD1325" s="86"/>
      <c r="AE1325" s="86"/>
      <c r="AF1325" s="86"/>
    </row>
    <row r="1326" spans="1:32">
      <c r="A1326" s="86"/>
      <c r="B1326" s="86"/>
      <c r="C1326" s="86"/>
      <c r="D1326" s="86"/>
      <c r="E1326" s="86"/>
      <c r="F1326" s="86"/>
      <c r="G1326" s="86"/>
      <c r="H1326" s="86"/>
      <c r="I1326" s="86"/>
      <c r="J1326" s="86"/>
      <c r="K1326" s="86"/>
      <c r="L1326" s="86"/>
      <c r="M1326" s="86"/>
      <c r="N1326" s="86"/>
      <c r="O1326" s="86"/>
      <c r="P1326" s="86"/>
      <c r="Q1326" s="86"/>
      <c r="R1326" s="86"/>
      <c r="S1326" s="86"/>
      <c r="T1326" s="86"/>
      <c r="U1326" s="86"/>
      <c r="V1326" s="86"/>
      <c r="W1326" s="86"/>
      <c r="X1326" s="86"/>
      <c r="Y1326" s="86"/>
      <c r="Z1326" s="86"/>
      <c r="AA1326" s="86"/>
      <c r="AB1326" s="86"/>
      <c r="AC1326" s="86"/>
      <c r="AD1326" s="86"/>
      <c r="AE1326" s="86"/>
      <c r="AF1326" s="86"/>
    </row>
    <row r="1327" spans="1:32">
      <c r="A1327" s="86"/>
      <c r="B1327" s="86"/>
      <c r="C1327" s="86"/>
      <c r="D1327" s="86"/>
      <c r="E1327" s="86"/>
      <c r="F1327" s="86"/>
      <c r="G1327" s="86"/>
      <c r="H1327" s="86"/>
      <c r="I1327" s="86"/>
      <c r="J1327" s="86"/>
      <c r="K1327" s="86"/>
      <c r="L1327" s="86"/>
      <c r="M1327" s="86"/>
      <c r="N1327" s="86"/>
      <c r="O1327" s="86"/>
      <c r="P1327" s="86"/>
      <c r="Q1327" s="86"/>
      <c r="R1327" s="86"/>
      <c r="S1327" s="86"/>
      <c r="T1327" s="86"/>
      <c r="U1327" s="86"/>
      <c r="V1327" s="86"/>
      <c r="W1327" s="86"/>
      <c r="X1327" s="86"/>
      <c r="Y1327" s="86"/>
      <c r="Z1327" s="86"/>
      <c r="AA1327" s="86"/>
      <c r="AB1327" s="86"/>
      <c r="AC1327" s="86"/>
      <c r="AD1327" s="86"/>
      <c r="AE1327" s="86"/>
      <c r="AF1327" s="86"/>
    </row>
    <row r="1328" spans="1:32">
      <c r="A1328" s="86"/>
      <c r="B1328" s="86"/>
      <c r="C1328" s="86"/>
      <c r="D1328" s="86"/>
      <c r="E1328" s="86"/>
      <c r="F1328" s="86"/>
      <c r="G1328" s="86"/>
      <c r="H1328" s="86"/>
      <c r="I1328" s="86"/>
      <c r="J1328" s="86"/>
      <c r="K1328" s="86"/>
      <c r="L1328" s="86"/>
      <c r="M1328" s="86"/>
      <c r="N1328" s="86"/>
      <c r="O1328" s="86"/>
      <c r="P1328" s="86"/>
      <c r="Q1328" s="86"/>
      <c r="R1328" s="86"/>
      <c r="S1328" s="86"/>
      <c r="T1328" s="86"/>
      <c r="U1328" s="86"/>
      <c r="V1328" s="86"/>
      <c r="W1328" s="86"/>
      <c r="X1328" s="86"/>
      <c r="Y1328" s="86"/>
      <c r="Z1328" s="86"/>
      <c r="AA1328" s="86"/>
      <c r="AB1328" s="86"/>
      <c r="AC1328" s="86"/>
      <c r="AD1328" s="86"/>
      <c r="AE1328" s="86"/>
      <c r="AF1328" s="86"/>
    </row>
    <row r="1329" spans="1:32">
      <c r="A1329" s="86"/>
      <c r="B1329" s="86"/>
      <c r="C1329" s="86"/>
      <c r="D1329" s="86"/>
      <c r="E1329" s="86"/>
      <c r="F1329" s="86"/>
      <c r="G1329" s="86"/>
      <c r="H1329" s="86"/>
      <c r="I1329" s="86"/>
      <c r="J1329" s="86"/>
      <c r="K1329" s="86"/>
      <c r="L1329" s="86"/>
      <c r="M1329" s="86"/>
      <c r="N1329" s="86"/>
      <c r="O1329" s="86"/>
      <c r="P1329" s="86"/>
      <c r="Q1329" s="86"/>
      <c r="R1329" s="86"/>
      <c r="S1329" s="86"/>
      <c r="T1329" s="86"/>
      <c r="U1329" s="86"/>
      <c r="V1329" s="86"/>
      <c r="W1329" s="86"/>
      <c r="X1329" s="86"/>
      <c r="Y1329" s="86"/>
      <c r="Z1329" s="86"/>
      <c r="AA1329" s="86"/>
      <c r="AB1329" s="86"/>
      <c r="AC1329" s="86"/>
      <c r="AD1329" s="86"/>
      <c r="AE1329" s="86"/>
      <c r="AF1329" s="86"/>
    </row>
    <row r="1330" spans="1:32">
      <c r="A1330" s="86"/>
      <c r="B1330" s="86"/>
      <c r="C1330" s="86"/>
      <c r="D1330" s="86"/>
      <c r="E1330" s="86"/>
      <c r="F1330" s="86"/>
      <c r="G1330" s="86"/>
      <c r="H1330" s="86"/>
      <c r="I1330" s="86"/>
      <c r="J1330" s="86"/>
      <c r="K1330" s="86"/>
      <c r="L1330" s="86"/>
      <c r="M1330" s="86"/>
      <c r="N1330" s="86"/>
      <c r="O1330" s="86"/>
      <c r="P1330" s="86"/>
      <c r="Q1330" s="86"/>
      <c r="R1330" s="86"/>
      <c r="S1330" s="86"/>
      <c r="T1330" s="86"/>
      <c r="U1330" s="86"/>
      <c r="V1330" s="86"/>
      <c r="W1330" s="86"/>
      <c r="X1330" s="86"/>
      <c r="Y1330" s="86"/>
      <c r="Z1330" s="86"/>
      <c r="AA1330" s="86"/>
      <c r="AB1330" s="86"/>
      <c r="AC1330" s="86"/>
      <c r="AD1330" s="86"/>
      <c r="AE1330" s="86"/>
      <c r="AF1330" s="86"/>
    </row>
    <row r="1331" spans="1:32">
      <c r="A1331" s="86"/>
      <c r="B1331" s="86"/>
      <c r="C1331" s="86"/>
      <c r="D1331" s="86"/>
      <c r="E1331" s="86"/>
      <c r="F1331" s="86"/>
      <c r="G1331" s="86"/>
      <c r="H1331" s="86"/>
      <c r="I1331" s="86"/>
      <c r="J1331" s="86"/>
      <c r="K1331" s="86"/>
      <c r="L1331" s="86"/>
      <c r="M1331" s="86"/>
      <c r="N1331" s="86"/>
      <c r="O1331" s="86"/>
      <c r="P1331" s="86"/>
      <c r="Q1331" s="86"/>
      <c r="R1331" s="86"/>
      <c r="S1331" s="86"/>
      <c r="T1331" s="86"/>
      <c r="U1331" s="86"/>
      <c r="V1331" s="86"/>
      <c r="W1331" s="86"/>
      <c r="X1331" s="86"/>
      <c r="Y1331" s="86"/>
      <c r="Z1331" s="86"/>
      <c r="AA1331" s="86"/>
      <c r="AB1331" s="86"/>
      <c r="AC1331" s="86"/>
      <c r="AD1331" s="86"/>
      <c r="AE1331" s="86"/>
      <c r="AF1331" s="86"/>
    </row>
    <row r="1332" spans="1:32">
      <c r="A1332" s="86"/>
      <c r="B1332" s="86"/>
      <c r="C1332" s="86"/>
      <c r="D1332" s="86"/>
      <c r="E1332" s="86"/>
      <c r="F1332" s="86"/>
      <c r="G1332" s="86"/>
      <c r="H1332" s="86"/>
      <c r="I1332" s="86"/>
      <c r="J1332" s="86"/>
      <c r="K1332" s="86"/>
      <c r="L1332" s="86"/>
      <c r="M1332" s="86"/>
      <c r="N1332" s="86"/>
      <c r="O1332" s="86"/>
      <c r="P1332" s="86"/>
      <c r="Q1332" s="86"/>
      <c r="R1332" s="86"/>
      <c r="S1332" s="86"/>
      <c r="T1332" s="86"/>
      <c r="U1332" s="86"/>
      <c r="V1332" s="86"/>
      <c r="W1332" s="86"/>
      <c r="X1332" s="86"/>
      <c r="Y1332" s="86"/>
      <c r="Z1332" s="86"/>
      <c r="AA1332" s="86"/>
      <c r="AB1332" s="86"/>
      <c r="AC1332" s="86"/>
      <c r="AD1332" s="86"/>
      <c r="AE1332" s="86"/>
      <c r="AF1332" s="86"/>
    </row>
    <row r="1333" spans="1:32">
      <c r="A1333" s="86"/>
      <c r="B1333" s="86"/>
      <c r="C1333" s="86"/>
      <c r="D1333" s="86"/>
      <c r="E1333" s="86"/>
      <c r="F1333" s="86"/>
      <c r="G1333" s="86"/>
      <c r="H1333" s="86"/>
      <c r="I1333" s="86"/>
      <c r="J1333" s="86"/>
      <c r="K1333" s="86"/>
      <c r="L1333" s="86"/>
      <c r="M1333" s="86"/>
      <c r="N1333" s="86"/>
      <c r="O1333" s="86"/>
      <c r="P1333" s="86"/>
      <c r="Q1333" s="86"/>
      <c r="R1333" s="86"/>
      <c r="S1333" s="86"/>
      <c r="T1333" s="86"/>
      <c r="U1333" s="86"/>
      <c r="V1333" s="86"/>
      <c r="W1333" s="86"/>
      <c r="X1333" s="86"/>
      <c r="Y1333" s="86"/>
      <c r="Z1333" s="86"/>
      <c r="AA1333" s="86"/>
      <c r="AB1333" s="86"/>
      <c r="AC1333" s="86"/>
      <c r="AD1333" s="86"/>
      <c r="AE1333" s="86"/>
      <c r="AF1333" s="86"/>
    </row>
    <row r="1334" spans="1:32">
      <c r="A1334" s="86"/>
      <c r="B1334" s="86"/>
      <c r="C1334" s="86"/>
      <c r="D1334" s="86"/>
      <c r="E1334" s="86"/>
      <c r="F1334" s="86"/>
      <c r="G1334" s="86"/>
      <c r="H1334" s="86"/>
      <c r="I1334" s="86"/>
      <c r="J1334" s="86"/>
      <c r="K1334" s="86"/>
      <c r="L1334" s="86"/>
      <c r="M1334" s="86"/>
      <c r="N1334" s="86"/>
      <c r="O1334" s="86"/>
      <c r="P1334" s="86"/>
      <c r="Q1334" s="86"/>
      <c r="R1334" s="86"/>
      <c r="S1334" s="86"/>
      <c r="T1334" s="86"/>
      <c r="U1334" s="86"/>
      <c r="V1334" s="86"/>
      <c r="W1334" s="86"/>
      <c r="X1334" s="86"/>
      <c r="Y1334" s="86"/>
      <c r="Z1334" s="86"/>
      <c r="AA1334" s="86"/>
      <c r="AB1334" s="86"/>
      <c r="AC1334" s="86"/>
      <c r="AD1334" s="86"/>
      <c r="AE1334" s="86"/>
      <c r="AF1334" s="86"/>
    </row>
    <row r="1335" spans="1:32">
      <c r="A1335" s="86"/>
      <c r="B1335" s="86"/>
      <c r="C1335" s="86"/>
      <c r="D1335" s="86"/>
      <c r="E1335" s="86"/>
      <c r="F1335" s="86"/>
      <c r="G1335" s="86"/>
      <c r="H1335" s="86"/>
      <c r="I1335" s="86"/>
      <c r="J1335" s="86"/>
      <c r="K1335" s="86"/>
      <c r="L1335" s="86"/>
      <c r="M1335" s="86"/>
      <c r="N1335" s="86"/>
      <c r="O1335" s="86"/>
      <c r="P1335" s="86"/>
      <c r="Q1335" s="86"/>
      <c r="R1335" s="86"/>
      <c r="S1335" s="86"/>
      <c r="T1335" s="86"/>
      <c r="U1335" s="86"/>
      <c r="V1335" s="86"/>
      <c r="W1335" s="86"/>
      <c r="X1335" s="86"/>
      <c r="Y1335" s="86"/>
      <c r="Z1335" s="86"/>
      <c r="AA1335" s="86"/>
      <c r="AB1335" s="86"/>
      <c r="AC1335" s="86"/>
      <c r="AD1335" s="86"/>
      <c r="AE1335" s="86"/>
      <c r="AF1335" s="86"/>
    </row>
    <row r="1336" spans="1:32">
      <c r="A1336" s="86"/>
      <c r="B1336" s="86"/>
      <c r="C1336" s="86"/>
      <c r="D1336" s="86"/>
      <c r="E1336" s="86"/>
      <c r="F1336" s="86"/>
      <c r="G1336" s="86"/>
      <c r="H1336" s="86"/>
      <c r="I1336" s="86"/>
      <c r="J1336" s="86"/>
      <c r="K1336" s="86"/>
      <c r="L1336" s="86"/>
      <c r="M1336" s="86"/>
      <c r="N1336" s="86"/>
      <c r="O1336" s="86"/>
      <c r="P1336" s="86"/>
      <c r="Q1336" s="86"/>
      <c r="R1336" s="86"/>
      <c r="S1336" s="86"/>
      <c r="T1336" s="86"/>
      <c r="U1336" s="86"/>
      <c r="V1336" s="86"/>
      <c r="W1336" s="86"/>
      <c r="X1336" s="86"/>
      <c r="Y1336" s="86"/>
      <c r="Z1336" s="86"/>
      <c r="AA1336" s="86"/>
      <c r="AB1336" s="86"/>
      <c r="AC1336" s="86"/>
      <c r="AD1336" s="86"/>
      <c r="AE1336" s="86"/>
      <c r="AF1336" s="86"/>
    </row>
    <row r="1337" spans="1:32">
      <c r="A1337" s="86"/>
      <c r="B1337" s="86"/>
      <c r="C1337" s="86"/>
      <c r="D1337" s="86"/>
      <c r="E1337" s="86"/>
      <c r="F1337" s="86"/>
      <c r="G1337" s="86"/>
      <c r="H1337" s="86"/>
      <c r="I1337" s="86"/>
      <c r="J1337" s="86"/>
      <c r="K1337" s="86"/>
      <c r="L1337" s="86"/>
      <c r="M1337" s="86"/>
      <c r="N1337" s="86"/>
      <c r="O1337" s="86"/>
      <c r="P1337" s="86"/>
      <c r="Q1337" s="86"/>
      <c r="R1337" s="86"/>
      <c r="S1337" s="86"/>
      <c r="T1337" s="86"/>
      <c r="U1337" s="86"/>
      <c r="V1337" s="86"/>
      <c r="W1337" s="86"/>
      <c r="X1337" s="86"/>
      <c r="Y1337" s="86"/>
      <c r="Z1337" s="86"/>
      <c r="AA1337" s="86"/>
      <c r="AB1337" s="86"/>
      <c r="AC1337" s="86"/>
      <c r="AD1337" s="86"/>
      <c r="AE1337" s="86"/>
      <c r="AF1337" s="86"/>
    </row>
    <row r="1338" spans="1:32">
      <c r="A1338" s="86"/>
      <c r="B1338" s="86"/>
      <c r="C1338" s="86"/>
      <c r="D1338" s="86"/>
      <c r="E1338" s="86"/>
      <c r="F1338" s="86"/>
      <c r="G1338" s="86"/>
      <c r="H1338" s="86"/>
      <c r="I1338" s="86"/>
      <c r="J1338" s="86"/>
      <c r="K1338" s="86"/>
      <c r="L1338" s="86"/>
      <c r="M1338" s="86"/>
      <c r="N1338" s="86"/>
      <c r="O1338" s="86"/>
      <c r="P1338" s="86"/>
      <c r="Q1338" s="86"/>
      <c r="R1338" s="86"/>
      <c r="S1338" s="86"/>
      <c r="T1338" s="86"/>
      <c r="U1338" s="86"/>
      <c r="V1338" s="86"/>
      <c r="W1338" s="86"/>
      <c r="X1338" s="86"/>
      <c r="Y1338" s="86"/>
      <c r="Z1338" s="86"/>
      <c r="AA1338" s="86"/>
      <c r="AB1338" s="86"/>
      <c r="AC1338" s="86"/>
      <c r="AD1338" s="86"/>
      <c r="AE1338" s="86"/>
      <c r="AF1338" s="86"/>
    </row>
    <row r="1339" spans="1:32">
      <c r="A1339" s="86"/>
      <c r="B1339" s="86"/>
      <c r="C1339" s="86"/>
      <c r="D1339" s="86"/>
      <c r="E1339" s="86"/>
      <c r="F1339" s="86"/>
      <c r="G1339" s="86"/>
      <c r="H1339" s="86"/>
      <c r="I1339" s="86"/>
      <c r="J1339" s="86"/>
      <c r="K1339" s="86"/>
      <c r="L1339" s="86"/>
      <c r="M1339" s="86"/>
      <c r="N1339" s="86"/>
      <c r="O1339" s="86"/>
      <c r="P1339" s="86"/>
      <c r="Q1339" s="86"/>
      <c r="R1339" s="86"/>
      <c r="S1339" s="86"/>
      <c r="T1339" s="86"/>
      <c r="U1339" s="86"/>
      <c r="V1339" s="86"/>
      <c r="W1339" s="86"/>
      <c r="X1339" s="86"/>
      <c r="Y1339" s="86"/>
      <c r="Z1339" s="86"/>
      <c r="AA1339" s="86"/>
      <c r="AB1339" s="86"/>
      <c r="AC1339" s="86"/>
      <c r="AD1339" s="86"/>
      <c r="AE1339" s="86"/>
      <c r="AF1339" s="86"/>
    </row>
    <row r="1340" spans="1:32">
      <c r="A1340" s="86"/>
      <c r="B1340" s="86"/>
      <c r="C1340" s="86"/>
      <c r="D1340" s="86"/>
      <c r="E1340" s="86"/>
      <c r="F1340" s="86"/>
      <c r="G1340" s="86"/>
      <c r="H1340" s="86"/>
      <c r="I1340" s="86"/>
      <c r="J1340" s="86"/>
      <c r="K1340" s="86"/>
      <c r="L1340" s="86"/>
      <c r="M1340" s="86"/>
      <c r="N1340" s="86"/>
      <c r="O1340" s="86"/>
      <c r="P1340" s="86"/>
      <c r="Q1340" s="86"/>
      <c r="R1340" s="86"/>
      <c r="S1340" s="86"/>
      <c r="T1340" s="86"/>
      <c r="U1340" s="86"/>
      <c r="V1340" s="86"/>
      <c r="W1340" s="86"/>
      <c r="X1340" s="86"/>
      <c r="Y1340" s="86"/>
      <c r="Z1340" s="86"/>
      <c r="AA1340" s="86"/>
      <c r="AB1340" s="86"/>
      <c r="AC1340" s="86"/>
      <c r="AD1340" s="86"/>
      <c r="AE1340" s="86"/>
      <c r="AF1340" s="86"/>
    </row>
    <row r="1341" spans="1:32">
      <c r="A1341" s="86"/>
      <c r="B1341" s="86"/>
      <c r="C1341" s="86"/>
      <c r="D1341" s="86"/>
      <c r="E1341" s="86"/>
      <c r="F1341" s="86"/>
      <c r="G1341" s="86"/>
      <c r="H1341" s="86"/>
      <c r="I1341" s="86"/>
      <c r="J1341" s="86"/>
      <c r="K1341" s="86"/>
      <c r="L1341" s="86"/>
      <c r="M1341" s="86"/>
      <c r="N1341" s="86"/>
      <c r="O1341" s="86"/>
      <c r="P1341" s="86"/>
      <c r="Q1341" s="86"/>
      <c r="R1341" s="86"/>
      <c r="S1341" s="86"/>
      <c r="T1341" s="86"/>
      <c r="U1341" s="86"/>
      <c r="V1341" s="86"/>
      <c r="W1341" s="86"/>
      <c r="X1341" s="86"/>
      <c r="Y1341" s="86"/>
      <c r="Z1341" s="86"/>
      <c r="AA1341" s="86"/>
      <c r="AB1341" s="86"/>
      <c r="AC1341" s="86"/>
      <c r="AD1341" s="86"/>
      <c r="AE1341" s="86"/>
      <c r="AF1341" s="86"/>
    </row>
    <row r="1342" spans="1:32">
      <c r="A1342" s="86"/>
      <c r="B1342" s="86"/>
      <c r="C1342" s="86"/>
      <c r="D1342" s="86"/>
      <c r="E1342" s="86"/>
      <c r="F1342" s="86"/>
      <c r="G1342" s="86"/>
      <c r="H1342" s="86"/>
      <c r="I1342" s="86"/>
      <c r="J1342" s="86"/>
      <c r="K1342" s="86"/>
      <c r="L1342" s="86"/>
      <c r="M1342" s="86"/>
      <c r="N1342" s="86"/>
      <c r="O1342" s="86"/>
      <c r="P1342" s="86"/>
      <c r="Q1342" s="86"/>
      <c r="R1342" s="86"/>
      <c r="S1342" s="86"/>
      <c r="T1342" s="86"/>
      <c r="U1342" s="86"/>
      <c r="V1342" s="86"/>
      <c r="W1342" s="86"/>
      <c r="X1342" s="86"/>
      <c r="Y1342" s="86"/>
      <c r="Z1342" s="86"/>
      <c r="AA1342" s="86"/>
      <c r="AB1342" s="86"/>
      <c r="AC1342" s="86"/>
      <c r="AD1342" s="86"/>
      <c r="AE1342" s="86"/>
      <c r="AF1342" s="86"/>
    </row>
    <row r="1343" spans="1:32">
      <c r="A1343" s="86"/>
      <c r="B1343" s="86"/>
      <c r="C1343" s="86"/>
      <c r="D1343" s="86"/>
      <c r="E1343" s="86"/>
      <c r="F1343" s="86"/>
      <c r="G1343" s="86"/>
      <c r="H1343" s="86"/>
      <c r="I1343" s="86"/>
      <c r="J1343" s="86"/>
      <c r="K1343" s="86"/>
      <c r="L1343" s="86"/>
      <c r="M1343" s="86"/>
      <c r="N1343" s="86"/>
      <c r="O1343" s="86"/>
      <c r="P1343" s="86"/>
      <c r="Q1343" s="86"/>
      <c r="R1343" s="86"/>
      <c r="S1343" s="86"/>
      <c r="T1343" s="86"/>
      <c r="U1343" s="86"/>
      <c r="V1343" s="86"/>
      <c r="W1343" s="86"/>
      <c r="X1343" s="86"/>
      <c r="Y1343" s="86"/>
      <c r="Z1343" s="86"/>
      <c r="AA1343" s="86"/>
      <c r="AB1343" s="86"/>
      <c r="AC1343" s="86"/>
      <c r="AD1343" s="86"/>
      <c r="AE1343" s="86"/>
      <c r="AF1343" s="86"/>
    </row>
    <row r="1344" spans="1:32">
      <c r="A1344" s="86"/>
      <c r="B1344" s="86"/>
      <c r="C1344" s="86"/>
      <c r="D1344" s="86"/>
      <c r="E1344" s="86"/>
      <c r="F1344" s="86"/>
      <c r="G1344" s="86"/>
      <c r="H1344" s="86"/>
      <c r="I1344" s="86"/>
      <c r="J1344" s="86"/>
      <c r="K1344" s="86"/>
      <c r="L1344" s="86"/>
      <c r="M1344" s="86"/>
      <c r="N1344" s="86"/>
      <c r="O1344" s="86"/>
      <c r="P1344" s="86"/>
      <c r="Q1344" s="86"/>
      <c r="R1344" s="86"/>
      <c r="S1344" s="86"/>
      <c r="T1344" s="86"/>
      <c r="U1344" s="86"/>
      <c r="V1344" s="86"/>
      <c r="W1344" s="86"/>
      <c r="X1344" s="86"/>
      <c r="Y1344" s="86"/>
      <c r="Z1344" s="86"/>
      <c r="AA1344" s="86"/>
      <c r="AB1344" s="86"/>
      <c r="AC1344" s="86"/>
      <c r="AD1344" s="86"/>
      <c r="AE1344" s="86"/>
      <c r="AF1344" s="86"/>
    </row>
    <row r="1345" spans="1:32">
      <c r="A1345" s="86"/>
      <c r="B1345" s="86"/>
      <c r="C1345" s="86"/>
      <c r="D1345" s="86"/>
      <c r="E1345" s="86"/>
      <c r="F1345" s="86"/>
      <c r="G1345" s="86"/>
      <c r="H1345" s="86"/>
      <c r="I1345" s="86"/>
      <c r="J1345" s="86"/>
      <c r="K1345" s="86"/>
      <c r="L1345" s="86"/>
      <c r="M1345" s="86"/>
      <c r="N1345" s="86"/>
      <c r="O1345" s="86"/>
      <c r="P1345" s="86"/>
      <c r="Q1345" s="86"/>
      <c r="R1345" s="86"/>
      <c r="S1345" s="86"/>
      <c r="T1345" s="86"/>
      <c r="U1345" s="86"/>
      <c r="V1345" s="86"/>
      <c r="W1345" s="86"/>
      <c r="X1345" s="86"/>
      <c r="Y1345" s="86"/>
      <c r="Z1345" s="86"/>
      <c r="AA1345" s="86"/>
      <c r="AB1345" s="86"/>
      <c r="AC1345" s="86"/>
      <c r="AD1345" s="86"/>
      <c r="AE1345" s="86"/>
      <c r="AF1345" s="86"/>
    </row>
    <row r="1346" spans="1:32">
      <c r="A1346" s="86"/>
      <c r="B1346" s="86"/>
      <c r="C1346" s="86"/>
      <c r="D1346" s="86"/>
      <c r="E1346" s="86"/>
      <c r="F1346" s="86"/>
      <c r="G1346" s="86"/>
      <c r="H1346" s="86"/>
      <c r="I1346" s="86"/>
      <c r="J1346" s="86"/>
      <c r="K1346" s="86"/>
      <c r="L1346" s="86"/>
      <c r="M1346" s="86"/>
      <c r="N1346" s="86"/>
      <c r="O1346" s="86"/>
      <c r="P1346" s="86"/>
      <c r="Q1346" s="86"/>
      <c r="R1346" s="86"/>
      <c r="S1346" s="86"/>
      <c r="T1346" s="86"/>
      <c r="U1346" s="86"/>
      <c r="V1346" s="86"/>
      <c r="W1346" s="86"/>
      <c r="X1346" s="86"/>
      <c r="Y1346" s="86"/>
      <c r="Z1346" s="86"/>
      <c r="AA1346" s="86"/>
      <c r="AB1346" s="86"/>
      <c r="AC1346" s="86"/>
      <c r="AD1346" s="86"/>
      <c r="AE1346" s="86"/>
      <c r="AF1346" s="86"/>
    </row>
    <row r="1347" spans="1:32">
      <c r="A1347" s="86"/>
      <c r="B1347" s="86"/>
      <c r="C1347" s="86"/>
      <c r="D1347" s="86"/>
      <c r="E1347" s="86"/>
      <c r="F1347" s="86"/>
      <c r="G1347" s="86"/>
      <c r="H1347" s="86"/>
      <c r="I1347" s="86"/>
      <c r="J1347" s="86"/>
      <c r="K1347" s="86"/>
      <c r="L1347" s="86"/>
      <c r="M1347" s="86"/>
      <c r="N1347" s="86"/>
      <c r="O1347" s="86"/>
      <c r="P1347" s="86"/>
      <c r="Q1347" s="86"/>
      <c r="R1347" s="86"/>
      <c r="S1347" s="86"/>
      <c r="T1347" s="86"/>
      <c r="U1347" s="86"/>
      <c r="V1347" s="86"/>
      <c r="W1347" s="86"/>
      <c r="X1347" s="86"/>
      <c r="Y1347" s="86"/>
      <c r="Z1347" s="86"/>
      <c r="AA1347" s="86"/>
      <c r="AB1347" s="86"/>
      <c r="AC1347" s="86"/>
      <c r="AD1347" s="86"/>
      <c r="AE1347" s="86"/>
      <c r="AF1347" s="86"/>
    </row>
    <row r="1348" spans="1:32">
      <c r="A1348" s="86"/>
      <c r="B1348" s="86"/>
      <c r="C1348" s="86"/>
      <c r="D1348" s="86"/>
      <c r="E1348" s="86"/>
      <c r="F1348" s="86"/>
      <c r="G1348" s="86"/>
      <c r="H1348" s="86"/>
      <c r="I1348" s="86"/>
      <c r="J1348" s="86"/>
      <c r="K1348" s="86"/>
      <c r="L1348" s="86"/>
      <c r="M1348" s="86"/>
      <c r="N1348" s="86"/>
      <c r="O1348" s="86"/>
      <c r="P1348" s="86"/>
      <c r="Q1348" s="86"/>
      <c r="R1348" s="86"/>
      <c r="S1348" s="86"/>
      <c r="T1348" s="86"/>
      <c r="U1348" s="86"/>
      <c r="V1348" s="86"/>
      <c r="W1348" s="86"/>
      <c r="X1348" s="86"/>
      <c r="Y1348" s="86"/>
      <c r="Z1348" s="86"/>
      <c r="AA1348" s="86"/>
      <c r="AB1348" s="86"/>
      <c r="AC1348" s="86"/>
      <c r="AD1348" s="86"/>
      <c r="AE1348" s="86"/>
      <c r="AF1348" s="86"/>
    </row>
    <row r="1349" spans="1:32">
      <c r="A1349" s="86"/>
      <c r="B1349" s="86"/>
      <c r="C1349" s="86"/>
      <c r="D1349" s="86"/>
      <c r="E1349" s="86"/>
      <c r="F1349" s="86"/>
      <c r="G1349" s="86"/>
      <c r="H1349" s="86"/>
      <c r="I1349" s="86"/>
      <c r="J1349" s="86"/>
      <c r="K1349" s="86"/>
      <c r="L1349" s="86"/>
      <c r="M1349" s="86"/>
      <c r="N1349" s="86"/>
      <c r="O1349" s="86"/>
      <c r="P1349" s="86"/>
      <c r="Q1349" s="86"/>
      <c r="R1349" s="86"/>
      <c r="S1349" s="86"/>
      <c r="T1349" s="86"/>
      <c r="U1349" s="86"/>
      <c r="V1349" s="86"/>
      <c r="W1349" s="86"/>
      <c r="X1349" s="86"/>
      <c r="Y1349" s="86"/>
      <c r="Z1349" s="86"/>
      <c r="AA1349" s="86"/>
      <c r="AB1349" s="86"/>
      <c r="AC1349" s="86"/>
      <c r="AD1349" s="86"/>
      <c r="AE1349" s="86"/>
      <c r="AF1349" s="86"/>
    </row>
    <row r="1350" spans="1:32">
      <c r="A1350" s="86"/>
      <c r="B1350" s="86"/>
      <c r="C1350" s="86"/>
      <c r="D1350" s="86"/>
      <c r="E1350" s="86"/>
      <c r="F1350" s="86"/>
      <c r="G1350" s="86"/>
      <c r="H1350" s="86"/>
      <c r="I1350" s="86"/>
      <c r="J1350" s="86"/>
      <c r="K1350" s="86"/>
      <c r="L1350" s="86"/>
      <c r="M1350" s="86"/>
      <c r="N1350" s="86"/>
      <c r="O1350" s="86"/>
      <c r="P1350" s="86"/>
      <c r="Q1350" s="86"/>
      <c r="R1350" s="86"/>
      <c r="S1350" s="86"/>
      <c r="T1350" s="86"/>
      <c r="U1350" s="86"/>
      <c r="V1350" s="86"/>
      <c r="W1350" s="86"/>
      <c r="X1350" s="86"/>
      <c r="Y1350" s="86"/>
      <c r="Z1350" s="86"/>
      <c r="AA1350" s="86"/>
      <c r="AB1350" s="86"/>
      <c r="AC1350" s="86"/>
      <c r="AD1350" s="86"/>
      <c r="AE1350" s="86"/>
      <c r="AF1350" s="86"/>
    </row>
    <row r="1351" spans="1:32">
      <c r="A1351" s="86"/>
      <c r="B1351" s="86"/>
      <c r="C1351" s="86"/>
      <c r="D1351" s="86"/>
      <c r="E1351" s="86"/>
      <c r="F1351" s="86"/>
      <c r="G1351" s="86"/>
      <c r="H1351" s="86"/>
      <c r="I1351" s="86"/>
      <c r="J1351" s="86"/>
      <c r="K1351" s="86"/>
      <c r="L1351" s="86"/>
      <c r="M1351" s="86"/>
      <c r="N1351" s="86"/>
      <c r="O1351" s="86"/>
      <c r="P1351" s="86"/>
      <c r="Q1351" s="86"/>
      <c r="R1351" s="86"/>
      <c r="S1351" s="86"/>
      <c r="T1351" s="86"/>
      <c r="U1351" s="86"/>
      <c r="V1351" s="86"/>
      <c r="W1351" s="86"/>
      <c r="X1351" s="86"/>
      <c r="Y1351" s="86"/>
      <c r="Z1351" s="86"/>
      <c r="AA1351" s="86"/>
      <c r="AB1351" s="86"/>
      <c r="AC1351" s="86"/>
      <c r="AD1351" s="86"/>
      <c r="AE1351" s="86"/>
      <c r="AF1351" s="86"/>
    </row>
    <row r="1352" spans="1:32">
      <c r="A1352" s="86"/>
      <c r="B1352" s="86"/>
      <c r="C1352" s="86"/>
      <c r="D1352" s="86"/>
      <c r="E1352" s="86"/>
      <c r="F1352" s="86"/>
      <c r="G1352" s="86"/>
      <c r="H1352" s="86"/>
      <c r="I1352" s="86"/>
      <c r="J1352" s="86"/>
      <c r="K1352" s="86"/>
      <c r="L1352" s="86"/>
      <c r="M1352" s="86"/>
      <c r="N1352" s="86"/>
      <c r="O1352" s="86"/>
      <c r="P1352" s="86"/>
      <c r="Q1352" s="86"/>
      <c r="R1352" s="86"/>
      <c r="S1352" s="86"/>
      <c r="T1352" s="86"/>
      <c r="U1352" s="86"/>
      <c r="V1352" s="86"/>
      <c r="W1352" s="86"/>
      <c r="X1352" s="86"/>
      <c r="Y1352" s="86"/>
      <c r="Z1352" s="86"/>
      <c r="AA1352" s="86"/>
      <c r="AB1352" s="86"/>
      <c r="AC1352" s="86"/>
      <c r="AD1352" s="86"/>
      <c r="AE1352" s="86"/>
      <c r="AF1352" s="86"/>
    </row>
    <row r="1353" spans="1:32">
      <c r="A1353" s="86"/>
      <c r="B1353" s="86"/>
      <c r="C1353" s="86"/>
      <c r="D1353" s="86"/>
      <c r="E1353" s="86"/>
      <c r="F1353" s="86"/>
      <c r="G1353" s="86"/>
      <c r="H1353" s="86"/>
      <c r="I1353" s="86"/>
      <c r="J1353" s="86"/>
      <c r="K1353" s="86"/>
      <c r="L1353" s="86"/>
      <c r="M1353" s="86"/>
      <c r="N1353" s="86"/>
      <c r="O1353" s="86"/>
      <c r="P1353" s="86"/>
      <c r="Q1353" s="86"/>
      <c r="R1353" s="86"/>
      <c r="S1353" s="86"/>
      <c r="T1353" s="86"/>
      <c r="U1353" s="86"/>
      <c r="V1353" s="86"/>
      <c r="W1353" s="86"/>
      <c r="X1353" s="86"/>
      <c r="Y1353" s="86"/>
      <c r="Z1353" s="86"/>
      <c r="AA1353" s="86"/>
      <c r="AB1353" s="86"/>
      <c r="AC1353" s="86"/>
      <c r="AD1353" s="86"/>
      <c r="AE1353" s="86"/>
      <c r="AF1353" s="86"/>
    </row>
    <row r="1354" spans="1:32">
      <c r="A1354" s="86"/>
      <c r="B1354" s="86"/>
      <c r="C1354" s="86"/>
      <c r="D1354" s="86"/>
      <c r="E1354" s="86"/>
      <c r="F1354" s="86"/>
      <c r="G1354" s="86"/>
      <c r="H1354" s="86"/>
      <c r="I1354" s="86"/>
      <c r="J1354" s="86"/>
      <c r="K1354" s="86"/>
      <c r="L1354" s="86"/>
      <c r="M1354" s="86"/>
      <c r="N1354" s="86"/>
      <c r="O1354" s="86"/>
      <c r="P1354" s="86"/>
      <c r="Q1354" s="86"/>
      <c r="R1354" s="86"/>
      <c r="S1354" s="86"/>
      <c r="T1354" s="86"/>
      <c r="U1354" s="86"/>
      <c r="V1354" s="86"/>
      <c r="W1354" s="86"/>
      <c r="X1354" s="86"/>
      <c r="Y1354" s="86"/>
      <c r="Z1354" s="86"/>
      <c r="AA1354" s="86"/>
      <c r="AB1354" s="86"/>
      <c r="AC1354" s="86"/>
      <c r="AD1354" s="86"/>
      <c r="AE1354" s="86"/>
      <c r="AF1354" s="86"/>
    </row>
    <row r="1355" spans="1:32">
      <c r="A1355" s="86"/>
      <c r="B1355" s="86"/>
      <c r="C1355" s="86"/>
      <c r="D1355" s="86"/>
      <c r="E1355" s="86"/>
      <c r="F1355" s="86"/>
      <c r="G1355" s="86"/>
      <c r="H1355" s="86"/>
      <c r="I1355" s="86"/>
      <c r="J1355" s="86"/>
      <c r="K1355" s="86"/>
      <c r="L1355" s="86"/>
      <c r="M1355" s="86"/>
      <c r="N1355" s="86"/>
      <c r="O1355" s="86"/>
      <c r="P1355" s="86"/>
      <c r="Q1355" s="86"/>
      <c r="R1355" s="86"/>
      <c r="S1355" s="86"/>
      <c r="T1355" s="86"/>
      <c r="U1355" s="86"/>
      <c r="V1355" s="86"/>
      <c r="W1355" s="86"/>
      <c r="X1355" s="86"/>
      <c r="Y1355" s="86"/>
      <c r="Z1355" s="86"/>
      <c r="AA1355" s="86"/>
      <c r="AB1355" s="86"/>
      <c r="AC1355" s="86"/>
      <c r="AD1355" s="86"/>
      <c r="AE1355" s="86"/>
      <c r="AF1355" s="86"/>
    </row>
    <row r="1356" spans="1:32">
      <c r="A1356" s="86"/>
      <c r="B1356" s="86"/>
      <c r="C1356" s="86"/>
      <c r="D1356" s="86"/>
      <c r="E1356" s="86"/>
      <c r="F1356" s="86"/>
      <c r="G1356" s="86"/>
      <c r="H1356" s="86"/>
      <c r="I1356" s="86"/>
      <c r="J1356" s="86"/>
      <c r="K1356" s="86"/>
      <c r="L1356" s="86"/>
      <c r="M1356" s="86"/>
      <c r="N1356" s="86"/>
      <c r="O1356" s="86"/>
      <c r="P1356" s="86"/>
      <c r="Q1356" s="86"/>
      <c r="R1356" s="86"/>
      <c r="S1356" s="86"/>
      <c r="T1356" s="86"/>
      <c r="U1356" s="86"/>
      <c r="V1356" s="86"/>
      <c r="W1356" s="86"/>
      <c r="X1356" s="86"/>
      <c r="Y1356" s="86"/>
      <c r="Z1356" s="86"/>
      <c r="AA1356" s="86"/>
      <c r="AB1356" s="86"/>
      <c r="AC1356" s="86"/>
      <c r="AD1356" s="86"/>
      <c r="AE1356" s="86"/>
      <c r="AF1356" s="86"/>
    </row>
    <row r="1357" spans="1:32">
      <c r="A1357" s="86"/>
      <c r="B1357" s="86"/>
      <c r="C1357" s="86"/>
      <c r="D1357" s="86"/>
      <c r="E1357" s="86"/>
      <c r="F1357" s="86"/>
      <c r="G1357" s="86"/>
      <c r="H1357" s="86"/>
      <c r="I1357" s="86"/>
      <c r="J1357" s="86"/>
      <c r="K1357" s="86"/>
      <c r="L1357" s="86"/>
      <c r="M1357" s="86"/>
      <c r="N1357" s="86"/>
      <c r="O1357" s="86"/>
      <c r="P1357" s="86"/>
      <c r="Q1357" s="86"/>
      <c r="R1357" s="86"/>
      <c r="S1357" s="86"/>
      <c r="T1357" s="86"/>
      <c r="U1357" s="86"/>
      <c r="V1357" s="86"/>
      <c r="W1357" s="86"/>
      <c r="X1357" s="86"/>
      <c r="Y1357" s="86"/>
      <c r="Z1357" s="86"/>
      <c r="AA1357" s="86"/>
      <c r="AB1357" s="86"/>
      <c r="AC1357" s="86"/>
      <c r="AD1357" s="86"/>
      <c r="AE1357" s="86"/>
      <c r="AF1357" s="86"/>
    </row>
    <row r="1358" spans="1:32">
      <c r="A1358" s="86"/>
      <c r="B1358" s="86"/>
      <c r="C1358" s="86"/>
      <c r="D1358" s="86"/>
      <c r="E1358" s="86"/>
      <c r="F1358" s="86"/>
      <c r="G1358" s="86"/>
      <c r="H1358" s="86"/>
      <c r="I1358" s="86"/>
      <c r="J1358" s="86"/>
      <c r="K1358" s="86"/>
      <c r="L1358" s="86"/>
      <c r="M1358" s="86"/>
      <c r="N1358" s="86"/>
      <c r="O1358" s="86"/>
      <c r="P1358" s="86"/>
      <c r="Q1358" s="86"/>
      <c r="R1358" s="86"/>
      <c r="S1358" s="86"/>
      <c r="T1358" s="86"/>
      <c r="U1358" s="86"/>
      <c r="V1358" s="86"/>
      <c r="W1358" s="86"/>
      <c r="X1358" s="86"/>
      <c r="Y1358" s="86"/>
      <c r="Z1358" s="86"/>
      <c r="AA1358" s="86"/>
      <c r="AB1358" s="86"/>
      <c r="AC1358" s="86"/>
      <c r="AD1358" s="86"/>
      <c r="AE1358" s="86"/>
      <c r="AF1358" s="86"/>
    </row>
    <row r="1359" spans="1:32">
      <c r="A1359" s="86"/>
      <c r="B1359" s="86"/>
      <c r="C1359" s="86"/>
      <c r="D1359" s="86"/>
      <c r="E1359" s="86"/>
      <c r="F1359" s="86"/>
      <c r="G1359" s="86"/>
      <c r="H1359" s="86"/>
      <c r="I1359" s="86"/>
      <c r="J1359" s="86"/>
      <c r="K1359" s="86"/>
      <c r="L1359" s="86"/>
      <c r="M1359" s="86"/>
      <c r="N1359" s="86"/>
      <c r="O1359" s="86"/>
      <c r="P1359" s="86"/>
      <c r="Q1359" s="86"/>
      <c r="R1359" s="86"/>
      <c r="S1359" s="86"/>
      <c r="T1359" s="86"/>
      <c r="U1359" s="86"/>
      <c r="V1359" s="86"/>
      <c r="W1359" s="86"/>
      <c r="X1359" s="86"/>
      <c r="Y1359" s="86"/>
      <c r="Z1359" s="86"/>
      <c r="AA1359" s="86"/>
      <c r="AB1359" s="86"/>
      <c r="AC1359" s="86"/>
      <c r="AD1359" s="86"/>
      <c r="AE1359" s="86"/>
      <c r="AF1359" s="86"/>
    </row>
    <row r="1360" spans="1:32">
      <c r="A1360" s="86"/>
      <c r="B1360" s="86"/>
      <c r="C1360" s="86"/>
      <c r="D1360" s="86"/>
      <c r="E1360" s="86"/>
      <c r="F1360" s="86"/>
      <c r="G1360" s="86"/>
      <c r="H1360" s="86"/>
      <c r="I1360" s="86"/>
      <c r="J1360" s="86"/>
      <c r="K1360" s="86"/>
      <c r="L1360" s="86"/>
      <c r="M1360" s="86"/>
      <c r="N1360" s="86"/>
      <c r="O1360" s="86"/>
      <c r="P1360" s="86"/>
      <c r="Q1360" s="86"/>
      <c r="R1360" s="86"/>
      <c r="S1360" s="86"/>
      <c r="T1360" s="86"/>
      <c r="U1360" s="86"/>
      <c r="V1360" s="86"/>
      <c r="W1360" s="86"/>
      <c r="X1360" s="86"/>
      <c r="Y1360" s="86"/>
      <c r="Z1360" s="86"/>
      <c r="AA1360" s="86"/>
      <c r="AB1360" s="86"/>
      <c r="AC1360" s="86"/>
      <c r="AD1360" s="86"/>
      <c r="AE1360" s="86"/>
      <c r="AF1360" s="86"/>
    </row>
    <row r="1361" spans="1:32">
      <c r="A1361" s="86"/>
      <c r="B1361" s="86"/>
      <c r="C1361" s="86"/>
      <c r="D1361" s="86"/>
      <c r="E1361" s="86"/>
      <c r="F1361" s="86"/>
      <c r="G1361" s="86"/>
      <c r="H1361" s="86"/>
      <c r="I1361" s="86"/>
      <c r="J1361" s="86"/>
      <c r="K1361" s="86"/>
      <c r="L1361" s="86"/>
      <c r="M1361" s="86"/>
      <c r="N1361" s="86"/>
      <c r="O1361" s="86"/>
      <c r="P1361" s="86"/>
      <c r="Q1361" s="86"/>
      <c r="R1361" s="86"/>
      <c r="S1361" s="86"/>
      <c r="T1361" s="86"/>
      <c r="U1361" s="86"/>
      <c r="V1361" s="86"/>
      <c r="W1361" s="86"/>
      <c r="X1361" s="86"/>
      <c r="Y1361" s="86"/>
      <c r="Z1361" s="86"/>
      <c r="AA1361" s="86"/>
      <c r="AB1361" s="86"/>
      <c r="AC1361" s="86"/>
      <c r="AD1361" s="86"/>
      <c r="AE1361" s="86"/>
      <c r="AF1361" s="86"/>
    </row>
    <row r="1362" spans="1:32">
      <c r="A1362" s="86"/>
      <c r="B1362" s="86"/>
      <c r="C1362" s="86"/>
      <c r="D1362" s="86"/>
      <c r="E1362" s="86"/>
      <c r="F1362" s="86"/>
      <c r="G1362" s="86"/>
      <c r="H1362" s="86"/>
      <c r="I1362" s="86"/>
      <c r="J1362" s="86"/>
      <c r="K1362" s="86"/>
      <c r="L1362" s="86"/>
      <c r="M1362" s="86"/>
      <c r="N1362" s="86"/>
      <c r="O1362" s="86"/>
      <c r="P1362" s="86"/>
      <c r="Q1362" s="86"/>
      <c r="R1362" s="86"/>
      <c r="S1362" s="86"/>
      <c r="T1362" s="86"/>
      <c r="U1362" s="86"/>
      <c r="V1362" s="86"/>
      <c r="W1362" s="86"/>
      <c r="X1362" s="86"/>
      <c r="Y1362" s="86"/>
      <c r="Z1362" s="86"/>
      <c r="AA1362" s="86"/>
      <c r="AB1362" s="86"/>
      <c r="AC1362" s="86"/>
      <c r="AD1362" s="86"/>
      <c r="AE1362" s="86"/>
      <c r="AF1362" s="86"/>
    </row>
    <row r="1363" spans="1:32">
      <c r="A1363" s="86"/>
      <c r="B1363" s="86"/>
      <c r="C1363" s="86"/>
      <c r="D1363" s="86"/>
      <c r="E1363" s="86"/>
      <c r="F1363" s="86"/>
      <c r="G1363" s="86"/>
      <c r="H1363" s="86"/>
      <c r="I1363" s="86"/>
      <c r="J1363" s="86"/>
      <c r="K1363" s="86"/>
      <c r="L1363" s="86"/>
      <c r="M1363" s="86"/>
      <c r="N1363" s="86"/>
      <c r="O1363" s="86"/>
      <c r="P1363" s="86"/>
      <c r="Q1363" s="86"/>
      <c r="R1363" s="86"/>
      <c r="S1363" s="86"/>
      <c r="T1363" s="86"/>
      <c r="U1363" s="86"/>
      <c r="V1363" s="86"/>
      <c r="W1363" s="86"/>
      <c r="X1363" s="86"/>
      <c r="Y1363" s="86"/>
      <c r="Z1363" s="86"/>
      <c r="AA1363" s="86"/>
      <c r="AB1363" s="86"/>
      <c r="AC1363" s="86"/>
      <c r="AD1363" s="86"/>
      <c r="AE1363" s="86"/>
      <c r="AF1363" s="86"/>
    </row>
    <row r="1364" spans="1:32">
      <c r="A1364" s="86"/>
      <c r="B1364" s="86"/>
      <c r="C1364" s="86"/>
      <c r="D1364" s="86"/>
      <c r="E1364" s="86"/>
      <c r="F1364" s="86"/>
      <c r="G1364" s="86"/>
      <c r="H1364" s="86"/>
      <c r="I1364" s="86"/>
      <c r="J1364" s="86"/>
      <c r="K1364" s="86"/>
      <c r="L1364" s="86"/>
      <c r="M1364" s="86"/>
      <c r="N1364" s="86"/>
      <c r="O1364" s="86"/>
      <c r="P1364" s="86"/>
      <c r="Q1364" s="86"/>
      <c r="R1364" s="86"/>
      <c r="S1364" s="86"/>
      <c r="T1364" s="86"/>
      <c r="U1364" s="86"/>
      <c r="V1364" s="86"/>
      <c r="W1364" s="86"/>
      <c r="X1364" s="86"/>
      <c r="Y1364" s="86"/>
      <c r="Z1364" s="86"/>
      <c r="AA1364" s="86"/>
      <c r="AB1364" s="86"/>
      <c r="AC1364" s="86"/>
      <c r="AD1364" s="86"/>
      <c r="AE1364" s="86"/>
      <c r="AF1364" s="86"/>
    </row>
    <row r="1365" spans="1:32">
      <c r="A1365" s="86"/>
      <c r="B1365" s="86"/>
      <c r="C1365" s="86"/>
      <c r="D1365" s="86"/>
      <c r="E1365" s="86"/>
      <c r="F1365" s="86"/>
      <c r="G1365" s="86"/>
      <c r="H1365" s="86"/>
      <c r="I1365" s="86"/>
      <c r="J1365" s="86"/>
      <c r="K1365" s="86"/>
      <c r="L1365" s="86"/>
      <c r="M1365" s="86"/>
      <c r="N1365" s="86"/>
      <c r="O1365" s="86"/>
      <c r="P1365" s="86"/>
      <c r="Q1365" s="86"/>
      <c r="R1365" s="86"/>
      <c r="S1365" s="86"/>
      <c r="T1365" s="86"/>
      <c r="U1365" s="86"/>
      <c r="V1365" s="86"/>
      <c r="W1365" s="86"/>
      <c r="X1365" s="86"/>
      <c r="Y1365" s="86"/>
      <c r="Z1365" s="86"/>
      <c r="AA1365" s="86"/>
      <c r="AB1365" s="86"/>
      <c r="AC1365" s="86"/>
      <c r="AD1365" s="86"/>
      <c r="AE1365" s="86"/>
      <c r="AF1365" s="86"/>
    </row>
    <row r="1366" spans="1:32">
      <c r="A1366" s="86"/>
      <c r="B1366" s="86"/>
      <c r="C1366" s="86"/>
      <c r="D1366" s="86"/>
      <c r="E1366" s="86"/>
      <c r="F1366" s="86"/>
      <c r="G1366" s="86"/>
      <c r="H1366" s="86"/>
      <c r="I1366" s="86"/>
      <c r="J1366" s="86"/>
      <c r="K1366" s="86"/>
      <c r="L1366" s="86"/>
      <c r="M1366" s="86"/>
      <c r="N1366" s="86"/>
      <c r="O1366" s="86"/>
      <c r="P1366" s="86"/>
      <c r="Q1366" s="86"/>
      <c r="R1366" s="86"/>
      <c r="S1366" s="86"/>
      <c r="T1366" s="86"/>
      <c r="U1366" s="86"/>
      <c r="V1366" s="86"/>
      <c r="W1366" s="86"/>
      <c r="X1366" s="86"/>
      <c r="Y1366" s="86"/>
      <c r="Z1366" s="86"/>
      <c r="AA1366" s="86"/>
      <c r="AB1366" s="86"/>
      <c r="AC1366" s="86"/>
      <c r="AD1366" s="86"/>
      <c r="AE1366" s="86"/>
      <c r="AF1366" s="86"/>
    </row>
    <row r="1367" spans="1:32">
      <c r="A1367" s="86"/>
      <c r="B1367" s="86"/>
      <c r="C1367" s="86"/>
      <c r="D1367" s="86"/>
      <c r="E1367" s="86"/>
      <c r="F1367" s="86"/>
      <c r="G1367" s="86"/>
      <c r="H1367" s="86"/>
      <c r="I1367" s="86"/>
      <c r="J1367" s="86"/>
      <c r="K1367" s="86"/>
      <c r="L1367" s="86"/>
      <c r="M1367" s="86"/>
      <c r="N1367" s="86"/>
      <c r="O1367" s="86"/>
      <c r="P1367" s="86"/>
      <c r="Q1367" s="86"/>
      <c r="R1367" s="86"/>
      <c r="S1367" s="86"/>
      <c r="T1367" s="86"/>
      <c r="U1367" s="86"/>
      <c r="V1367" s="86"/>
      <c r="W1367" s="86"/>
      <c r="X1367" s="86"/>
      <c r="Y1367" s="86"/>
      <c r="Z1367" s="86"/>
      <c r="AA1367" s="86"/>
      <c r="AB1367" s="86"/>
      <c r="AC1367" s="86"/>
      <c r="AD1367" s="86"/>
      <c r="AE1367" s="86"/>
      <c r="AF1367" s="86"/>
    </row>
    <row r="1368" spans="1:32">
      <c r="A1368" s="86"/>
      <c r="B1368" s="86"/>
      <c r="C1368" s="86"/>
      <c r="D1368" s="86"/>
      <c r="E1368" s="86"/>
      <c r="F1368" s="86"/>
      <c r="G1368" s="86"/>
      <c r="H1368" s="86"/>
      <c r="I1368" s="86"/>
      <c r="J1368" s="86"/>
      <c r="K1368" s="86"/>
      <c r="L1368" s="86"/>
      <c r="M1368" s="86"/>
      <c r="N1368" s="86"/>
      <c r="O1368" s="86"/>
      <c r="P1368" s="86"/>
      <c r="Q1368" s="86"/>
      <c r="R1368" s="86"/>
      <c r="S1368" s="86"/>
      <c r="T1368" s="86"/>
      <c r="U1368" s="86"/>
      <c r="V1368" s="86"/>
      <c r="W1368" s="86"/>
      <c r="X1368" s="86"/>
      <c r="Y1368" s="86"/>
      <c r="Z1368" s="86"/>
      <c r="AA1368" s="86"/>
      <c r="AB1368" s="86"/>
      <c r="AC1368" s="86"/>
      <c r="AD1368" s="86"/>
      <c r="AE1368" s="86"/>
      <c r="AF1368" s="86"/>
    </row>
    <row r="1369" spans="1:32">
      <c r="A1369" s="86"/>
      <c r="B1369" s="86"/>
      <c r="C1369" s="86"/>
      <c r="D1369" s="86"/>
      <c r="E1369" s="86"/>
      <c r="F1369" s="86"/>
      <c r="G1369" s="86"/>
      <c r="H1369" s="86"/>
      <c r="I1369" s="86"/>
      <c r="J1369" s="86"/>
      <c r="K1369" s="86"/>
      <c r="L1369" s="86"/>
      <c r="M1369" s="86"/>
      <c r="N1369" s="86"/>
      <c r="O1369" s="86"/>
      <c r="P1369" s="86"/>
      <c r="Q1369" s="86"/>
      <c r="R1369" s="86"/>
      <c r="S1369" s="86"/>
      <c r="T1369" s="86"/>
      <c r="U1369" s="86"/>
      <c r="V1369" s="86"/>
      <c r="W1369" s="86"/>
      <c r="X1369" s="86"/>
      <c r="Y1369" s="86"/>
      <c r="Z1369" s="86"/>
      <c r="AA1369" s="86"/>
      <c r="AB1369" s="86"/>
      <c r="AC1369" s="86"/>
      <c r="AD1369" s="86"/>
      <c r="AE1369" s="86"/>
      <c r="AF1369" s="86"/>
    </row>
    <row r="1370" spans="1:32">
      <c r="A1370" s="86"/>
      <c r="B1370" s="86"/>
      <c r="C1370" s="86"/>
      <c r="D1370" s="86"/>
      <c r="E1370" s="86"/>
      <c r="F1370" s="86"/>
      <c r="G1370" s="86"/>
      <c r="H1370" s="86"/>
      <c r="I1370" s="86"/>
      <c r="J1370" s="86"/>
      <c r="K1370" s="86"/>
      <c r="L1370" s="86"/>
      <c r="M1370" s="86"/>
      <c r="N1370" s="86"/>
      <c r="O1370" s="86"/>
      <c r="P1370" s="86"/>
      <c r="Q1370" s="86"/>
      <c r="R1370" s="86"/>
      <c r="S1370" s="86"/>
      <c r="T1370" s="86"/>
      <c r="U1370" s="86"/>
      <c r="V1370" s="86"/>
      <c r="W1370" s="86"/>
      <c r="X1370" s="86"/>
      <c r="Y1370" s="86"/>
      <c r="Z1370" s="86"/>
      <c r="AA1370" s="86"/>
      <c r="AB1370" s="86"/>
      <c r="AC1370" s="86"/>
      <c r="AD1370" s="86"/>
      <c r="AE1370" s="86"/>
      <c r="AF1370" s="86"/>
    </row>
    <row r="1371" spans="1:32">
      <c r="A1371" s="86"/>
      <c r="B1371" s="86"/>
      <c r="C1371" s="86"/>
      <c r="D1371" s="86"/>
      <c r="E1371" s="86"/>
      <c r="F1371" s="86"/>
      <c r="G1371" s="86"/>
      <c r="H1371" s="86"/>
      <c r="I1371" s="86"/>
      <c r="J1371" s="86"/>
      <c r="K1371" s="86"/>
      <c r="L1371" s="86"/>
      <c r="M1371" s="86"/>
      <c r="N1371" s="86"/>
      <c r="O1371" s="86"/>
      <c r="P1371" s="86"/>
      <c r="Q1371" s="86"/>
      <c r="R1371" s="86"/>
      <c r="S1371" s="86"/>
      <c r="T1371" s="86"/>
      <c r="U1371" s="86"/>
      <c r="V1371" s="86"/>
      <c r="W1371" s="86"/>
      <c r="X1371" s="86"/>
      <c r="Y1371" s="86"/>
      <c r="Z1371" s="86"/>
      <c r="AA1371" s="86"/>
      <c r="AB1371" s="86"/>
      <c r="AC1371" s="86"/>
      <c r="AD1371" s="86"/>
      <c r="AE1371" s="86"/>
      <c r="AF1371" s="86"/>
    </row>
    <row r="1372" spans="1:32">
      <c r="A1372" s="86"/>
      <c r="B1372" s="86"/>
      <c r="C1372" s="86"/>
      <c r="D1372" s="86"/>
      <c r="E1372" s="86"/>
      <c r="F1372" s="86"/>
      <c r="G1372" s="86"/>
      <c r="H1372" s="86"/>
      <c r="I1372" s="86"/>
      <c r="J1372" s="86"/>
      <c r="K1372" s="86"/>
      <c r="L1372" s="86"/>
      <c r="M1372" s="86"/>
      <c r="N1372" s="86"/>
      <c r="O1372" s="86"/>
      <c r="P1372" s="86"/>
      <c r="Q1372" s="86"/>
      <c r="R1372" s="86"/>
      <c r="S1372" s="86"/>
      <c r="T1372" s="86"/>
      <c r="U1372" s="86"/>
      <c r="V1372" s="86"/>
      <c r="W1372" s="86"/>
      <c r="X1372" s="86"/>
      <c r="Y1372" s="86"/>
      <c r="Z1372" s="86"/>
      <c r="AA1372" s="86"/>
      <c r="AB1372" s="86"/>
      <c r="AC1372" s="86"/>
      <c r="AD1372" s="86"/>
      <c r="AE1372" s="86"/>
      <c r="AF1372" s="86"/>
    </row>
    <row r="1373" spans="1:32">
      <c r="A1373" s="86"/>
      <c r="B1373" s="86"/>
      <c r="C1373" s="86"/>
      <c r="D1373" s="86"/>
      <c r="E1373" s="86"/>
      <c r="F1373" s="86"/>
      <c r="G1373" s="86"/>
      <c r="H1373" s="86"/>
      <c r="I1373" s="86"/>
      <c r="J1373" s="86"/>
      <c r="K1373" s="86"/>
      <c r="L1373" s="86"/>
      <c r="M1373" s="86"/>
      <c r="N1373" s="86"/>
      <c r="O1373" s="86"/>
      <c r="P1373" s="86"/>
      <c r="Q1373" s="86"/>
      <c r="R1373" s="86"/>
      <c r="S1373" s="86"/>
      <c r="T1373" s="86"/>
      <c r="U1373" s="86"/>
      <c r="V1373" s="86"/>
      <c r="W1373" s="86"/>
      <c r="X1373" s="86"/>
      <c r="Y1373" s="86"/>
      <c r="Z1373" s="86"/>
      <c r="AA1373" s="86"/>
      <c r="AB1373" s="86"/>
      <c r="AC1373" s="86"/>
      <c r="AD1373" s="86"/>
      <c r="AE1373" s="86"/>
      <c r="AF1373" s="86"/>
    </row>
    <row r="1374" spans="1:32">
      <c r="A1374" s="86"/>
      <c r="B1374" s="86"/>
      <c r="C1374" s="86"/>
      <c r="D1374" s="86"/>
      <c r="E1374" s="86"/>
      <c r="F1374" s="86"/>
      <c r="G1374" s="86"/>
      <c r="H1374" s="86"/>
      <c r="I1374" s="86"/>
      <c r="J1374" s="86"/>
      <c r="K1374" s="86"/>
      <c r="L1374" s="86"/>
      <c r="M1374" s="86"/>
      <c r="N1374" s="86"/>
      <c r="O1374" s="86"/>
      <c r="P1374" s="86"/>
      <c r="Q1374" s="86"/>
      <c r="R1374" s="86"/>
      <c r="S1374" s="86"/>
      <c r="T1374" s="86"/>
      <c r="U1374" s="86"/>
      <c r="V1374" s="86"/>
      <c r="W1374" s="86"/>
      <c r="X1374" s="86"/>
      <c r="Y1374" s="86"/>
      <c r="Z1374" s="86"/>
      <c r="AA1374" s="86"/>
      <c r="AB1374" s="86"/>
      <c r="AC1374" s="86"/>
      <c r="AD1374" s="86"/>
      <c r="AE1374" s="86"/>
      <c r="AF1374" s="86"/>
    </row>
    <row r="1375" spans="1:32">
      <c r="A1375" s="86"/>
      <c r="B1375" s="86"/>
      <c r="C1375" s="86"/>
      <c r="D1375" s="86"/>
      <c r="E1375" s="86"/>
      <c r="F1375" s="86"/>
      <c r="G1375" s="86"/>
      <c r="H1375" s="86"/>
      <c r="I1375" s="86"/>
      <c r="J1375" s="86"/>
      <c r="K1375" s="86"/>
      <c r="L1375" s="86"/>
      <c r="M1375" s="86"/>
      <c r="N1375" s="86"/>
      <c r="O1375" s="86"/>
      <c r="P1375" s="86"/>
      <c r="Q1375" s="86"/>
      <c r="R1375" s="86"/>
      <c r="S1375" s="86"/>
      <c r="T1375" s="86"/>
      <c r="U1375" s="86"/>
      <c r="V1375" s="86"/>
      <c r="W1375" s="86"/>
      <c r="X1375" s="86"/>
      <c r="Y1375" s="86"/>
      <c r="Z1375" s="86"/>
      <c r="AA1375" s="86"/>
      <c r="AB1375" s="86"/>
      <c r="AC1375" s="86"/>
      <c r="AD1375" s="86"/>
      <c r="AE1375" s="86"/>
      <c r="AF1375" s="86"/>
    </row>
    <row r="1376" spans="1:32">
      <c r="A1376" s="86"/>
      <c r="B1376" s="86"/>
      <c r="C1376" s="86"/>
      <c r="D1376" s="86"/>
      <c r="E1376" s="86"/>
      <c r="F1376" s="86"/>
      <c r="G1376" s="86"/>
      <c r="H1376" s="86"/>
      <c r="I1376" s="86"/>
      <c r="J1376" s="86"/>
      <c r="K1376" s="86"/>
      <c r="L1376" s="86"/>
      <c r="M1376" s="86"/>
      <c r="N1376" s="86"/>
      <c r="O1376" s="86"/>
      <c r="P1376" s="86"/>
      <c r="Q1376" s="86"/>
      <c r="R1376" s="86"/>
      <c r="S1376" s="86"/>
      <c r="T1376" s="86"/>
      <c r="U1376" s="86"/>
      <c r="V1376" s="86"/>
      <c r="W1376" s="86"/>
      <c r="X1376" s="86"/>
      <c r="Y1376" s="86"/>
      <c r="Z1376" s="86"/>
      <c r="AA1376" s="86"/>
      <c r="AB1376" s="86"/>
      <c r="AC1376" s="86"/>
      <c r="AD1376" s="86"/>
      <c r="AE1376" s="86"/>
      <c r="AF1376" s="86"/>
    </row>
    <row r="1377" spans="1:32">
      <c r="A1377" s="86"/>
      <c r="B1377" s="86"/>
      <c r="C1377" s="86"/>
      <c r="D1377" s="86"/>
      <c r="E1377" s="86"/>
      <c r="F1377" s="86"/>
      <c r="G1377" s="86"/>
      <c r="H1377" s="86"/>
      <c r="I1377" s="86"/>
      <c r="J1377" s="86"/>
      <c r="K1377" s="86"/>
      <c r="L1377" s="86"/>
      <c r="M1377" s="86"/>
      <c r="N1377" s="86"/>
      <c r="O1377" s="86"/>
      <c r="P1377" s="86"/>
      <c r="Q1377" s="86"/>
      <c r="R1377" s="86"/>
      <c r="S1377" s="86"/>
      <c r="T1377" s="86"/>
      <c r="U1377" s="86"/>
      <c r="V1377" s="86"/>
      <c r="W1377" s="86"/>
      <c r="X1377" s="86"/>
      <c r="Y1377" s="86"/>
      <c r="Z1377" s="86"/>
      <c r="AA1377" s="86"/>
      <c r="AB1377" s="86"/>
      <c r="AC1377" s="86"/>
      <c r="AD1377" s="86"/>
      <c r="AE1377" s="86"/>
      <c r="AF1377" s="86"/>
    </row>
    <row r="1378" spans="1:32">
      <c r="A1378" s="86"/>
      <c r="B1378" s="86"/>
      <c r="C1378" s="86"/>
      <c r="D1378" s="86"/>
      <c r="E1378" s="86"/>
      <c r="F1378" s="86"/>
      <c r="G1378" s="86"/>
      <c r="H1378" s="86"/>
      <c r="I1378" s="86"/>
      <c r="J1378" s="86"/>
      <c r="K1378" s="86"/>
      <c r="L1378" s="86"/>
      <c r="M1378" s="86"/>
      <c r="N1378" s="86"/>
      <c r="O1378" s="86"/>
      <c r="P1378" s="86"/>
      <c r="Q1378" s="86"/>
      <c r="R1378" s="86"/>
      <c r="S1378" s="86"/>
      <c r="T1378" s="86"/>
      <c r="U1378" s="86"/>
      <c r="V1378" s="86"/>
      <c r="W1378" s="86"/>
      <c r="X1378" s="86"/>
      <c r="Y1378" s="86"/>
      <c r="Z1378" s="86"/>
      <c r="AA1378" s="86"/>
      <c r="AB1378" s="86"/>
      <c r="AC1378" s="86"/>
      <c r="AD1378" s="86"/>
      <c r="AE1378" s="86"/>
      <c r="AF1378" s="86"/>
    </row>
    <row r="1379" spans="1:32">
      <c r="A1379" s="86"/>
      <c r="B1379" s="86"/>
      <c r="C1379" s="86"/>
      <c r="D1379" s="86"/>
      <c r="E1379" s="86"/>
      <c r="F1379" s="86"/>
      <c r="G1379" s="86"/>
      <c r="H1379" s="86"/>
      <c r="I1379" s="86"/>
      <c r="J1379" s="86"/>
      <c r="K1379" s="86"/>
      <c r="L1379" s="86"/>
      <c r="M1379" s="86"/>
      <c r="N1379" s="86"/>
      <c r="O1379" s="86"/>
      <c r="P1379" s="86"/>
      <c r="Q1379" s="86"/>
      <c r="R1379" s="86"/>
      <c r="S1379" s="86"/>
      <c r="T1379" s="86"/>
      <c r="U1379" s="86"/>
      <c r="V1379" s="86"/>
      <c r="W1379" s="86"/>
      <c r="X1379" s="86"/>
      <c r="Y1379" s="86"/>
      <c r="Z1379" s="86"/>
      <c r="AA1379" s="86"/>
      <c r="AB1379" s="86"/>
      <c r="AC1379" s="86"/>
      <c r="AD1379" s="86"/>
      <c r="AE1379" s="86"/>
      <c r="AF1379" s="86"/>
    </row>
    <row r="1380" spans="1:32">
      <c r="A1380" s="86"/>
      <c r="B1380" s="86"/>
      <c r="C1380" s="86"/>
      <c r="D1380" s="86"/>
      <c r="E1380" s="86"/>
      <c r="F1380" s="86"/>
      <c r="G1380" s="86"/>
      <c r="H1380" s="86"/>
      <c r="I1380" s="86"/>
      <c r="J1380" s="86"/>
      <c r="K1380" s="86"/>
      <c r="L1380" s="86"/>
      <c r="M1380" s="86"/>
      <c r="N1380" s="86"/>
      <c r="O1380" s="86"/>
      <c r="P1380" s="86"/>
      <c r="Q1380" s="86"/>
      <c r="R1380" s="86"/>
      <c r="S1380" s="86"/>
      <c r="T1380" s="86"/>
      <c r="U1380" s="86"/>
      <c r="V1380" s="86"/>
      <c r="W1380" s="86"/>
      <c r="X1380" s="86"/>
      <c r="Y1380" s="86"/>
      <c r="Z1380" s="86"/>
      <c r="AA1380" s="86"/>
      <c r="AB1380" s="86"/>
      <c r="AC1380" s="86"/>
      <c r="AD1380" s="86"/>
      <c r="AE1380" s="86"/>
      <c r="AF1380" s="86"/>
    </row>
    <row r="1381" spans="1:32">
      <c r="A1381" s="86"/>
      <c r="B1381" s="86"/>
      <c r="C1381" s="86"/>
      <c r="D1381" s="86"/>
      <c r="E1381" s="86"/>
      <c r="F1381" s="86"/>
      <c r="G1381" s="86"/>
      <c r="H1381" s="86"/>
      <c r="I1381" s="86"/>
      <c r="J1381" s="86"/>
      <c r="K1381" s="86"/>
      <c r="L1381" s="86"/>
      <c r="M1381" s="86"/>
      <c r="N1381" s="86"/>
      <c r="O1381" s="86"/>
      <c r="P1381" s="86"/>
      <c r="Q1381" s="86"/>
      <c r="R1381" s="86"/>
      <c r="S1381" s="86"/>
      <c r="T1381" s="86"/>
      <c r="U1381" s="86"/>
      <c r="V1381" s="86"/>
      <c r="W1381" s="86"/>
      <c r="X1381" s="86"/>
      <c r="Y1381" s="86"/>
      <c r="Z1381" s="86"/>
      <c r="AA1381" s="86"/>
      <c r="AB1381" s="86"/>
      <c r="AC1381" s="86"/>
      <c r="AD1381" s="86"/>
      <c r="AE1381" s="86"/>
      <c r="AF1381" s="86"/>
    </row>
    <row r="1382" spans="1:32">
      <c r="A1382" s="86"/>
      <c r="B1382" s="86"/>
      <c r="C1382" s="86"/>
      <c r="D1382" s="86"/>
      <c r="E1382" s="86"/>
      <c r="F1382" s="86"/>
      <c r="G1382" s="86"/>
      <c r="H1382" s="86"/>
      <c r="I1382" s="86"/>
      <c r="J1382" s="86"/>
      <c r="K1382" s="86"/>
      <c r="L1382" s="86"/>
      <c r="M1382" s="86"/>
      <c r="N1382" s="86"/>
      <c r="O1382" s="86"/>
      <c r="P1382" s="86"/>
      <c r="Q1382" s="86"/>
      <c r="R1382" s="86"/>
      <c r="S1382" s="86"/>
      <c r="T1382" s="86"/>
      <c r="U1382" s="86"/>
      <c r="V1382" s="86"/>
      <c r="W1382" s="86"/>
      <c r="X1382" s="86"/>
      <c r="Y1382" s="86"/>
      <c r="Z1382" s="86"/>
      <c r="AA1382" s="86"/>
      <c r="AB1382" s="86"/>
      <c r="AC1382" s="86"/>
      <c r="AD1382" s="86"/>
      <c r="AE1382" s="86"/>
      <c r="AF1382" s="86"/>
    </row>
    <row r="1383" spans="1:32">
      <c r="A1383" s="86"/>
      <c r="B1383" s="86"/>
      <c r="C1383" s="86"/>
      <c r="D1383" s="86"/>
      <c r="E1383" s="86"/>
      <c r="F1383" s="86"/>
      <c r="G1383" s="86"/>
      <c r="H1383" s="86"/>
      <c r="I1383" s="86"/>
      <c r="J1383" s="86"/>
      <c r="K1383" s="86"/>
      <c r="L1383" s="86"/>
      <c r="M1383" s="86"/>
      <c r="N1383" s="86"/>
      <c r="O1383" s="86"/>
      <c r="P1383" s="86"/>
      <c r="Q1383" s="86"/>
      <c r="R1383" s="86"/>
      <c r="S1383" s="86"/>
      <c r="T1383" s="86"/>
      <c r="U1383" s="86"/>
      <c r="V1383" s="86"/>
      <c r="W1383" s="86"/>
      <c r="X1383" s="86"/>
      <c r="Y1383" s="86"/>
      <c r="Z1383" s="86"/>
      <c r="AA1383" s="86"/>
      <c r="AB1383" s="86"/>
      <c r="AC1383" s="86"/>
      <c r="AD1383" s="86"/>
      <c r="AE1383" s="86"/>
      <c r="AF1383" s="86"/>
    </row>
    <row r="1384" spans="1:32">
      <c r="A1384" s="86"/>
      <c r="B1384" s="86"/>
      <c r="C1384" s="86"/>
      <c r="D1384" s="86"/>
      <c r="E1384" s="86"/>
      <c r="F1384" s="86"/>
      <c r="G1384" s="86"/>
      <c r="H1384" s="86"/>
      <c r="I1384" s="86"/>
      <c r="J1384" s="86"/>
      <c r="K1384" s="86"/>
      <c r="L1384" s="86"/>
      <c r="M1384" s="86"/>
      <c r="N1384" s="86"/>
      <c r="O1384" s="86"/>
      <c r="P1384" s="86"/>
      <c r="Q1384" s="86"/>
      <c r="R1384" s="86"/>
      <c r="S1384" s="86"/>
      <c r="T1384" s="86"/>
      <c r="U1384" s="86"/>
      <c r="V1384" s="86"/>
      <c r="W1384" s="86"/>
      <c r="X1384" s="86"/>
      <c r="Y1384" s="86"/>
      <c r="Z1384" s="86"/>
      <c r="AA1384" s="86"/>
      <c r="AB1384" s="86"/>
      <c r="AC1384" s="86"/>
      <c r="AD1384" s="86"/>
      <c r="AE1384" s="86"/>
      <c r="AF1384" s="86"/>
    </row>
    <row r="1385" spans="1:32">
      <c r="A1385" s="86"/>
      <c r="B1385" s="86"/>
      <c r="C1385" s="86"/>
      <c r="D1385" s="86"/>
      <c r="E1385" s="86"/>
      <c r="F1385" s="86"/>
      <c r="G1385" s="86"/>
      <c r="H1385" s="86"/>
      <c r="I1385" s="86"/>
      <c r="J1385" s="86"/>
      <c r="K1385" s="86"/>
      <c r="L1385" s="86"/>
      <c r="M1385" s="86"/>
      <c r="N1385" s="86"/>
      <c r="O1385" s="86"/>
      <c r="P1385" s="86"/>
      <c r="Q1385" s="86"/>
      <c r="R1385" s="86"/>
      <c r="S1385" s="86"/>
      <c r="T1385" s="86"/>
      <c r="U1385" s="86"/>
      <c r="V1385" s="86"/>
      <c r="W1385" s="86"/>
      <c r="X1385" s="86"/>
      <c r="Y1385" s="86"/>
      <c r="Z1385" s="86"/>
      <c r="AA1385" s="86"/>
      <c r="AB1385" s="86"/>
      <c r="AC1385" s="86"/>
      <c r="AD1385" s="86"/>
      <c r="AE1385" s="86"/>
      <c r="AF1385" s="86"/>
    </row>
    <row r="1386" spans="1:32">
      <c r="A1386" s="86"/>
      <c r="B1386" s="86"/>
      <c r="C1386" s="86"/>
      <c r="D1386" s="86"/>
      <c r="E1386" s="86"/>
      <c r="F1386" s="86"/>
      <c r="G1386" s="86"/>
      <c r="H1386" s="86"/>
      <c r="I1386" s="86"/>
      <c r="J1386" s="86"/>
      <c r="K1386" s="86"/>
      <c r="L1386" s="86"/>
      <c r="M1386" s="86"/>
      <c r="N1386" s="86"/>
      <c r="O1386" s="86"/>
      <c r="P1386" s="86"/>
      <c r="Q1386" s="86"/>
      <c r="R1386" s="86"/>
      <c r="S1386" s="86"/>
      <c r="T1386" s="86"/>
      <c r="U1386" s="86"/>
      <c r="V1386" s="86"/>
      <c r="W1386" s="86"/>
      <c r="X1386" s="86"/>
      <c r="Y1386" s="86"/>
      <c r="Z1386" s="86"/>
      <c r="AA1386" s="86"/>
      <c r="AB1386" s="86"/>
      <c r="AC1386" s="86"/>
      <c r="AD1386" s="86"/>
      <c r="AE1386" s="86"/>
      <c r="AF1386" s="86"/>
    </row>
    <row r="1387" spans="1:32">
      <c r="A1387" s="86"/>
      <c r="B1387" s="86"/>
      <c r="C1387" s="86"/>
      <c r="D1387" s="86"/>
      <c r="E1387" s="86"/>
      <c r="F1387" s="86"/>
      <c r="G1387" s="86"/>
      <c r="H1387" s="86"/>
      <c r="I1387" s="86"/>
      <c r="J1387" s="86"/>
      <c r="K1387" s="86"/>
      <c r="L1387" s="86"/>
      <c r="M1387" s="86"/>
      <c r="N1387" s="86"/>
      <c r="O1387" s="86"/>
      <c r="P1387" s="86"/>
      <c r="Q1387" s="86"/>
      <c r="R1387" s="86"/>
      <c r="S1387" s="86"/>
      <c r="T1387" s="86"/>
      <c r="U1387" s="86"/>
      <c r="V1387" s="86"/>
      <c r="W1387" s="86"/>
      <c r="X1387" s="86"/>
      <c r="Y1387" s="86"/>
      <c r="Z1387" s="86"/>
      <c r="AA1387" s="86"/>
      <c r="AB1387" s="86"/>
      <c r="AC1387" s="86"/>
      <c r="AD1387" s="86"/>
      <c r="AE1387" s="86"/>
      <c r="AF1387" s="86"/>
    </row>
    <row r="1388" spans="1:32">
      <c r="A1388" s="86"/>
      <c r="B1388" s="86"/>
      <c r="C1388" s="86"/>
      <c r="D1388" s="86"/>
      <c r="E1388" s="86"/>
      <c r="F1388" s="86"/>
      <c r="G1388" s="86"/>
      <c r="H1388" s="86"/>
      <c r="I1388" s="86"/>
      <c r="J1388" s="86"/>
      <c r="K1388" s="86"/>
      <c r="L1388" s="86"/>
      <c r="M1388" s="86"/>
      <c r="N1388" s="86"/>
      <c r="O1388" s="86"/>
      <c r="P1388" s="86"/>
      <c r="Q1388" s="86"/>
      <c r="R1388" s="86"/>
      <c r="S1388" s="86"/>
      <c r="T1388" s="86"/>
      <c r="U1388" s="86"/>
      <c r="V1388" s="86"/>
      <c r="W1388" s="86"/>
      <c r="X1388" s="86"/>
      <c r="Y1388" s="86"/>
      <c r="Z1388" s="86"/>
      <c r="AA1388" s="86"/>
      <c r="AB1388" s="86"/>
      <c r="AC1388" s="86"/>
      <c r="AD1388" s="86"/>
      <c r="AE1388" s="86"/>
      <c r="AF1388" s="86"/>
    </row>
    <row r="1389" spans="1:32">
      <c r="A1389" s="86"/>
      <c r="B1389" s="86"/>
      <c r="C1389" s="86"/>
      <c r="D1389" s="86"/>
      <c r="E1389" s="86"/>
      <c r="F1389" s="86"/>
      <c r="G1389" s="86"/>
      <c r="H1389" s="86"/>
      <c r="I1389" s="86"/>
      <c r="J1389" s="86"/>
      <c r="K1389" s="86"/>
      <c r="L1389" s="86"/>
      <c r="M1389" s="86"/>
      <c r="N1389" s="86"/>
      <c r="O1389" s="86"/>
      <c r="P1389" s="86"/>
      <c r="Q1389" s="86"/>
      <c r="R1389" s="86"/>
      <c r="S1389" s="86"/>
      <c r="T1389" s="86"/>
      <c r="U1389" s="86"/>
      <c r="V1389" s="86"/>
      <c r="W1389" s="86"/>
      <c r="X1389" s="86"/>
      <c r="Y1389" s="86"/>
      <c r="Z1389" s="86"/>
      <c r="AA1389" s="86"/>
      <c r="AB1389" s="86"/>
      <c r="AC1389" s="86"/>
      <c r="AD1389" s="86"/>
      <c r="AE1389" s="86"/>
      <c r="AF1389" s="86"/>
    </row>
    <row r="1390" spans="1:32">
      <c r="A1390" s="86"/>
      <c r="B1390" s="86"/>
      <c r="C1390" s="86"/>
      <c r="D1390" s="86"/>
      <c r="E1390" s="86"/>
      <c r="F1390" s="86"/>
      <c r="G1390" s="86"/>
      <c r="H1390" s="86"/>
      <c r="I1390" s="86"/>
      <c r="J1390" s="86"/>
      <c r="K1390" s="86"/>
      <c r="L1390" s="86"/>
      <c r="M1390" s="86"/>
      <c r="N1390" s="86"/>
      <c r="O1390" s="86"/>
      <c r="P1390" s="86"/>
      <c r="Q1390" s="86"/>
      <c r="R1390" s="86"/>
      <c r="S1390" s="86"/>
      <c r="T1390" s="86"/>
      <c r="U1390" s="86"/>
      <c r="V1390" s="86"/>
      <c r="W1390" s="86"/>
      <c r="X1390" s="86"/>
      <c r="Y1390" s="86"/>
      <c r="Z1390" s="86"/>
      <c r="AA1390" s="86"/>
      <c r="AB1390" s="86"/>
      <c r="AC1390" s="86"/>
      <c r="AD1390" s="86"/>
      <c r="AE1390" s="86"/>
      <c r="AF1390" s="86"/>
    </row>
    <row r="1391" spans="1:32">
      <c r="A1391" s="86"/>
      <c r="B1391" s="86"/>
      <c r="C1391" s="86"/>
      <c r="D1391" s="86"/>
      <c r="E1391" s="86"/>
      <c r="F1391" s="86"/>
      <c r="G1391" s="86"/>
      <c r="H1391" s="86"/>
      <c r="I1391" s="86"/>
      <c r="J1391" s="86"/>
      <c r="K1391" s="86"/>
      <c r="L1391" s="86"/>
      <c r="M1391" s="86"/>
      <c r="N1391" s="86"/>
      <c r="O1391" s="86"/>
      <c r="P1391" s="86"/>
      <c r="Q1391" s="86"/>
      <c r="R1391" s="86"/>
      <c r="S1391" s="86"/>
      <c r="T1391" s="86"/>
      <c r="U1391" s="86"/>
      <c r="V1391" s="86"/>
      <c r="W1391" s="86"/>
      <c r="X1391" s="86"/>
      <c r="Y1391" s="86"/>
      <c r="Z1391" s="86"/>
      <c r="AA1391" s="86"/>
      <c r="AB1391" s="86"/>
      <c r="AC1391" s="86"/>
      <c r="AD1391" s="86"/>
      <c r="AE1391" s="86"/>
      <c r="AF1391" s="86"/>
    </row>
    <row r="1392" spans="1:32">
      <c r="A1392" s="86"/>
      <c r="B1392" s="86"/>
      <c r="C1392" s="86"/>
      <c r="D1392" s="86"/>
      <c r="E1392" s="86"/>
      <c r="F1392" s="86"/>
      <c r="G1392" s="86"/>
      <c r="H1392" s="86"/>
      <c r="I1392" s="86"/>
      <c r="J1392" s="86"/>
      <c r="K1392" s="86"/>
      <c r="L1392" s="86"/>
      <c r="M1392" s="86"/>
      <c r="N1392" s="86"/>
      <c r="O1392" s="86"/>
      <c r="P1392" s="86"/>
      <c r="Q1392" s="86"/>
      <c r="R1392" s="86"/>
      <c r="S1392" s="86"/>
      <c r="T1392" s="86"/>
      <c r="U1392" s="86"/>
      <c r="V1392" s="86"/>
      <c r="W1392" s="86"/>
      <c r="X1392" s="86"/>
      <c r="Y1392" s="86"/>
      <c r="Z1392" s="86"/>
      <c r="AA1392" s="86"/>
      <c r="AB1392" s="86"/>
      <c r="AC1392" s="86"/>
      <c r="AD1392" s="86"/>
      <c r="AE1392" s="86"/>
      <c r="AF1392" s="86"/>
    </row>
    <row r="1393" spans="1:32">
      <c r="A1393" s="86"/>
      <c r="B1393" s="86"/>
      <c r="C1393" s="86"/>
      <c r="D1393" s="86"/>
      <c r="E1393" s="86"/>
      <c r="F1393" s="86"/>
      <c r="G1393" s="86"/>
      <c r="H1393" s="86"/>
      <c r="I1393" s="86"/>
      <c r="J1393" s="86"/>
      <c r="K1393" s="86"/>
      <c r="L1393" s="86"/>
      <c r="M1393" s="86"/>
      <c r="N1393" s="86"/>
      <c r="O1393" s="86"/>
      <c r="P1393" s="86"/>
      <c r="Q1393" s="86"/>
      <c r="R1393" s="86"/>
      <c r="S1393" s="86"/>
      <c r="T1393" s="86"/>
      <c r="U1393" s="86"/>
      <c r="V1393" s="86"/>
      <c r="W1393" s="86"/>
      <c r="X1393" s="86"/>
      <c r="Y1393" s="86"/>
      <c r="Z1393" s="86"/>
      <c r="AA1393" s="86"/>
      <c r="AB1393" s="86"/>
      <c r="AC1393" s="86"/>
      <c r="AD1393" s="86"/>
      <c r="AE1393" s="86"/>
      <c r="AF1393" s="86"/>
    </row>
    <row r="1394" spans="1:32">
      <c r="A1394" s="86"/>
      <c r="B1394" s="86"/>
      <c r="C1394" s="86"/>
      <c r="D1394" s="86"/>
      <c r="E1394" s="86"/>
      <c r="F1394" s="86"/>
      <c r="G1394" s="86"/>
      <c r="H1394" s="86"/>
      <c r="I1394" s="86"/>
      <c r="J1394" s="86"/>
      <c r="K1394" s="86"/>
      <c r="L1394" s="86"/>
      <c r="M1394" s="86"/>
      <c r="N1394" s="86"/>
      <c r="O1394" s="86"/>
      <c r="P1394" s="86"/>
      <c r="Q1394" s="86"/>
      <c r="R1394" s="86"/>
      <c r="S1394" s="86"/>
      <c r="T1394" s="86"/>
      <c r="U1394" s="86"/>
      <c r="V1394" s="86"/>
      <c r="W1394" s="86"/>
      <c r="X1394" s="86"/>
      <c r="Y1394" s="86"/>
      <c r="Z1394" s="86"/>
      <c r="AA1394" s="86"/>
      <c r="AB1394" s="86"/>
      <c r="AC1394" s="86"/>
      <c r="AD1394" s="86"/>
      <c r="AE1394" s="86"/>
      <c r="AF1394" s="86"/>
    </row>
    <row r="1395" spans="1:32">
      <c r="A1395" s="86"/>
      <c r="B1395" s="86"/>
      <c r="C1395" s="86"/>
      <c r="D1395" s="86"/>
      <c r="E1395" s="86"/>
      <c r="F1395" s="86"/>
      <c r="G1395" s="86"/>
      <c r="H1395" s="86"/>
      <c r="I1395" s="86"/>
      <c r="J1395" s="86"/>
      <c r="K1395" s="86"/>
      <c r="L1395" s="86"/>
      <c r="M1395" s="86"/>
      <c r="N1395" s="86"/>
      <c r="O1395" s="86"/>
      <c r="P1395" s="86"/>
      <c r="Q1395" s="86"/>
      <c r="R1395" s="86"/>
      <c r="S1395" s="86"/>
      <c r="T1395" s="86"/>
      <c r="U1395" s="86"/>
      <c r="V1395" s="86"/>
      <c r="W1395" s="86"/>
      <c r="X1395" s="86"/>
      <c r="Y1395" s="86"/>
      <c r="Z1395" s="86"/>
      <c r="AA1395" s="86"/>
      <c r="AB1395" s="86"/>
      <c r="AC1395" s="86"/>
      <c r="AD1395" s="86"/>
      <c r="AE1395" s="86"/>
      <c r="AF1395" s="86"/>
    </row>
    <row r="1396" spans="1:32">
      <c r="A1396" s="86"/>
      <c r="B1396" s="86"/>
      <c r="C1396" s="86"/>
      <c r="D1396" s="86"/>
      <c r="E1396" s="86"/>
      <c r="F1396" s="86"/>
      <c r="G1396" s="86"/>
      <c r="H1396" s="86"/>
      <c r="I1396" s="86"/>
      <c r="J1396" s="86"/>
      <c r="K1396" s="86"/>
      <c r="L1396" s="86"/>
      <c r="M1396" s="86"/>
      <c r="N1396" s="86"/>
      <c r="O1396" s="86"/>
      <c r="P1396" s="86"/>
      <c r="Q1396" s="86"/>
      <c r="R1396" s="86"/>
      <c r="S1396" s="86"/>
      <c r="T1396" s="86"/>
      <c r="U1396" s="86"/>
      <c r="V1396" s="86"/>
      <c r="W1396" s="86"/>
      <c r="X1396" s="86"/>
      <c r="Y1396" s="86"/>
      <c r="Z1396" s="86"/>
      <c r="AA1396" s="86"/>
      <c r="AB1396" s="86"/>
      <c r="AC1396" s="86"/>
      <c r="AD1396" s="86"/>
      <c r="AE1396" s="86"/>
      <c r="AF1396" s="86"/>
    </row>
    <row r="1397" spans="1:32">
      <c r="A1397" s="86"/>
      <c r="B1397" s="86"/>
      <c r="C1397" s="86"/>
      <c r="D1397" s="86"/>
      <c r="E1397" s="86"/>
      <c r="F1397" s="86"/>
      <c r="G1397" s="86"/>
      <c r="H1397" s="86"/>
      <c r="I1397" s="86"/>
      <c r="J1397" s="86"/>
      <c r="K1397" s="86"/>
      <c r="L1397" s="86"/>
      <c r="M1397" s="86"/>
      <c r="N1397" s="86"/>
      <c r="O1397" s="86"/>
      <c r="P1397" s="86"/>
      <c r="Q1397" s="86"/>
      <c r="R1397" s="86"/>
      <c r="S1397" s="86"/>
      <c r="T1397" s="86"/>
      <c r="U1397" s="86"/>
      <c r="V1397" s="86"/>
      <c r="W1397" s="86"/>
      <c r="X1397" s="86"/>
      <c r="Y1397" s="86"/>
      <c r="Z1397" s="86"/>
      <c r="AA1397" s="86"/>
      <c r="AB1397" s="86"/>
      <c r="AC1397" s="86"/>
      <c r="AD1397" s="86"/>
      <c r="AE1397" s="86"/>
      <c r="AF1397" s="86"/>
    </row>
    <row r="1398" spans="1:32">
      <c r="A1398" s="86"/>
      <c r="B1398" s="86"/>
      <c r="C1398" s="86"/>
      <c r="D1398" s="86"/>
      <c r="E1398" s="86"/>
      <c r="F1398" s="86"/>
      <c r="G1398" s="86"/>
      <c r="H1398" s="86"/>
      <c r="I1398" s="86"/>
      <c r="J1398" s="86"/>
      <c r="K1398" s="86"/>
      <c r="L1398" s="86"/>
      <c r="M1398" s="86"/>
      <c r="N1398" s="86"/>
      <c r="O1398" s="86"/>
      <c r="P1398" s="86"/>
      <c r="Q1398" s="86"/>
      <c r="R1398" s="86"/>
      <c r="S1398" s="86"/>
      <c r="T1398" s="86"/>
      <c r="U1398" s="86"/>
      <c r="V1398" s="86"/>
      <c r="W1398" s="86"/>
      <c r="X1398" s="86"/>
      <c r="Y1398" s="86"/>
      <c r="Z1398" s="86"/>
      <c r="AA1398" s="86"/>
      <c r="AB1398" s="86"/>
      <c r="AC1398" s="86"/>
      <c r="AD1398" s="86"/>
      <c r="AE1398" s="86"/>
      <c r="AF1398" s="86"/>
    </row>
    <row r="1399" spans="1:32">
      <c r="A1399" s="86"/>
      <c r="B1399" s="86"/>
      <c r="C1399" s="86"/>
      <c r="D1399" s="86"/>
      <c r="E1399" s="86"/>
      <c r="F1399" s="86"/>
      <c r="G1399" s="86"/>
      <c r="H1399" s="86"/>
      <c r="I1399" s="86"/>
      <c r="J1399" s="86"/>
      <c r="K1399" s="86"/>
      <c r="L1399" s="86"/>
      <c r="M1399" s="86"/>
      <c r="N1399" s="86"/>
      <c r="O1399" s="86"/>
      <c r="P1399" s="86"/>
      <c r="Q1399" s="86"/>
      <c r="R1399" s="86"/>
      <c r="S1399" s="86"/>
      <c r="T1399" s="86"/>
      <c r="U1399" s="86"/>
      <c r="V1399" s="86"/>
      <c r="W1399" s="86"/>
      <c r="X1399" s="86"/>
      <c r="Y1399" s="86"/>
      <c r="Z1399" s="86"/>
      <c r="AA1399" s="86"/>
      <c r="AB1399" s="86"/>
      <c r="AC1399" s="86"/>
      <c r="AD1399" s="86"/>
      <c r="AE1399" s="86"/>
      <c r="AF1399" s="86"/>
    </row>
    <row r="1400" spans="1:32">
      <c r="A1400" s="86"/>
      <c r="B1400" s="86"/>
      <c r="C1400" s="86"/>
      <c r="D1400" s="86"/>
      <c r="E1400" s="86"/>
      <c r="F1400" s="86"/>
      <c r="G1400" s="86"/>
      <c r="H1400" s="86"/>
      <c r="I1400" s="86"/>
      <c r="J1400" s="86"/>
      <c r="K1400" s="86"/>
      <c r="L1400" s="86"/>
      <c r="M1400" s="86"/>
      <c r="N1400" s="86"/>
      <c r="O1400" s="86"/>
      <c r="P1400" s="86"/>
      <c r="Q1400" s="86"/>
      <c r="R1400" s="86"/>
      <c r="S1400" s="86"/>
      <c r="T1400" s="86"/>
      <c r="U1400" s="86"/>
      <c r="V1400" s="86"/>
      <c r="W1400" s="86"/>
      <c r="X1400" s="86"/>
      <c r="Y1400" s="86"/>
      <c r="Z1400" s="86"/>
      <c r="AA1400" s="86"/>
      <c r="AB1400" s="86"/>
      <c r="AC1400" s="86"/>
      <c r="AD1400" s="86"/>
      <c r="AE1400" s="86"/>
      <c r="AF1400" s="86"/>
    </row>
    <row r="1401" spans="1:32">
      <c r="A1401" s="86"/>
      <c r="B1401" s="86"/>
      <c r="C1401" s="86"/>
      <c r="D1401" s="86"/>
      <c r="E1401" s="86"/>
      <c r="F1401" s="86"/>
      <c r="G1401" s="86"/>
      <c r="H1401" s="86"/>
      <c r="I1401" s="86"/>
      <c r="J1401" s="86"/>
      <c r="K1401" s="86"/>
      <c r="L1401" s="86"/>
      <c r="M1401" s="86"/>
      <c r="N1401" s="86"/>
      <c r="O1401" s="86"/>
      <c r="P1401" s="86"/>
      <c r="Q1401" s="86"/>
      <c r="R1401" s="86"/>
      <c r="S1401" s="86"/>
      <c r="T1401" s="86"/>
      <c r="U1401" s="86"/>
      <c r="V1401" s="86"/>
      <c r="W1401" s="86"/>
      <c r="X1401" s="86"/>
      <c r="Y1401" s="86"/>
      <c r="Z1401" s="86"/>
      <c r="AA1401" s="86"/>
      <c r="AB1401" s="86"/>
      <c r="AC1401" s="86"/>
      <c r="AD1401" s="86"/>
      <c r="AE1401" s="86"/>
      <c r="AF1401" s="86"/>
    </row>
    <row r="1402" spans="1:32">
      <c r="A1402" s="86"/>
      <c r="B1402" s="86"/>
      <c r="C1402" s="86"/>
      <c r="D1402" s="86"/>
      <c r="E1402" s="86"/>
      <c r="F1402" s="86"/>
      <c r="G1402" s="86"/>
      <c r="H1402" s="86"/>
      <c r="I1402" s="86"/>
      <c r="J1402" s="86"/>
      <c r="K1402" s="86"/>
      <c r="L1402" s="86"/>
      <c r="M1402" s="86"/>
      <c r="N1402" s="86"/>
      <c r="O1402" s="86"/>
      <c r="P1402" s="86"/>
      <c r="Q1402" s="86"/>
      <c r="R1402" s="86"/>
      <c r="S1402" s="86"/>
      <c r="T1402" s="86"/>
      <c r="U1402" s="86"/>
      <c r="V1402" s="86"/>
      <c r="W1402" s="86"/>
      <c r="X1402" s="86"/>
      <c r="Y1402" s="86"/>
      <c r="Z1402" s="86"/>
      <c r="AA1402" s="86"/>
      <c r="AB1402" s="86"/>
      <c r="AC1402" s="86"/>
      <c r="AD1402" s="86"/>
      <c r="AE1402" s="86"/>
      <c r="AF1402" s="86"/>
    </row>
    <row r="1403" spans="1:32">
      <c r="A1403" s="86"/>
      <c r="B1403" s="86"/>
      <c r="C1403" s="86"/>
      <c r="D1403" s="86"/>
      <c r="E1403" s="86"/>
      <c r="F1403" s="86"/>
      <c r="G1403" s="86"/>
      <c r="H1403" s="86"/>
      <c r="I1403" s="86"/>
      <c r="J1403" s="86"/>
      <c r="K1403" s="86"/>
      <c r="L1403" s="86"/>
      <c r="M1403" s="86"/>
      <c r="N1403" s="86"/>
      <c r="O1403" s="86"/>
      <c r="P1403" s="86"/>
      <c r="Q1403" s="86"/>
      <c r="R1403" s="86"/>
      <c r="S1403" s="86"/>
      <c r="T1403" s="86"/>
      <c r="U1403" s="86"/>
      <c r="V1403" s="86"/>
      <c r="W1403" s="86"/>
      <c r="X1403" s="86"/>
      <c r="Y1403" s="86"/>
      <c r="Z1403" s="86"/>
      <c r="AA1403" s="86"/>
      <c r="AB1403" s="86"/>
      <c r="AC1403" s="86"/>
      <c r="AD1403" s="86"/>
      <c r="AE1403" s="86"/>
      <c r="AF1403" s="86"/>
    </row>
    <row r="1404" spans="1:32">
      <c r="A1404" s="86"/>
      <c r="B1404" s="86"/>
      <c r="C1404" s="86"/>
      <c r="D1404" s="86"/>
      <c r="E1404" s="86"/>
      <c r="F1404" s="86"/>
      <c r="G1404" s="86"/>
      <c r="H1404" s="86"/>
      <c r="I1404" s="86"/>
      <c r="J1404" s="86"/>
      <c r="K1404" s="86"/>
      <c r="L1404" s="86"/>
      <c r="M1404" s="86"/>
      <c r="N1404" s="86"/>
      <c r="O1404" s="86"/>
      <c r="P1404" s="86"/>
      <c r="Q1404" s="86"/>
      <c r="R1404" s="86"/>
      <c r="S1404" s="86"/>
      <c r="T1404" s="86"/>
      <c r="U1404" s="86"/>
      <c r="V1404" s="86"/>
      <c r="W1404" s="86"/>
      <c r="X1404" s="86"/>
      <c r="Y1404" s="86"/>
      <c r="Z1404" s="86"/>
      <c r="AA1404" s="86"/>
      <c r="AB1404" s="86"/>
      <c r="AC1404" s="86"/>
      <c r="AD1404" s="86"/>
      <c r="AE1404" s="86"/>
      <c r="AF1404" s="86"/>
    </row>
    <row r="1405" spans="1:32">
      <c r="A1405" s="86"/>
      <c r="B1405" s="86"/>
      <c r="C1405" s="86"/>
      <c r="D1405" s="86"/>
      <c r="E1405" s="86"/>
      <c r="F1405" s="86"/>
      <c r="G1405" s="86"/>
      <c r="H1405" s="86"/>
      <c r="I1405" s="86"/>
      <c r="J1405" s="86"/>
      <c r="K1405" s="86"/>
      <c r="L1405" s="86"/>
      <c r="M1405" s="86"/>
      <c r="N1405" s="86"/>
      <c r="O1405" s="86"/>
      <c r="P1405" s="86"/>
      <c r="Q1405" s="86"/>
      <c r="R1405" s="86"/>
      <c r="S1405" s="86"/>
      <c r="T1405" s="86"/>
      <c r="U1405" s="86"/>
      <c r="V1405" s="86"/>
      <c r="W1405" s="86"/>
      <c r="X1405" s="86"/>
      <c r="Y1405" s="86"/>
      <c r="Z1405" s="86"/>
      <c r="AA1405" s="86"/>
      <c r="AB1405" s="86"/>
      <c r="AC1405" s="86"/>
      <c r="AD1405" s="86"/>
      <c r="AE1405" s="86"/>
      <c r="AF1405" s="86"/>
    </row>
    <row r="1406" spans="1:32">
      <c r="A1406" s="86"/>
      <c r="B1406" s="86"/>
      <c r="C1406" s="86"/>
      <c r="D1406" s="86"/>
      <c r="E1406" s="86"/>
      <c r="F1406" s="86"/>
      <c r="G1406" s="86"/>
      <c r="H1406" s="86"/>
      <c r="I1406" s="86"/>
      <c r="J1406" s="86"/>
      <c r="K1406" s="86"/>
      <c r="L1406" s="86"/>
      <c r="M1406" s="86"/>
      <c r="N1406" s="86"/>
      <c r="O1406" s="86"/>
      <c r="P1406" s="86"/>
      <c r="Q1406" s="86"/>
      <c r="R1406" s="86"/>
      <c r="S1406" s="86"/>
      <c r="T1406" s="86"/>
      <c r="U1406" s="86"/>
      <c r="V1406" s="86"/>
      <c r="W1406" s="86"/>
      <c r="X1406" s="86"/>
      <c r="Y1406" s="86"/>
      <c r="Z1406" s="86"/>
      <c r="AA1406" s="86"/>
      <c r="AB1406" s="86"/>
      <c r="AC1406" s="86"/>
      <c r="AD1406" s="86"/>
      <c r="AE1406" s="86"/>
      <c r="AF1406" s="86"/>
    </row>
    <row r="1407" spans="1:32">
      <c r="A1407" s="86"/>
      <c r="B1407" s="86"/>
      <c r="C1407" s="86"/>
      <c r="D1407" s="86"/>
      <c r="E1407" s="86"/>
      <c r="F1407" s="86"/>
      <c r="G1407" s="86"/>
      <c r="H1407" s="86"/>
      <c r="I1407" s="86"/>
      <c r="J1407" s="86"/>
      <c r="K1407" s="86"/>
      <c r="L1407" s="86"/>
      <c r="M1407" s="86"/>
      <c r="N1407" s="86"/>
      <c r="O1407" s="86"/>
      <c r="P1407" s="86"/>
      <c r="Q1407" s="86"/>
      <c r="R1407" s="86"/>
      <c r="S1407" s="86"/>
      <c r="T1407" s="86"/>
      <c r="U1407" s="86"/>
      <c r="V1407" s="86"/>
      <c r="W1407" s="86"/>
      <c r="X1407" s="86"/>
      <c r="Y1407" s="86"/>
      <c r="Z1407" s="86"/>
      <c r="AA1407" s="86"/>
      <c r="AB1407" s="86"/>
      <c r="AC1407" s="86"/>
      <c r="AD1407" s="86"/>
      <c r="AE1407" s="86"/>
      <c r="AF1407" s="86"/>
    </row>
    <row r="1408" spans="1:32">
      <c r="A1408" s="86"/>
      <c r="B1408" s="86"/>
      <c r="C1408" s="86"/>
      <c r="D1408" s="86"/>
      <c r="E1408" s="86"/>
      <c r="F1408" s="86"/>
      <c r="G1408" s="86"/>
      <c r="H1408" s="86"/>
      <c r="I1408" s="86"/>
      <c r="J1408" s="86"/>
      <c r="K1408" s="86"/>
      <c r="L1408" s="86"/>
      <c r="M1408" s="86"/>
      <c r="N1408" s="86"/>
      <c r="O1408" s="86"/>
      <c r="P1408" s="86"/>
      <c r="Q1408" s="86"/>
      <c r="R1408" s="86"/>
      <c r="S1408" s="86"/>
      <c r="T1408" s="86"/>
      <c r="U1408" s="86"/>
      <c r="V1408" s="86"/>
      <c r="W1408" s="86"/>
      <c r="X1408" s="86"/>
      <c r="Y1408" s="86"/>
      <c r="Z1408" s="86"/>
      <c r="AA1408" s="86"/>
      <c r="AB1408" s="86"/>
      <c r="AC1408" s="86"/>
      <c r="AD1408" s="86"/>
      <c r="AE1408" s="86"/>
      <c r="AF1408" s="86"/>
    </row>
    <row r="1409" spans="1:32">
      <c r="A1409" s="86"/>
      <c r="B1409" s="86"/>
      <c r="C1409" s="86"/>
      <c r="D1409" s="86"/>
      <c r="E1409" s="86"/>
      <c r="F1409" s="86"/>
      <c r="G1409" s="86"/>
      <c r="H1409" s="86"/>
      <c r="I1409" s="86"/>
      <c r="J1409" s="86"/>
      <c r="K1409" s="86"/>
      <c r="L1409" s="86"/>
      <c r="M1409" s="86"/>
      <c r="N1409" s="86"/>
      <c r="O1409" s="86"/>
      <c r="P1409" s="86"/>
      <c r="Q1409" s="86"/>
      <c r="R1409" s="86"/>
      <c r="S1409" s="86"/>
      <c r="T1409" s="86"/>
      <c r="U1409" s="86"/>
      <c r="V1409" s="86"/>
      <c r="W1409" s="86"/>
      <c r="X1409" s="86"/>
      <c r="Y1409" s="86"/>
      <c r="Z1409" s="86"/>
      <c r="AA1409" s="86"/>
      <c r="AB1409" s="86"/>
      <c r="AC1409" s="86"/>
      <c r="AD1409" s="86"/>
      <c r="AE1409" s="86"/>
      <c r="AF1409" s="86"/>
    </row>
    <row r="1410" spans="1:32">
      <c r="A1410" s="86"/>
      <c r="B1410" s="86"/>
      <c r="C1410" s="86"/>
      <c r="D1410" s="86"/>
      <c r="E1410" s="86"/>
      <c r="F1410" s="86"/>
      <c r="G1410" s="86"/>
      <c r="H1410" s="86"/>
      <c r="I1410" s="86"/>
      <c r="J1410" s="86"/>
      <c r="K1410" s="86"/>
      <c r="L1410" s="86"/>
      <c r="M1410" s="86"/>
      <c r="N1410" s="86"/>
      <c r="O1410" s="86"/>
      <c r="P1410" s="86"/>
      <c r="Q1410" s="86"/>
      <c r="R1410" s="86"/>
      <c r="S1410" s="86"/>
      <c r="T1410" s="86"/>
      <c r="U1410" s="86"/>
      <c r="V1410" s="86"/>
      <c r="W1410" s="86"/>
      <c r="X1410" s="86"/>
      <c r="Y1410" s="86"/>
      <c r="Z1410" s="86"/>
      <c r="AA1410" s="86"/>
      <c r="AB1410" s="86"/>
      <c r="AC1410" s="86"/>
      <c r="AD1410" s="86"/>
      <c r="AE1410" s="86"/>
      <c r="AF1410" s="86"/>
    </row>
    <row r="1411" spans="1:32">
      <c r="A1411" s="86"/>
      <c r="B1411" s="86"/>
      <c r="C1411" s="86"/>
      <c r="D1411" s="86"/>
      <c r="E1411" s="86"/>
      <c r="F1411" s="86"/>
      <c r="G1411" s="86"/>
      <c r="H1411" s="86"/>
      <c r="I1411" s="86"/>
      <c r="J1411" s="86"/>
      <c r="K1411" s="86"/>
      <c r="L1411" s="86"/>
      <c r="M1411" s="86"/>
      <c r="N1411" s="86"/>
      <c r="O1411" s="86"/>
      <c r="P1411" s="86"/>
      <c r="Q1411" s="86"/>
      <c r="R1411" s="86"/>
      <c r="S1411" s="86"/>
      <c r="T1411" s="86"/>
      <c r="U1411" s="86"/>
      <c r="V1411" s="86"/>
      <c r="W1411" s="86"/>
      <c r="X1411" s="86"/>
      <c r="Y1411" s="86"/>
      <c r="Z1411" s="86"/>
      <c r="AA1411" s="86"/>
      <c r="AB1411" s="86"/>
      <c r="AC1411" s="86"/>
      <c r="AD1411" s="86"/>
      <c r="AE1411" s="86"/>
      <c r="AF1411" s="86"/>
    </row>
    <row r="1412" spans="1:32">
      <c r="A1412" s="86"/>
      <c r="B1412" s="86"/>
      <c r="C1412" s="86"/>
      <c r="D1412" s="86"/>
      <c r="E1412" s="86"/>
      <c r="F1412" s="86"/>
      <c r="G1412" s="86"/>
      <c r="H1412" s="86"/>
      <c r="I1412" s="86"/>
      <c r="J1412" s="86"/>
      <c r="K1412" s="86"/>
      <c r="L1412" s="86"/>
      <c r="M1412" s="86"/>
      <c r="N1412" s="86"/>
      <c r="O1412" s="86"/>
      <c r="P1412" s="86"/>
      <c r="Q1412" s="86"/>
      <c r="R1412" s="86"/>
      <c r="S1412" s="86"/>
      <c r="T1412" s="86"/>
      <c r="U1412" s="86"/>
      <c r="V1412" s="86"/>
      <c r="W1412" s="86"/>
      <c r="X1412" s="86"/>
      <c r="Y1412" s="86"/>
      <c r="Z1412" s="86"/>
      <c r="AA1412" s="86"/>
      <c r="AB1412" s="86"/>
      <c r="AC1412" s="86"/>
      <c r="AD1412" s="86"/>
      <c r="AE1412" s="86"/>
      <c r="AF1412" s="86"/>
    </row>
    <row r="1413" spans="1:32">
      <c r="A1413" s="86"/>
      <c r="B1413" s="86"/>
      <c r="C1413" s="86"/>
      <c r="D1413" s="86"/>
      <c r="E1413" s="86"/>
      <c r="F1413" s="86"/>
      <c r="G1413" s="86"/>
      <c r="H1413" s="86"/>
      <c r="I1413" s="86"/>
      <c r="J1413" s="86"/>
      <c r="K1413" s="86"/>
      <c r="L1413" s="86"/>
      <c r="M1413" s="86"/>
      <c r="N1413" s="86"/>
      <c r="O1413" s="86"/>
      <c r="P1413" s="86"/>
      <c r="Q1413" s="86"/>
      <c r="R1413" s="86"/>
      <c r="S1413" s="86"/>
      <c r="T1413" s="86"/>
      <c r="U1413" s="86"/>
      <c r="V1413" s="86"/>
      <c r="W1413" s="86"/>
      <c r="X1413" s="86"/>
      <c r="Y1413" s="86"/>
      <c r="Z1413" s="86"/>
      <c r="AA1413" s="86"/>
      <c r="AB1413" s="86"/>
      <c r="AC1413" s="86"/>
      <c r="AD1413" s="86"/>
      <c r="AE1413" s="86"/>
      <c r="AF1413" s="86"/>
    </row>
    <row r="1414" spans="1:32">
      <c r="A1414" s="86"/>
      <c r="B1414" s="86"/>
      <c r="C1414" s="86"/>
      <c r="D1414" s="86"/>
      <c r="E1414" s="86"/>
      <c r="F1414" s="86"/>
      <c r="G1414" s="86"/>
      <c r="H1414" s="86"/>
      <c r="I1414" s="86"/>
      <c r="J1414" s="86"/>
      <c r="K1414" s="86"/>
      <c r="L1414" s="86"/>
      <c r="M1414" s="86"/>
      <c r="N1414" s="86"/>
      <c r="O1414" s="86"/>
      <c r="P1414" s="86"/>
      <c r="Q1414" s="86"/>
      <c r="R1414" s="86"/>
      <c r="S1414" s="86"/>
      <c r="T1414" s="86"/>
      <c r="U1414" s="86"/>
      <c r="V1414" s="86"/>
      <c r="W1414" s="86"/>
      <c r="X1414" s="86"/>
      <c r="Y1414" s="86"/>
      <c r="Z1414" s="86"/>
      <c r="AA1414" s="86"/>
      <c r="AB1414" s="86"/>
      <c r="AC1414" s="86"/>
      <c r="AD1414" s="86"/>
      <c r="AE1414" s="86"/>
      <c r="AF1414" s="86"/>
    </row>
    <row r="1415" spans="1:32">
      <c r="A1415" s="86"/>
      <c r="B1415" s="86"/>
      <c r="C1415" s="86"/>
      <c r="D1415" s="86"/>
      <c r="E1415" s="86"/>
      <c r="F1415" s="86"/>
      <c r="G1415" s="86"/>
      <c r="H1415" s="86"/>
      <c r="I1415" s="86"/>
      <c r="J1415" s="86"/>
      <c r="K1415" s="86"/>
      <c r="L1415" s="86"/>
      <c r="M1415" s="86"/>
      <c r="N1415" s="86"/>
      <c r="O1415" s="86"/>
      <c r="P1415" s="86"/>
      <c r="Q1415" s="86"/>
      <c r="R1415" s="86"/>
      <c r="S1415" s="86"/>
      <c r="T1415" s="86"/>
      <c r="U1415" s="86"/>
      <c r="V1415" s="86"/>
      <c r="W1415" s="86"/>
      <c r="X1415" s="86"/>
      <c r="Y1415" s="86"/>
      <c r="Z1415" s="86"/>
      <c r="AA1415" s="86"/>
      <c r="AB1415" s="86"/>
      <c r="AC1415" s="86"/>
      <c r="AD1415" s="86"/>
      <c r="AE1415" s="86"/>
      <c r="AF1415" s="86"/>
    </row>
    <row r="1416" spans="1:32">
      <c r="A1416" s="86"/>
      <c r="B1416" s="86"/>
      <c r="C1416" s="86"/>
      <c r="D1416" s="86"/>
      <c r="E1416" s="86"/>
      <c r="F1416" s="86"/>
      <c r="G1416" s="86"/>
      <c r="H1416" s="86"/>
      <c r="I1416" s="86"/>
      <c r="J1416" s="86"/>
      <c r="K1416" s="86"/>
      <c r="L1416" s="86"/>
      <c r="M1416" s="86"/>
      <c r="N1416" s="86"/>
      <c r="O1416" s="86"/>
      <c r="P1416" s="86"/>
      <c r="Q1416" s="86"/>
      <c r="R1416" s="86"/>
      <c r="S1416" s="86"/>
      <c r="T1416" s="86"/>
      <c r="U1416" s="86"/>
      <c r="V1416" s="86"/>
      <c r="W1416" s="86"/>
      <c r="X1416" s="86"/>
      <c r="Y1416" s="86"/>
      <c r="Z1416" s="86"/>
      <c r="AA1416" s="86"/>
      <c r="AB1416" s="86"/>
      <c r="AC1416" s="86"/>
      <c r="AD1416" s="86"/>
      <c r="AE1416" s="86"/>
      <c r="AF1416" s="86"/>
    </row>
    <row r="1417" spans="1:32">
      <c r="A1417" s="86"/>
      <c r="B1417" s="86"/>
      <c r="C1417" s="86"/>
      <c r="D1417" s="86"/>
      <c r="E1417" s="86"/>
      <c r="F1417" s="86"/>
      <c r="G1417" s="86"/>
      <c r="H1417" s="86"/>
      <c r="I1417" s="86"/>
      <c r="J1417" s="86"/>
      <c r="K1417" s="86"/>
      <c r="L1417" s="86"/>
      <c r="M1417" s="86"/>
      <c r="N1417" s="86"/>
      <c r="O1417" s="86"/>
      <c r="P1417" s="86"/>
      <c r="Q1417" s="86"/>
      <c r="R1417" s="86"/>
      <c r="S1417" s="86"/>
      <c r="T1417" s="86"/>
      <c r="U1417" s="86"/>
      <c r="V1417" s="86"/>
      <c r="W1417" s="86"/>
      <c r="X1417" s="86"/>
      <c r="Y1417" s="86"/>
      <c r="Z1417" s="86"/>
      <c r="AA1417" s="86"/>
      <c r="AB1417" s="86"/>
      <c r="AC1417" s="86"/>
      <c r="AD1417" s="86"/>
      <c r="AE1417" s="86"/>
      <c r="AF1417" s="86"/>
    </row>
    <row r="1418" spans="1:32">
      <c r="A1418" s="86"/>
      <c r="B1418" s="86"/>
      <c r="C1418" s="86"/>
      <c r="D1418" s="86"/>
      <c r="E1418" s="86"/>
      <c r="F1418" s="86"/>
      <c r="G1418" s="86"/>
      <c r="H1418" s="86"/>
      <c r="I1418" s="86"/>
      <c r="J1418" s="86"/>
      <c r="K1418" s="86"/>
      <c r="L1418" s="86"/>
      <c r="M1418" s="86"/>
      <c r="N1418" s="86"/>
      <c r="O1418" s="86"/>
      <c r="P1418" s="86"/>
      <c r="Q1418" s="86"/>
      <c r="R1418" s="86"/>
      <c r="S1418" s="86"/>
      <c r="T1418" s="86"/>
      <c r="U1418" s="86"/>
      <c r="V1418" s="86"/>
      <c r="W1418" s="86"/>
      <c r="X1418" s="86"/>
      <c r="Y1418" s="86"/>
      <c r="Z1418" s="86"/>
      <c r="AA1418" s="86"/>
      <c r="AB1418" s="86"/>
      <c r="AC1418" s="86"/>
      <c r="AD1418" s="86"/>
      <c r="AE1418" s="86"/>
      <c r="AF1418" s="86"/>
    </row>
    <row r="1419" spans="1:32">
      <c r="A1419" s="86"/>
      <c r="B1419" s="86"/>
      <c r="C1419" s="86"/>
      <c r="D1419" s="86"/>
      <c r="E1419" s="86"/>
      <c r="F1419" s="86"/>
      <c r="G1419" s="86"/>
      <c r="H1419" s="86"/>
      <c r="I1419" s="86"/>
      <c r="J1419" s="86"/>
      <c r="K1419" s="86"/>
      <c r="L1419" s="86"/>
      <c r="M1419" s="86"/>
      <c r="N1419" s="86"/>
      <c r="O1419" s="86"/>
      <c r="P1419" s="86"/>
      <c r="Q1419" s="86"/>
      <c r="R1419" s="86"/>
      <c r="S1419" s="86"/>
      <c r="T1419" s="86"/>
      <c r="U1419" s="86"/>
      <c r="V1419" s="86"/>
      <c r="W1419" s="86"/>
      <c r="X1419" s="86"/>
      <c r="Y1419" s="86"/>
      <c r="Z1419" s="86"/>
      <c r="AA1419" s="86"/>
      <c r="AB1419" s="86"/>
      <c r="AC1419" s="86"/>
      <c r="AD1419" s="86"/>
      <c r="AE1419" s="86"/>
      <c r="AF1419" s="86"/>
    </row>
    <row r="1420" spans="1:32">
      <c r="A1420" s="86"/>
      <c r="B1420" s="86"/>
      <c r="C1420" s="86"/>
      <c r="D1420" s="86"/>
      <c r="E1420" s="86"/>
      <c r="F1420" s="86"/>
      <c r="G1420" s="86"/>
      <c r="H1420" s="86"/>
      <c r="I1420" s="86"/>
      <c r="J1420" s="86"/>
      <c r="K1420" s="86"/>
      <c r="L1420" s="86"/>
      <c r="M1420" s="86"/>
      <c r="N1420" s="86"/>
      <c r="O1420" s="86"/>
      <c r="P1420" s="86"/>
      <c r="Q1420" s="86"/>
      <c r="R1420" s="86"/>
      <c r="S1420" s="86"/>
      <c r="T1420" s="86"/>
      <c r="U1420" s="86"/>
      <c r="V1420" s="86"/>
      <c r="W1420" s="86"/>
      <c r="X1420" s="86"/>
      <c r="Y1420" s="86"/>
      <c r="Z1420" s="86"/>
      <c r="AA1420" s="86"/>
      <c r="AB1420" s="86"/>
      <c r="AC1420" s="86"/>
      <c r="AD1420" s="86"/>
      <c r="AE1420" s="86"/>
      <c r="AF1420" s="86"/>
    </row>
    <row r="1421" spans="1:32">
      <c r="A1421" s="86"/>
      <c r="B1421" s="86"/>
      <c r="C1421" s="86"/>
      <c r="D1421" s="86"/>
      <c r="E1421" s="86"/>
      <c r="F1421" s="86"/>
      <c r="G1421" s="86"/>
      <c r="H1421" s="86"/>
      <c r="I1421" s="86"/>
      <c r="J1421" s="86"/>
      <c r="K1421" s="86"/>
      <c r="L1421" s="86"/>
      <c r="M1421" s="86"/>
      <c r="N1421" s="86"/>
      <c r="O1421" s="86"/>
      <c r="P1421" s="86"/>
      <c r="Q1421" s="86"/>
      <c r="R1421" s="86"/>
      <c r="S1421" s="86"/>
      <c r="T1421" s="86"/>
      <c r="U1421" s="86"/>
      <c r="V1421" s="86"/>
      <c r="W1421" s="86"/>
      <c r="X1421" s="86"/>
      <c r="Y1421" s="86"/>
      <c r="Z1421" s="86"/>
      <c r="AA1421" s="86"/>
      <c r="AB1421" s="86"/>
      <c r="AC1421" s="86"/>
      <c r="AD1421" s="86"/>
      <c r="AE1421" s="86"/>
      <c r="AF1421" s="86"/>
    </row>
    <row r="1422" spans="1:32">
      <c r="A1422" s="86"/>
      <c r="B1422" s="86"/>
      <c r="C1422" s="86"/>
      <c r="D1422" s="86"/>
      <c r="E1422" s="86"/>
      <c r="F1422" s="86"/>
      <c r="G1422" s="86"/>
      <c r="H1422" s="86"/>
      <c r="I1422" s="86"/>
      <c r="J1422" s="86"/>
      <c r="K1422" s="86"/>
      <c r="L1422" s="86"/>
      <c r="M1422" s="86"/>
      <c r="N1422" s="86"/>
      <c r="O1422" s="86"/>
      <c r="P1422" s="86"/>
      <c r="Q1422" s="86"/>
      <c r="R1422" s="86"/>
      <c r="S1422" s="86"/>
      <c r="T1422" s="86"/>
      <c r="U1422" s="86"/>
      <c r="V1422" s="86"/>
      <c r="W1422" s="86"/>
      <c r="X1422" s="86"/>
      <c r="Y1422" s="86"/>
      <c r="Z1422" s="86"/>
      <c r="AA1422" s="86"/>
      <c r="AB1422" s="86"/>
      <c r="AC1422" s="86"/>
      <c r="AD1422" s="86"/>
      <c r="AE1422" s="86"/>
      <c r="AF1422" s="86"/>
    </row>
    <row r="1423" spans="1:32">
      <c r="A1423" s="86"/>
      <c r="B1423" s="86"/>
      <c r="C1423" s="86"/>
      <c r="D1423" s="86"/>
      <c r="E1423" s="86"/>
      <c r="F1423" s="86"/>
      <c r="G1423" s="86"/>
      <c r="H1423" s="86"/>
      <c r="I1423" s="86"/>
      <c r="J1423" s="86"/>
      <c r="K1423" s="86"/>
      <c r="L1423" s="86"/>
      <c r="M1423" s="86"/>
      <c r="N1423" s="86"/>
      <c r="O1423" s="86"/>
      <c r="P1423" s="86"/>
      <c r="Q1423" s="86"/>
      <c r="R1423" s="86"/>
      <c r="S1423" s="86"/>
      <c r="T1423" s="86"/>
      <c r="U1423" s="86"/>
      <c r="V1423" s="86"/>
      <c r="W1423" s="86"/>
      <c r="X1423" s="86"/>
      <c r="Y1423" s="86"/>
      <c r="Z1423" s="86"/>
      <c r="AA1423" s="86"/>
      <c r="AB1423" s="86"/>
      <c r="AC1423" s="86"/>
      <c r="AD1423" s="86"/>
      <c r="AE1423" s="86"/>
      <c r="AF1423" s="86"/>
    </row>
    <row r="1424" spans="1:32">
      <c r="A1424" s="86"/>
      <c r="B1424" s="86"/>
      <c r="C1424" s="86"/>
      <c r="D1424" s="86"/>
      <c r="E1424" s="86"/>
      <c r="F1424" s="86"/>
      <c r="G1424" s="86"/>
      <c r="H1424" s="86"/>
      <c r="I1424" s="86"/>
      <c r="J1424" s="86"/>
      <c r="K1424" s="86"/>
      <c r="L1424" s="86"/>
      <c r="M1424" s="86"/>
      <c r="N1424" s="86"/>
      <c r="O1424" s="86"/>
      <c r="P1424" s="86"/>
      <c r="Q1424" s="86"/>
      <c r="R1424" s="86"/>
      <c r="S1424" s="86"/>
      <c r="T1424" s="86"/>
      <c r="U1424" s="86"/>
      <c r="V1424" s="86"/>
      <c r="W1424" s="86"/>
      <c r="X1424" s="86"/>
      <c r="Y1424" s="86"/>
      <c r="Z1424" s="86"/>
      <c r="AA1424" s="86"/>
      <c r="AB1424" s="86"/>
      <c r="AC1424" s="86"/>
      <c r="AD1424" s="86"/>
      <c r="AE1424" s="86"/>
      <c r="AF1424" s="86"/>
    </row>
    <row r="1425" spans="1:32">
      <c r="A1425" s="86"/>
      <c r="B1425" s="86"/>
      <c r="C1425" s="86"/>
      <c r="D1425" s="86"/>
      <c r="E1425" s="86"/>
      <c r="F1425" s="86"/>
      <c r="G1425" s="86"/>
      <c r="H1425" s="86"/>
      <c r="I1425" s="86"/>
      <c r="J1425" s="86"/>
      <c r="K1425" s="86"/>
      <c r="L1425" s="86"/>
      <c r="M1425" s="86"/>
      <c r="N1425" s="86"/>
      <c r="O1425" s="86"/>
      <c r="P1425" s="86"/>
      <c r="Q1425" s="86"/>
      <c r="R1425" s="86"/>
      <c r="S1425" s="86"/>
      <c r="T1425" s="86"/>
      <c r="U1425" s="86"/>
      <c r="V1425" s="86"/>
      <c r="W1425" s="86"/>
      <c r="X1425" s="86"/>
      <c r="Y1425" s="86"/>
      <c r="Z1425" s="86"/>
      <c r="AA1425" s="86"/>
      <c r="AB1425" s="86"/>
      <c r="AC1425" s="86"/>
      <c r="AD1425" s="86"/>
      <c r="AE1425" s="86"/>
      <c r="AF1425" s="86"/>
    </row>
    <row r="1426" spans="1:32">
      <c r="A1426" s="86"/>
      <c r="B1426" s="86"/>
      <c r="C1426" s="86"/>
      <c r="D1426" s="86"/>
      <c r="E1426" s="86"/>
      <c r="F1426" s="86"/>
      <c r="G1426" s="86"/>
      <c r="H1426" s="86"/>
      <c r="I1426" s="86"/>
      <c r="J1426" s="86"/>
      <c r="K1426" s="86"/>
      <c r="L1426" s="86"/>
      <c r="M1426" s="86"/>
      <c r="N1426" s="86"/>
      <c r="O1426" s="86"/>
      <c r="P1426" s="86"/>
      <c r="Q1426" s="86"/>
      <c r="R1426" s="86"/>
      <c r="S1426" s="86"/>
      <c r="T1426" s="86"/>
      <c r="U1426" s="86"/>
      <c r="V1426" s="86"/>
      <c r="W1426" s="86"/>
      <c r="X1426" s="86"/>
      <c r="Y1426" s="86"/>
      <c r="Z1426" s="86"/>
      <c r="AA1426" s="86"/>
      <c r="AB1426" s="86"/>
      <c r="AC1426" s="86"/>
      <c r="AD1426" s="86"/>
      <c r="AE1426" s="86"/>
      <c r="AF1426" s="86"/>
    </row>
    <row r="1427" spans="1:32">
      <c r="A1427" s="86"/>
      <c r="B1427" s="86"/>
      <c r="C1427" s="86"/>
      <c r="D1427" s="86"/>
      <c r="E1427" s="86"/>
      <c r="F1427" s="86"/>
      <c r="G1427" s="86"/>
      <c r="H1427" s="86"/>
      <c r="I1427" s="86"/>
      <c r="J1427" s="86"/>
      <c r="K1427" s="86"/>
      <c r="L1427" s="86"/>
      <c r="M1427" s="86"/>
      <c r="N1427" s="86"/>
      <c r="O1427" s="86"/>
      <c r="P1427" s="86"/>
      <c r="Q1427" s="86"/>
      <c r="R1427" s="86"/>
      <c r="S1427" s="86"/>
      <c r="T1427" s="86"/>
      <c r="U1427" s="86"/>
      <c r="V1427" s="86"/>
      <c r="W1427" s="86"/>
      <c r="X1427" s="86"/>
      <c r="Y1427" s="86"/>
      <c r="Z1427" s="86"/>
      <c r="AA1427" s="86"/>
      <c r="AB1427" s="86"/>
      <c r="AC1427" s="86"/>
      <c r="AD1427" s="86"/>
      <c r="AE1427" s="86"/>
      <c r="AF1427" s="86"/>
    </row>
    <row r="1428" spans="1:32">
      <c r="A1428" s="86"/>
      <c r="B1428" s="86"/>
      <c r="C1428" s="86"/>
      <c r="D1428" s="86"/>
      <c r="E1428" s="86"/>
      <c r="F1428" s="86"/>
      <c r="G1428" s="86"/>
      <c r="H1428" s="86"/>
      <c r="I1428" s="86"/>
      <c r="J1428" s="86"/>
      <c r="K1428" s="86"/>
      <c r="L1428" s="86"/>
      <c r="M1428" s="86"/>
      <c r="N1428" s="86"/>
      <c r="O1428" s="86"/>
      <c r="P1428" s="86"/>
      <c r="Q1428" s="86"/>
      <c r="R1428" s="86"/>
      <c r="S1428" s="86"/>
      <c r="T1428" s="86"/>
      <c r="U1428" s="86"/>
      <c r="V1428" s="86"/>
      <c r="W1428" s="86"/>
      <c r="X1428" s="86"/>
      <c r="Y1428" s="86"/>
      <c r="Z1428" s="86"/>
      <c r="AA1428" s="86"/>
      <c r="AB1428" s="86"/>
      <c r="AC1428" s="86"/>
      <c r="AD1428" s="86"/>
      <c r="AE1428" s="86"/>
      <c r="AF1428" s="86"/>
    </row>
    <row r="1429" spans="1:32">
      <c r="A1429" s="86"/>
      <c r="B1429" s="86"/>
      <c r="C1429" s="86"/>
      <c r="D1429" s="86"/>
      <c r="E1429" s="86"/>
      <c r="F1429" s="86"/>
      <c r="G1429" s="86"/>
      <c r="H1429" s="86"/>
      <c r="I1429" s="86"/>
      <c r="J1429" s="86"/>
      <c r="K1429" s="86"/>
      <c r="L1429" s="86"/>
      <c r="M1429" s="86"/>
      <c r="N1429" s="86"/>
      <c r="O1429" s="86"/>
      <c r="P1429" s="86"/>
      <c r="Q1429" s="86"/>
      <c r="R1429" s="86"/>
      <c r="S1429" s="86"/>
      <c r="T1429" s="86"/>
      <c r="U1429" s="86"/>
      <c r="V1429" s="86"/>
      <c r="W1429" s="86"/>
      <c r="X1429" s="86"/>
      <c r="Y1429" s="86"/>
      <c r="Z1429" s="86"/>
      <c r="AA1429" s="86"/>
      <c r="AB1429" s="86"/>
      <c r="AC1429" s="86"/>
      <c r="AD1429" s="86"/>
      <c r="AE1429" s="86"/>
      <c r="AF1429" s="86"/>
    </row>
    <row r="1430" spans="1:32">
      <c r="A1430" s="86"/>
      <c r="B1430" s="86"/>
      <c r="C1430" s="86"/>
      <c r="D1430" s="86"/>
      <c r="E1430" s="86"/>
      <c r="F1430" s="86"/>
      <c r="G1430" s="86"/>
      <c r="H1430" s="86"/>
      <c r="I1430" s="86"/>
      <c r="J1430" s="86"/>
      <c r="K1430" s="86"/>
      <c r="L1430" s="86"/>
      <c r="M1430" s="86"/>
      <c r="N1430" s="86"/>
      <c r="O1430" s="86"/>
      <c r="P1430" s="86"/>
      <c r="Q1430" s="86"/>
      <c r="R1430" s="86"/>
      <c r="S1430" s="86"/>
      <c r="T1430" s="86"/>
      <c r="U1430" s="86"/>
      <c r="V1430" s="86"/>
      <c r="W1430" s="86"/>
      <c r="X1430" s="86"/>
      <c r="Y1430" s="86"/>
      <c r="Z1430" s="86"/>
      <c r="AA1430" s="86"/>
      <c r="AB1430" s="86"/>
      <c r="AC1430" s="86"/>
      <c r="AD1430" s="86"/>
      <c r="AE1430" s="86"/>
      <c r="AF1430" s="86"/>
    </row>
    <row r="1431" spans="1:32">
      <c r="A1431" s="86"/>
      <c r="B1431" s="86"/>
      <c r="C1431" s="86"/>
      <c r="D1431" s="86"/>
      <c r="E1431" s="86"/>
      <c r="F1431" s="86"/>
      <c r="G1431" s="86"/>
      <c r="H1431" s="86"/>
      <c r="I1431" s="86"/>
      <c r="J1431" s="86"/>
      <c r="K1431" s="86"/>
      <c r="L1431" s="86"/>
      <c r="M1431" s="86"/>
      <c r="N1431" s="86"/>
      <c r="O1431" s="86"/>
      <c r="P1431" s="86"/>
      <c r="Q1431" s="86"/>
      <c r="R1431" s="86"/>
      <c r="S1431" s="86"/>
      <c r="T1431" s="86"/>
      <c r="U1431" s="86"/>
      <c r="V1431" s="86"/>
      <c r="W1431" s="86"/>
      <c r="X1431" s="86"/>
      <c r="Y1431" s="86"/>
      <c r="Z1431" s="86"/>
      <c r="AA1431" s="86"/>
      <c r="AB1431" s="86"/>
      <c r="AC1431" s="86"/>
      <c r="AD1431" s="86"/>
      <c r="AE1431" s="86"/>
      <c r="AF1431" s="86"/>
    </row>
    <row r="1432" spans="1:32">
      <c r="A1432" s="86"/>
      <c r="B1432" s="86"/>
      <c r="C1432" s="86"/>
      <c r="D1432" s="86"/>
      <c r="E1432" s="86"/>
      <c r="F1432" s="86"/>
      <c r="G1432" s="86"/>
      <c r="H1432" s="86"/>
      <c r="I1432" s="86"/>
      <c r="J1432" s="86"/>
      <c r="K1432" s="86"/>
      <c r="L1432" s="86"/>
      <c r="M1432" s="86"/>
      <c r="N1432" s="86"/>
      <c r="O1432" s="86"/>
      <c r="P1432" s="86"/>
      <c r="Q1432" s="86"/>
      <c r="R1432" s="86"/>
      <c r="S1432" s="86"/>
      <c r="T1432" s="86"/>
      <c r="U1432" s="86"/>
      <c r="V1432" s="86"/>
      <c r="W1432" s="86"/>
      <c r="X1432" s="86"/>
      <c r="Y1432" s="86"/>
      <c r="Z1432" s="86"/>
      <c r="AA1432" s="86"/>
      <c r="AB1432" s="86"/>
      <c r="AC1432" s="86"/>
      <c r="AD1432" s="86"/>
      <c r="AE1432" s="86"/>
      <c r="AF1432" s="86"/>
    </row>
    <row r="1433" spans="1:32">
      <c r="A1433" s="86"/>
      <c r="B1433" s="86"/>
      <c r="C1433" s="86"/>
      <c r="D1433" s="86"/>
      <c r="E1433" s="86"/>
      <c r="F1433" s="86"/>
      <c r="G1433" s="86"/>
      <c r="H1433" s="86"/>
      <c r="I1433" s="86"/>
      <c r="J1433" s="86"/>
      <c r="K1433" s="86"/>
      <c r="L1433" s="86"/>
      <c r="M1433" s="86"/>
      <c r="N1433" s="86"/>
      <c r="O1433" s="86"/>
      <c r="P1433" s="86"/>
      <c r="Q1433" s="86"/>
      <c r="R1433" s="86"/>
      <c r="S1433" s="86"/>
      <c r="T1433" s="86"/>
      <c r="U1433" s="86"/>
      <c r="V1433" s="86"/>
      <c r="W1433" s="86"/>
      <c r="X1433" s="86"/>
      <c r="Y1433" s="86"/>
      <c r="Z1433" s="86"/>
      <c r="AA1433" s="86"/>
      <c r="AB1433" s="86"/>
      <c r="AC1433" s="86"/>
      <c r="AD1433" s="86"/>
      <c r="AE1433" s="86"/>
      <c r="AF1433" s="86"/>
    </row>
    <row r="1434" spans="1:32">
      <c r="A1434" s="86"/>
      <c r="B1434" s="86"/>
      <c r="C1434" s="86"/>
      <c r="D1434" s="86"/>
      <c r="E1434" s="86"/>
      <c r="F1434" s="86"/>
      <c r="G1434" s="86"/>
      <c r="H1434" s="86"/>
      <c r="I1434" s="86"/>
      <c r="J1434" s="86"/>
      <c r="K1434" s="86"/>
      <c r="L1434" s="86"/>
      <c r="M1434" s="86"/>
      <c r="N1434" s="86"/>
      <c r="O1434" s="86"/>
      <c r="P1434" s="86"/>
      <c r="Q1434" s="86"/>
      <c r="R1434" s="86"/>
      <c r="S1434" s="86"/>
      <c r="T1434" s="86"/>
      <c r="U1434" s="86"/>
      <c r="V1434" s="86"/>
      <c r="W1434" s="86"/>
      <c r="X1434" s="86"/>
      <c r="Y1434" s="86"/>
      <c r="Z1434" s="86"/>
      <c r="AA1434" s="86"/>
      <c r="AB1434" s="86"/>
      <c r="AC1434" s="86"/>
      <c r="AD1434" s="86"/>
      <c r="AE1434" s="86"/>
      <c r="AF1434" s="86"/>
    </row>
    <row r="1435" spans="1:32">
      <c r="A1435" s="86"/>
      <c r="B1435" s="86"/>
      <c r="C1435" s="86"/>
      <c r="D1435" s="86"/>
      <c r="E1435" s="86"/>
      <c r="F1435" s="86"/>
      <c r="G1435" s="86"/>
      <c r="H1435" s="86"/>
      <c r="I1435" s="86"/>
      <c r="J1435" s="86"/>
      <c r="K1435" s="86"/>
      <c r="L1435" s="86"/>
      <c r="M1435" s="86"/>
      <c r="N1435" s="86"/>
      <c r="O1435" s="86"/>
      <c r="P1435" s="86"/>
      <c r="Q1435" s="86"/>
      <c r="R1435" s="86"/>
      <c r="S1435" s="86"/>
      <c r="T1435" s="86"/>
      <c r="U1435" s="86"/>
      <c r="V1435" s="86"/>
      <c r="W1435" s="86"/>
      <c r="X1435" s="86"/>
      <c r="Y1435" s="86"/>
      <c r="Z1435" s="86"/>
      <c r="AA1435" s="86"/>
      <c r="AB1435" s="86"/>
      <c r="AC1435" s="86"/>
      <c r="AD1435" s="86"/>
      <c r="AE1435" s="86"/>
      <c r="AF1435" s="86"/>
    </row>
    <row r="1436" spans="1:32">
      <c r="A1436" s="86"/>
      <c r="B1436" s="86"/>
      <c r="C1436" s="86"/>
      <c r="D1436" s="86"/>
      <c r="E1436" s="86"/>
      <c r="F1436" s="86"/>
      <c r="G1436" s="86"/>
      <c r="H1436" s="86"/>
      <c r="I1436" s="86"/>
      <c r="J1436" s="86"/>
      <c r="K1436" s="86"/>
      <c r="L1436" s="86"/>
      <c r="M1436" s="86"/>
      <c r="N1436" s="86"/>
      <c r="O1436" s="86"/>
      <c r="P1436" s="86"/>
      <c r="Q1436" s="86"/>
      <c r="R1436" s="86"/>
      <c r="S1436" s="86"/>
      <c r="T1436" s="86"/>
      <c r="U1436" s="86"/>
      <c r="V1436" s="86"/>
      <c r="W1436" s="86"/>
      <c r="X1436" s="86"/>
      <c r="Y1436" s="86"/>
      <c r="Z1436" s="86"/>
      <c r="AA1436" s="86"/>
      <c r="AB1436" s="86"/>
      <c r="AC1436" s="86"/>
      <c r="AD1436" s="86"/>
      <c r="AE1436" s="86"/>
      <c r="AF1436" s="86"/>
    </row>
    <row r="1437" spans="1:32">
      <c r="A1437" s="86"/>
      <c r="B1437" s="86"/>
      <c r="C1437" s="86"/>
      <c r="D1437" s="86"/>
      <c r="E1437" s="86"/>
      <c r="F1437" s="86"/>
      <c r="G1437" s="86"/>
      <c r="H1437" s="86"/>
      <c r="I1437" s="86"/>
      <c r="J1437" s="86"/>
      <c r="K1437" s="86"/>
      <c r="L1437" s="86"/>
      <c r="M1437" s="86"/>
      <c r="N1437" s="86"/>
      <c r="O1437" s="86"/>
      <c r="P1437" s="86"/>
      <c r="Q1437" s="86"/>
      <c r="R1437" s="86"/>
      <c r="S1437" s="86"/>
      <c r="T1437" s="86"/>
      <c r="U1437" s="86"/>
      <c r="V1437" s="86"/>
      <c r="W1437" s="86"/>
      <c r="X1437" s="86"/>
      <c r="Y1437" s="86"/>
      <c r="Z1437" s="86"/>
      <c r="AA1437" s="86"/>
      <c r="AB1437" s="86"/>
      <c r="AC1437" s="86"/>
      <c r="AD1437" s="86"/>
      <c r="AE1437" s="86"/>
      <c r="AF1437" s="86"/>
    </row>
    <row r="1438" spans="1:32">
      <c r="A1438" s="86"/>
      <c r="B1438" s="86"/>
      <c r="C1438" s="86"/>
      <c r="D1438" s="86"/>
      <c r="E1438" s="86"/>
      <c r="F1438" s="86"/>
      <c r="G1438" s="86"/>
      <c r="H1438" s="86"/>
      <c r="I1438" s="86"/>
      <c r="J1438" s="86"/>
      <c r="K1438" s="86"/>
      <c r="L1438" s="86"/>
      <c r="M1438" s="86"/>
      <c r="N1438" s="86"/>
      <c r="O1438" s="86"/>
      <c r="P1438" s="86"/>
      <c r="Q1438" s="86"/>
      <c r="R1438" s="86"/>
      <c r="S1438" s="86"/>
      <c r="T1438" s="86"/>
      <c r="U1438" s="86"/>
      <c r="V1438" s="86"/>
      <c r="W1438" s="86"/>
      <c r="X1438" s="86"/>
      <c r="Y1438" s="86"/>
      <c r="Z1438" s="86"/>
      <c r="AA1438" s="86"/>
      <c r="AB1438" s="86"/>
      <c r="AC1438" s="86"/>
      <c r="AD1438" s="86"/>
      <c r="AE1438" s="86"/>
      <c r="AF1438" s="86"/>
    </row>
    <row r="1439" spans="1:32">
      <c r="A1439" s="86"/>
      <c r="B1439" s="86"/>
      <c r="C1439" s="86"/>
      <c r="D1439" s="86"/>
      <c r="E1439" s="86"/>
      <c r="F1439" s="86"/>
      <c r="G1439" s="86"/>
      <c r="H1439" s="86"/>
      <c r="I1439" s="86"/>
      <c r="J1439" s="86"/>
      <c r="K1439" s="86"/>
      <c r="L1439" s="86"/>
      <c r="M1439" s="86"/>
      <c r="N1439" s="86"/>
      <c r="O1439" s="86"/>
      <c r="P1439" s="86"/>
      <c r="Q1439" s="86"/>
      <c r="R1439" s="86"/>
      <c r="S1439" s="86"/>
      <c r="T1439" s="86"/>
      <c r="U1439" s="86"/>
      <c r="V1439" s="86"/>
      <c r="W1439" s="86"/>
      <c r="X1439" s="86"/>
      <c r="Y1439" s="86"/>
      <c r="Z1439" s="86"/>
      <c r="AA1439" s="86"/>
      <c r="AB1439" s="86"/>
      <c r="AC1439" s="86"/>
      <c r="AD1439" s="86"/>
      <c r="AE1439" s="86"/>
      <c r="AF1439" s="86"/>
    </row>
    <row r="1440" spans="1:32">
      <c r="A1440" s="86"/>
      <c r="B1440" s="86"/>
      <c r="C1440" s="86"/>
      <c r="D1440" s="86"/>
      <c r="E1440" s="86"/>
      <c r="F1440" s="86"/>
      <c r="G1440" s="86"/>
      <c r="H1440" s="86"/>
      <c r="I1440" s="86"/>
      <c r="J1440" s="86"/>
      <c r="K1440" s="86"/>
      <c r="L1440" s="86"/>
      <c r="M1440" s="86"/>
      <c r="N1440" s="86"/>
      <c r="O1440" s="86"/>
      <c r="P1440" s="86"/>
      <c r="Q1440" s="86"/>
      <c r="R1440" s="86"/>
      <c r="S1440" s="86"/>
      <c r="T1440" s="86"/>
      <c r="U1440" s="86"/>
      <c r="V1440" s="86"/>
      <c r="W1440" s="86"/>
      <c r="X1440" s="86"/>
      <c r="Y1440" s="86"/>
      <c r="Z1440" s="86"/>
      <c r="AA1440" s="86"/>
      <c r="AB1440" s="86"/>
      <c r="AC1440" s="86"/>
      <c r="AD1440" s="86"/>
      <c r="AE1440" s="86"/>
      <c r="AF1440" s="86"/>
    </row>
    <row r="1441" spans="1:32">
      <c r="A1441" s="86"/>
      <c r="B1441" s="86"/>
      <c r="C1441" s="86"/>
      <c r="D1441" s="86"/>
      <c r="E1441" s="86"/>
      <c r="F1441" s="86"/>
      <c r="G1441" s="86"/>
      <c r="H1441" s="86"/>
      <c r="I1441" s="86"/>
      <c r="J1441" s="86"/>
      <c r="K1441" s="86"/>
      <c r="L1441" s="86"/>
      <c r="M1441" s="86"/>
      <c r="N1441" s="86"/>
      <c r="O1441" s="86"/>
      <c r="P1441" s="86"/>
      <c r="Q1441" s="86"/>
      <c r="R1441" s="86"/>
      <c r="S1441" s="86"/>
      <c r="T1441" s="86"/>
      <c r="U1441" s="86"/>
      <c r="V1441" s="86"/>
      <c r="W1441" s="86"/>
      <c r="X1441" s="86"/>
      <c r="Y1441" s="86"/>
      <c r="Z1441" s="86"/>
      <c r="AA1441" s="86"/>
      <c r="AB1441" s="86"/>
      <c r="AC1441" s="86"/>
      <c r="AD1441" s="86"/>
      <c r="AE1441" s="86"/>
      <c r="AF1441" s="86"/>
    </row>
    <row r="1442" spans="1:32">
      <c r="A1442" s="86"/>
      <c r="B1442" s="86"/>
      <c r="C1442" s="86"/>
      <c r="D1442" s="86"/>
      <c r="E1442" s="86"/>
      <c r="F1442" s="86"/>
      <c r="G1442" s="86"/>
      <c r="H1442" s="86"/>
      <c r="I1442" s="86"/>
      <c r="J1442" s="86"/>
      <c r="K1442" s="86"/>
      <c r="L1442" s="86"/>
      <c r="M1442" s="86"/>
      <c r="N1442" s="86"/>
      <c r="O1442" s="86"/>
      <c r="P1442" s="86"/>
      <c r="Q1442" s="86"/>
      <c r="R1442" s="86"/>
      <c r="S1442" s="86"/>
      <c r="T1442" s="86"/>
      <c r="U1442" s="86"/>
      <c r="V1442" s="86"/>
      <c r="W1442" s="86"/>
      <c r="X1442" s="86"/>
      <c r="Y1442" s="86"/>
      <c r="Z1442" s="86"/>
      <c r="AA1442" s="86"/>
      <c r="AB1442" s="86"/>
      <c r="AC1442" s="86"/>
      <c r="AD1442" s="86"/>
      <c r="AE1442" s="86"/>
      <c r="AF1442" s="86"/>
    </row>
    <row r="1443" spans="1:32">
      <c r="A1443" s="86"/>
      <c r="B1443" s="86"/>
      <c r="C1443" s="86"/>
      <c r="D1443" s="86"/>
      <c r="E1443" s="86"/>
      <c r="F1443" s="86"/>
      <c r="G1443" s="86"/>
      <c r="H1443" s="86"/>
      <c r="I1443" s="86"/>
      <c r="J1443" s="86"/>
      <c r="K1443" s="86"/>
      <c r="L1443" s="86"/>
      <c r="M1443" s="86"/>
      <c r="N1443" s="86"/>
      <c r="O1443" s="86"/>
      <c r="P1443" s="86"/>
      <c r="Q1443" s="86"/>
      <c r="R1443" s="86"/>
      <c r="S1443" s="86"/>
      <c r="T1443" s="86"/>
      <c r="U1443" s="86"/>
      <c r="V1443" s="86"/>
      <c r="W1443" s="86"/>
      <c r="X1443" s="86"/>
      <c r="Y1443" s="86"/>
      <c r="Z1443" s="86"/>
      <c r="AA1443" s="86"/>
      <c r="AB1443" s="86"/>
      <c r="AC1443" s="86"/>
      <c r="AD1443" s="86"/>
      <c r="AE1443" s="86"/>
      <c r="AF1443" s="86"/>
    </row>
    <row r="1444" spans="1:32">
      <c r="A1444" s="86"/>
      <c r="B1444" s="86"/>
      <c r="C1444" s="86"/>
      <c r="D1444" s="86"/>
      <c r="E1444" s="86"/>
      <c r="F1444" s="86"/>
      <c r="G1444" s="86"/>
      <c r="H1444" s="86"/>
      <c r="I1444" s="86"/>
      <c r="J1444" s="86"/>
      <c r="K1444" s="86"/>
      <c r="L1444" s="86"/>
      <c r="M1444" s="86"/>
      <c r="N1444" s="86"/>
      <c r="O1444" s="86"/>
      <c r="P1444" s="86"/>
      <c r="Q1444" s="86"/>
      <c r="R1444" s="86"/>
      <c r="S1444" s="86"/>
      <c r="T1444" s="86"/>
      <c r="U1444" s="86"/>
      <c r="V1444" s="86"/>
      <c r="W1444" s="86"/>
      <c r="X1444" s="86"/>
      <c r="Y1444" s="86"/>
      <c r="Z1444" s="86"/>
      <c r="AA1444" s="86"/>
      <c r="AB1444" s="86"/>
      <c r="AC1444" s="86"/>
      <c r="AD1444" s="86"/>
      <c r="AE1444" s="86"/>
      <c r="AF1444" s="86"/>
    </row>
    <row r="1445" spans="1:32">
      <c r="A1445" s="86"/>
      <c r="B1445" s="86"/>
      <c r="C1445" s="86"/>
      <c r="D1445" s="86"/>
      <c r="E1445" s="86"/>
      <c r="F1445" s="86"/>
      <c r="G1445" s="86"/>
      <c r="H1445" s="86"/>
      <c r="I1445" s="86"/>
      <c r="J1445" s="86"/>
      <c r="K1445" s="86"/>
      <c r="L1445" s="86"/>
      <c r="M1445" s="86"/>
      <c r="N1445" s="86"/>
      <c r="O1445" s="86"/>
      <c r="P1445" s="86"/>
      <c r="Q1445" s="86"/>
      <c r="R1445" s="86"/>
      <c r="S1445" s="86"/>
      <c r="T1445" s="86"/>
      <c r="U1445" s="86"/>
      <c r="V1445" s="86"/>
      <c r="W1445" s="86"/>
      <c r="X1445" s="86"/>
      <c r="Y1445" s="86"/>
      <c r="Z1445" s="86"/>
      <c r="AA1445" s="86"/>
      <c r="AB1445" s="86"/>
      <c r="AC1445" s="86"/>
      <c r="AD1445" s="86"/>
      <c r="AE1445" s="86"/>
      <c r="AF1445" s="86"/>
    </row>
    <row r="1446" spans="1:32">
      <c r="A1446" s="86"/>
      <c r="B1446" s="86"/>
      <c r="C1446" s="86"/>
      <c r="D1446" s="86"/>
      <c r="E1446" s="86"/>
      <c r="F1446" s="86"/>
      <c r="G1446" s="86"/>
      <c r="H1446" s="86"/>
      <c r="I1446" s="86"/>
      <c r="J1446" s="86"/>
      <c r="K1446" s="86"/>
      <c r="L1446" s="86"/>
      <c r="M1446" s="86"/>
      <c r="N1446" s="86"/>
      <c r="O1446" s="86"/>
      <c r="P1446" s="86"/>
      <c r="Q1446" s="86"/>
      <c r="R1446" s="86"/>
      <c r="S1446" s="86"/>
      <c r="T1446" s="86"/>
      <c r="U1446" s="86"/>
      <c r="V1446" s="86"/>
      <c r="W1446" s="86"/>
      <c r="X1446" s="86"/>
      <c r="Y1446" s="86"/>
      <c r="Z1446" s="86"/>
      <c r="AA1446" s="86"/>
      <c r="AB1446" s="86"/>
      <c r="AC1446" s="86"/>
      <c r="AD1446" s="86"/>
      <c r="AE1446" s="86"/>
      <c r="AF1446" s="86"/>
    </row>
    <row r="1447" spans="1:32">
      <c r="A1447" s="86"/>
      <c r="B1447" s="86"/>
      <c r="C1447" s="86"/>
      <c r="D1447" s="86"/>
      <c r="E1447" s="86"/>
      <c r="F1447" s="86"/>
      <c r="G1447" s="86"/>
      <c r="H1447" s="86"/>
      <c r="I1447" s="86"/>
      <c r="J1447" s="86"/>
      <c r="K1447" s="86"/>
      <c r="L1447" s="86"/>
      <c r="M1447" s="86"/>
      <c r="N1447" s="86"/>
      <c r="O1447" s="86"/>
      <c r="P1447" s="86"/>
      <c r="Q1447" s="86"/>
      <c r="R1447" s="86"/>
      <c r="S1447" s="86"/>
      <c r="T1447" s="86"/>
      <c r="U1447" s="86"/>
      <c r="V1447" s="86"/>
      <c r="W1447" s="86"/>
      <c r="X1447" s="86"/>
      <c r="Y1447" s="86"/>
      <c r="Z1447" s="86"/>
      <c r="AA1447" s="86"/>
      <c r="AB1447" s="86"/>
      <c r="AC1447" s="86"/>
      <c r="AD1447" s="86"/>
      <c r="AE1447" s="86"/>
      <c r="AF1447" s="86"/>
    </row>
    <row r="1448" spans="1:32">
      <c r="A1448" s="86"/>
      <c r="B1448" s="86"/>
      <c r="C1448" s="86"/>
      <c r="D1448" s="86"/>
      <c r="E1448" s="86"/>
      <c r="F1448" s="86"/>
      <c r="G1448" s="86"/>
      <c r="H1448" s="86"/>
      <c r="I1448" s="86"/>
      <c r="J1448" s="86"/>
      <c r="K1448" s="86"/>
      <c r="L1448" s="86"/>
      <c r="M1448" s="86"/>
      <c r="N1448" s="86"/>
      <c r="O1448" s="86"/>
      <c r="P1448" s="86"/>
      <c r="Q1448" s="86"/>
      <c r="R1448" s="86"/>
      <c r="S1448" s="86"/>
      <c r="T1448" s="86"/>
      <c r="U1448" s="86"/>
      <c r="V1448" s="86"/>
      <c r="W1448" s="86"/>
      <c r="X1448" s="86"/>
      <c r="Y1448" s="86"/>
      <c r="Z1448" s="86"/>
      <c r="AA1448" s="86"/>
      <c r="AB1448" s="86"/>
      <c r="AC1448" s="86"/>
      <c r="AD1448" s="86"/>
      <c r="AE1448" s="86"/>
      <c r="AF1448" s="86"/>
    </row>
    <row r="1449" spans="1:32">
      <c r="A1449" s="86"/>
      <c r="B1449" s="86"/>
      <c r="C1449" s="86"/>
      <c r="D1449" s="86"/>
      <c r="E1449" s="86"/>
      <c r="F1449" s="86"/>
      <c r="G1449" s="86"/>
      <c r="H1449" s="86"/>
      <c r="I1449" s="86"/>
      <c r="J1449" s="86"/>
      <c r="K1449" s="86"/>
      <c r="L1449" s="86"/>
      <c r="M1449" s="86"/>
      <c r="N1449" s="86"/>
      <c r="O1449" s="86"/>
      <c r="P1449" s="86"/>
      <c r="Q1449" s="86"/>
      <c r="R1449" s="86"/>
      <c r="S1449" s="86"/>
      <c r="T1449" s="86"/>
      <c r="U1449" s="86"/>
      <c r="V1449" s="86"/>
      <c r="W1449" s="86"/>
      <c r="X1449" s="86"/>
      <c r="Y1449" s="86"/>
      <c r="Z1449" s="86"/>
      <c r="AA1449" s="86"/>
      <c r="AB1449" s="86"/>
      <c r="AC1449" s="86"/>
      <c r="AD1449" s="86"/>
      <c r="AE1449" s="86"/>
      <c r="AF1449" s="86"/>
    </row>
    <row r="1450" spans="1:32">
      <c r="A1450" s="86"/>
      <c r="B1450" s="86"/>
      <c r="C1450" s="86"/>
      <c r="D1450" s="86"/>
      <c r="E1450" s="86"/>
      <c r="F1450" s="86"/>
      <c r="G1450" s="86"/>
      <c r="H1450" s="86"/>
      <c r="I1450" s="86"/>
      <c r="J1450" s="86"/>
      <c r="K1450" s="86"/>
      <c r="L1450" s="86"/>
      <c r="M1450" s="86"/>
      <c r="N1450" s="86"/>
      <c r="O1450" s="86"/>
      <c r="P1450" s="86"/>
      <c r="Q1450" s="86"/>
      <c r="R1450" s="86"/>
      <c r="S1450" s="86"/>
      <c r="T1450" s="86"/>
      <c r="U1450" s="86"/>
      <c r="V1450" s="86"/>
      <c r="W1450" s="86"/>
      <c r="X1450" s="86"/>
      <c r="Y1450" s="86"/>
      <c r="Z1450" s="86"/>
      <c r="AA1450" s="86"/>
      <c r="AB1450" s="86"/>
      <c r="AC1450" s="86"/>
      <c r="AD1450" s="86"/>
      <c r="AE1450" s="86"/>
      <c r="AF1450" s="86"/>
    </row>
    <row r="1451" spans="1:32">
      <c r="A1451" s="86"/>
      <c r="B1451" s="86"/>
      <c r="C1451" s="86"/>
      <c r="D1451" s="86"/>
      <c r="E1451" s="86"/>
      <c r="F1451" s="86"/>
      <c r="G1451" s="86"/>
      <c r="H1451" s="86"/>
      <c r="I1451" s="86"/>
      <c r="J1451" s="86"/>
      <c r="K1451" s="86"/>
      <c r="L1451" s="86"/>
      <c r="M1451" s="86"/>
      <c r="N1451" s="86"/>
      <c r="O1451" s="86"/>
      <c r="P1451" s="86"/>
      <c r="Q1451" s="86"/>
      <c r="R1451" s="86"/>
      <c r="S1451" s="86"/>
      <c r="T1451" s="86"/>
      <c r="U1451" s="86"/>
      <c r="V1451" s="86"/>
      <c r="W1451" s="86"/>
      <c r="X1451" s="86"/>
      <c r="Y1451" s="86"/>
      <c r="Z1451" s="86"/>
      <c r="AA1451" s="86"/>
      <c r="AB1451" s="86"/>
      <c r="AC1451" s="86"/>
      <c r="AD1451" s="86"/>
      <c r="AE1451" s="86"/>
      <c r="AF1451" s="86"/>
    </row>
    <row r="1452" spans="1:32">
      <c r="A1452" s="86"/>
      <c r="B1452" s="86"/>
      <c r="C1452" s="86"/>
      <c r="D1452" s="86"/>
      <c r="E1452" s="86"/>
      <c r="F1452" s="86"/>
      <c r="G1452" s="86"/>
      <c r="H1452" s="86"/>
      <c r="I1452" s="86"/>
      <c r="J1452" s="86"/>
      <c r="K1452" s="86"/>
      <c r="L1452" s="86"/>
      <c r="M1452" s="86"/>
      <c r="N1452" s="86"/>
      <c r="O1452" s="86"/>
      <c r="P1452" s="86"/>
      <c r="Q1452" s="86"/>
      <c r="R1452" s="86"/>
      <c r="S1452" s="86"/>
      <c r="T1452" s="86"/>
      <c r="U1452" s="86"/>
      <c r="V1452" s="86"/>
      <c r="W1452" s="86"/>
      <c r="X1452" s="86"/>
      <c r="Y1452" s="86"/>
      <c r="Z1452" s="86"/>
      <c r="AA1452" s="86"/>
      <c r="AB1452" s="86"/>
      <c r="AC1452" s="86"/>
      <c r="AD1452" s="86"/>
      <c r="AE1452" s="86"/>
      <c r="AF1452" s="86"/>
    </row>
    <row r="1453" spans="1:32">
      <c r="A1453" s="86"/>
      <c r="B1453" s="86"/>
      <c r="C1453" s="86"/>
      <c r="D1453" s="86"/>
      <c r="E1453" s="86"/>
      <c r="F1453" s="86"/>
      <c r="G1453" s="86"/>
      <c r="H1453" s="86"/>
      <c r="I1453" s="86"/>
      <c r="J1453" s="86"/>
      <c r="K1453" s="86"/>
      <c r="L1453" s="86"/>
      <c r="M1453" s="86"/>
      <c r="N1453" s="86"/>
      <c r="O1453" s="86"/>
      <c r="P1453" s="86"/>
      <c r="Q1453" s="86"/>
      <c r="R1453" s="86"/>
      <c r="S1453" s="86"/>
      <c r="T1453" s="86"/>
      <c r="U1453" s="86"/>
      <c r="V1453" s="86"/>
      <c r="W1453" s="86"/>
      <c r="X1453" s="86"/>
      <c r="Y1453" s="86"/>
      <c r="Z1453" s="86"/>
      <c r="AA1453" s="86"/>
      <c r="AB1453" s="86"/>
      <c r="AC1453" s="86"/>
      <c r="AD1453" s="86"/>
      <c r="AE1453" s="86"/>
      <c r="AF1453" s="86"/>
    </row>
    <row r="1454" spans="1:32">
      <c r="A1454" s="86"/>
      <c r="B1454" s="86"/>
      <c r="C1454" s="86"/>
      <c r="D1454" s="86"/>
      <c r="E1454" s="86"/>
      <c r="F1454" s="86"/>
      <c r="G1454" s="86"/>
      <c r="H1454" s="86"/>
      <c r="I1454" s="86"/>
      <c r="J1454" s="86"/>
      <c r="K1454" s="86"/>
      <c r="L1454" s="86"/>
      <c r="M1454" s="86"/>
      <c r="N1454" s="86"/>
      <c r="O1454" s="86"/>
      <c r="P1454" s="86"/>
      <c r="Q1454" s="86"/>
      <c r="R1454" s="86"/>
      <c r="S1454" s="86"/>
      <c r="T1454" s="86"/>
      <c r="U1454" s="86"/>
      <c r="V1454" s="86"/>
      <c r="W1454" s="86"/>
      <c r="X1454" s="86"/>
      <c r="Y1454" s="86"/>
      <c r="Z1454" s="86"/>
      <c r="AA1454" s="86"/>
      <c r="AB1454" s="86"/>
      <c r="AC1454" s="86"/>
      <c r="AD1454" s="86"/>
      <c r="AE1454" s="86"/>
      <c r="AF1454" s="86"/>
    </row>
    <row r="1455" spans="1:32">
      <c r="A1455" s="86"/>
      <c r="B1455" s="86"/>
      <c r="C1455" s="86"/>
      <c r="D1455" s="86"/>
      <c r="E1455" s="86"/>
      <c r="F1455" s="86"/>
      <c r="G1455" s="86"/>
      <c r="H1455" s="86"/>
      <c r="I1455" s="86"/>
      <c r="J1455" s="86"/>
      <c r="K1455" s="86"/>
      <c r="L1455" s="86"/>
      <c r="M1455" s="86"/>
      <c r="N1455" s="86"/>
      <c r="O1455" s="86"/>
      <c r="P1455" s="86"/>
      <c r="Q1455" s="86"/>
      <c r="R1455" s="86"/>
      <c r="S1455" s="86"/>
      <c r="T1455" s="86"/>
      <c r="U1455" s="86"/>
      <c r="V1455" s="86"/>
      <c r="W1455" s="86"/>
      <c r="X1455" s="86"/>
      <c r="Y1455" s="86"/>
      <c r="Z1455" s="86"/>
      <c r="AA1455" s="86"/>
      <c r="AB1455" s="86"/>
      <c r="AC1455" s="86"/>
      <c r="AD1455" s="86"/>
      <c r="AE1455" s="86"/>
      <c r="AF1455" s="86"/>
    </row>
    <row r="1456" spans="1:32">
      <c r="A1456" s="86"/>
      <c r="B1456" s="86"/>
      <c r="C1456" s="86"/>
      <c r="D1456" s="86"/>
      <c r="E1456" s="86"/>
      <c r="F1456" s="86"/>
      <c r="G1456" s="86"/>
      <c r="H1456" s="86"/>
      <c r="I1456" s="86"/>
      <c r="J1456" s="86"/>
      <c r="K1456" s="86"/>
      <c r="L1456" s="86"/>
      <c r="M1456" s="86"/>
      <c r="N1456" s="86"/>
      <c r="O1456" s="86"/>
      <c r="P1456" s="86"/>
      <c r="Q1456" s="86"/>
      <c r="R1456" s="86"/>
      <c r="S1456" s="86"/>
      <c r="T1456" s="86"/>
      <c r="U1456" s="86"/>
      <c r="V1456" s="86"/>
      <c r="W1456" s="86"/>
      <c r="X1456" s="86"/>
      <c r="Y1456" s="86"/>
      <c r="Z1456" s="86"/>
      <c r="AA1456" s="86"/>
      <c r="AB1456" s="86"/>
      <c r="AC1456" s="86"/>
      <c r="AD1456" s="86"/>
      <c r="AE1456" s="86"/>
      <c r="AF1456" s="86"/>
    </row>
    <row r="1457" spans="1:32">
      <c r="A1457" s="86"/>
      <c r="B1457" s="86"/>
      <c r="C1457" s="86"/>
      <c r="D1457" s="86"/>
      <c r="E1457" s="86"/>
      <c r="F1457" s="86"/>
      <c r="G1457" s="86"/>
      <c r="H1457" s="86"/>
      <c r="I1457" s="86"/>
      <c r="J1457" s="86"/>
      <c r="K1457" s="86"/>
      <c r="L1457" s="86"/>
      <c r="M1457" s="86"/>
      <c r="N1457" s="86"/>
      <c r="O1457" s="86"/>
      <c r="P1457" s="86"/>
      <c r="Q1457" s="86"/>
      <c r="R1457" s="86"/>
      <c r="S1457" s="86"/>
      <c r="T1457" s="86"/>
      <c r="U1457" s="86"/>
      <c r="V1457" s="86"/>
      <c r="W1457" s="86"/>
      <c r="X1457" s="86"/>
      <c r="Y1457" s="86"/>
      <c r="Z1457" s="86"/>
      <c r="AA1457" s="86"/>
      <c r="AB1457" s="86"/>
      <c r="AC1457" s="86"/>
      <c r="AD1457" s="86"/>
      <c r="AE1457" s="86"/>
      <c r="AF1457" s="86"/>
    </row>
    <row r="1458" spans="1:32">
      <c r="A1458" s="86"/>
      <c r="B1458" s="86"/>
      <c r="C1458" s="86"/>
      <c r="D1458" s="86"/>
      <c r="E1458" s="86"/>
      <c r="F1458" s="86"/>
      <c r="G1458" s="86"/>
      <c r="H1458" s="86"/>
      <c r="I1458" s="86"/>
      <c r="J1458" s="86"/>
      <c r="K1458" s="86"/>
      <c r="L1458" s="86"/>
      <c r="M1458" s="86"/>
      <c r="N1458" s="86"/>
      <c r="O1458" s="86"/>
      <c r="P1458" s="86"/>
      <c r="Q1458" s="86"/>
      <c r="R1458" s="86"/>
      <c r="S1458" s="86"/>
      <c r="T1458" s="86"/>
      <c r="U1458" s="86"/>
      <c r="V1458" s="86"/>
      <c r="W1458" s="86"/>
      <c r="X1458" s="86"/>
      <c r="Y1458" s="86"/>
      <c r="Z1458" s="86"/>
      <c r="AA1458" s="86"/>
      <c r="AB1458" s="86"/>
      <c r="AC1458" s="86"/>
      <c r="AD1458" s="86"/>
      <c r="AE1458" s="86"/>
      <c r="AF1458" s="86"/>
    </row>
    <row r="1459" spans="1:32">
      <c r="A1459" s="86"/>
      <c r="B1459" s="86"/>
      <c r="C1459" s="86"/>
      <c r="D1459" s="86"/>
      <c r="E1459" s="86"/>
      <c r="F1459" s="86"/>
      <c r="G1459" s="86"/>
      <c r="H1459" s="86"/>
      <c r="I1459" s="86"/>
      <c r="J1459" s="86"/>
      <c r="K1459" s="86"/>
      <c r="L1459" s="86"/>
      <c r="M1459" s="86"/>
      <c r="N1459" s="86"/>
      <c r="O1459" s="86"/>
      <c r="P1459" s="86"/>
      <c r="Q1459" s="86"/>
      <c r="R1459" s="86"/>
      <c r="S1459" s="86"/>
      <c r="T1459" s="86"/>
      <c r="U1459" s="86"/>
      <c r="V1459" s="86"/>
      <c r="W1459" s="86"/>
      <c r="X1459" s="86"/>
      <c r="Y1459" s="86"/>
      <c r="Z1459" s="86"/>
      <c r="AA1459" s="86"/>
      <c r="AB1459" s="86"/>
      <c r="AC1459" s="86"/>
      <c r="AD1459" s="86"/>
      <c r="AE1459" s="86"/>
      <c r="AF1459" s="86"/>
    </row>
    <row r="1460" spans="1:32">
      <c r="A1460" s="86"/>
      <c r="B1460" s="86"/>
      <c r="C1460" s="86"/>
      <c r="D1460" s="86"/>
      <c r="E1460" s="86"/>
      <c r="F1460" s="86"/>
      <c r="G1460" s="86"/>
      <c r="H1460" s="86"/>
      <c r="I1460" s="86"/>
      <c r="J1460" s="86"/>
      <c r="K1460" s="86"/>
      <c r="L1460" s="86"/>
      <c r="M1460" s="86"/>
      <c r="N1460" s="86"/>
      <c r="O1460" s="86"/>
      <c r="P1460" s="86"/>
      <c r="Q1460" s="86"/>
      <c r="R1460" s="86"/>
      <c r="S1460" s="86"/>
      <c r="T1460" s="86"/>
      <c r="U1460" s="86"/>
      <c r="V1460" s="86"/>
      <c r="W1460" s="86"/>
      <c r="X1460" s="86"/>
      <c r="Y1460" s="86"/>
      <c r="Z1460" s="86"/>
      <c r="AA1460" s="86"/>
      <c r="AB1460" s="86"/>
      <c r="AC1460" s="86"/>
      <c r="AD1460" s="86"/>
      <c r="AE1460" s="86"/>
      <c r="AF1460" s="86"/>
    </row>
    <row r="1461" spans="1:32">
      <c r="A1461" s="86"/>
      <c r="B1461" s="86"/>
      <c r="C1461" s="86"/>
      <c r="D1461" s="86"/>
      <c r="E1461" s="86"/>
      <c r="F1461" s="86"/>
      <c r="G1461" s="86"/>
      <c r="H1461" s="86"/>
      <c r="I1461" s="86"/>
      <c r="J1461" s="86"/>
      <c r="K1461" s="86"/>
      <c r="L1461" s="86"/>
      <c r="M1461" s="86"/>
      <c r="N1461" s="86"/>
      <c r="O1461" s="86"/>
      <c r="P1461" s="86"/>
      <c r="Q1461" s="86"/>
      <c r="R1461" s="86"/>
      <c r="S1461" s="86"/>
      <c r="T1461" s="86"/>
      <c r="U1461" s="86"/>
      <c r="V1461" s="86"/>
      <c r="W1461" s="86"/>
      <c r="X1461" s="86"/>
      <c r="Y1461" s="86"/>
      <c r="Z1461" s="86"/>
      <c r="AA1461" s="86"/>
      <c r="AB1461" s="86"/>
      <c r="AC1461" s="86"/>
      <c r="AD1461" s="86"/>
      <c r="AE1461" s="86"/>
      <c r="AF1461" s="86"/>
    </row>
    <row r="1462" spans="1:32">
      <c r="A1462" s="86"/>
      <c r="B1462" s="86"/>
      <c r="C1462" s="86"/>
      <c r="D1462" s="86"/>
      <c r="E1462" s="86"/>
      <c r="F1462" s="86"/>
      <c r="G1462" s="86"/>
      <c r="H1462" s="86"/>
      <c r="I1462" s="86"/>
      <c r="J1462" s="86"/>
      <c r="K1462" s="86"/>
      <c r="L1462" s="86"/>
      <c r="M1462" s="86"/>
      <c r="N1462" s="86"/>
      <c r="O1462" s="86"/>
      <c r="P1462" s="86"/>
      <c r="Q1462" s="86"/>
      <c r="R1462" s="86"/>
      <c r="S1462" s="86"/>
      <c r="T1462" s="86"/>
      <c r="U1462" s="86"/>
      <c r="V1462" s="86"/>
      <c r="W1462" s="86"/>
      <c r="X1462" s="86"/>
      <c r="Y1462" s="86"/>
      <c r="Z1462" s="86"/>
      <c r="AA1462" s="86"/>
      <c r="AB1462" s="86"/>
      <c r="AC1462" s="86"/>
      <c r="AD1462" s="86"/>
      <c r="AE1462" s="86"/>
      <c r="AF1462" s="86"/>
    </row>
    <row r="1463" spans="1:32">
      <c r="A1463" s="86"/>
      <c r="B1463" s="86"/>
      <c r="C1463" s="86"/>
      <c r="D1463" s="86"/>
      <c r="E1463" s="86"/>
      <c r="F1463" s="86"/>
      <c r="G1463" s="86"/>
      <c r="H1463" s="86"/>
      <c r="I1463" s="86"/>
      <c r="J1463" s="86"/>
      <c r="K1463" s="86"/>
      <c r="L1463" s="86"/>
      <c r="M1463" s="86"/>
      <c r="N1463" s="86"/>
      <c r="O1463" s="86"/>
      <c r="P1463" s="86"/>
      <c r="Q1463" s="86"/>
      <c r="R1463" s="86"/>
      <c r="S1463" s="86"/>
      <c r="T1463" s="86"/>
      <c r="U1463" s="86"/>
      <c r="V1463" s="86"/>
      <c r="W1463" s="86"/>
      <c r="X1463" s="86"/>
      <c r="Y1463" s="86"/>
      <c r="Z1463" s="86"/>
      <c r="AA1463" s="86"/>
      <c r="AB1463" s="86"/>
      <c r="AC1463" s="86"/>
      <c r="AD1463" s="86"/>
      <c r="AE1463" s="86"/>
      <c r="AF1463" s="86"/>
    </row>
    <row r="1464" spans="1:32">
      <c r="A1464" s="86"/>
      <c r="B1464" s="86"/>
      <c r="C1464" s="86"/>
      <c r="D1464" s="86"/>
      <c r="E1464" s="86"/>
      <c r="F1464" s="86"/>
      <c r="G1464" s="86"/>
      <c r="H1464" s="86"/>
      <c r="I1464" s="86"/>
      <c r="J1464" s="86"/>
      <c r="K1464" s="86"/>
      <c r="L1464" s="86"/>
      <c r="M1464" s="86"/>
      <c r="N1464" s="86"/>
      <c r="O1464" s="86"/>
      <c r="P1464" s="86"/>
      <c r="Q1464" s="86"/>
      <c r="R1464" s="86"/>
      <c r="S1464" s="86"/>
      <c r="T1464" s="86"/>
      <c r="U1464" s="86"/>
      <c r="V1464" s="86"/>
      <c r="W1464" s="86"/>
      <c r="X1464" s="86"/>
      <c r="Y1464" s="86"/>
      <c r="Z1464" s="86"/>
      <c r="AA1464" s="86"/>
      <c r="AB1464" s="86"/>
      <c r="AC1464" s="86"/>
      <c r="AD1464" s="86"/>
      <c r="AE1464" s="86"/>
      <c r="AF1464" s="86"/>
    </row>
    <row r="1465" spans="1:32">
      <c r="A1465" s="86"/>
      <c r="B1465" s="86"/>
      <c r="C1465" s="86"/>
      <c r="D1465" s="86"/>
      <c r="E1465" s="86"/>
      <c r="F1465" s="86"/>
      <c r="G1465" s="86"/>
      <c r="H1465" s="86"/>
      <c r="I1465" s="86"/>
      <c r="J1465" s="86"/>
      <c r="K1465" s="86"/>
      <c r="L1465" s="86"/>
      <c r="M1465" s="86"/>
      <c r="N1465" s="86"/>
      <c r="O1465" s="86"/>
      <c r="P1465" s="86"/>
      <c r="Q1465" s="86"/>
      <c r="R1465" s="86"/>
      <c r="S1465" s="86"/>
      <c r="T1465" s="86"/>
      <c r="U1465" s="86"/>
      <c r="V1465" s="86"/>
      <c r="W1465" s="86"/>
      <c r="X1465" s="86"/>
      <c r="Y1465" s="86"/>
      <c r="Z1465" s="86"/>
      <c r="AA1465" s="86"/>
      <c r="AB1465" s="86"/>
      <c r="AC1465" s="86"/>
      <c r="AD1465" s="86"/>
      <c r="AE1465" s="86"/>
      <c r="AF1465" s="86"/>
    </row>
    <row r="1466" spans="1:32">
      <c r="A1466" s="86"/>
      <c r="B1466" s="86"/>
      <c r="C1466" s="86"/>
      <c r="D1466" s="86"/>
      <c r="E1466" s="86"/>
      <c r="F1466" s="86"/>
      <c r="G1466" s="86"/>
      <c r="H1466" s="86"/>
      <c r="I1466" s="86"/>
      <c r="J1466" s="86"/>
      <c r="K1466" s="86"/>
      <c r="L1466" s="86"/>
      <c r="M1466" s="86"/>
      <c r="N1466" s="86"/>
      <c r="O1466" s="86"/>
      <c r="P1466" s="86"/>
      <c r="Q1466" s="86"/>
      <c r="R1466" s="86"/>
      <c r="S1466" s="86"/>
      <c r="T1466" s="86"/>
      <c r="U1466" s="86"/>
      <c r="V1466" s="86"/>
      <c r="W1466" s="86"/>
      <c r="X1466" s="86"/>
      <c r="Y1466" s="86"/>
      <c r="Z1466" s="86"/>
      <c r="AA1466" s="86"/>
      <c r="AB1466" s="86"/>
      <c r="AC1466" s="86"/>
      <c r="AD1466" s="86"/>
      <c r="AE1466" s="86"/>
      <c r="AF1466" s="86"/>
    </row>
    <row r="1467" spans="1:32">
      <c r="A1467" s="86"/>
      <c r="B1467" s="86"/>
      <c r="C1467" s="86"/>
      <c r="D1467" s="86"/>
      <c r="E1467" s="86"/>
      <c r="F1467" s="86"/>
      <c r="G1467" s="86"/>
      <c r="H1467" s="86"/>
      <c r="I1467" s="86"/>
      <c r="J1467" s="86"/>
      <c r="K1467" s="86"/>
      <c r="L1467" s="86"/>
      <c r="M1467" s="86"/>
      <c r="N1467" s="86"/>
      <c r="O1467" s="86"/>
      <c r="P1467" s="86"/>
      <c r="Q1467" s="86"/>
      <c r="R1467" s="86"/>
      <c r="S1467" s="86"/>
      <c r="T1467" s="86"/>
      <c r="U1467" s="86"/>
      <c r="V1467" s="86"/>
      <c r="W1467" s="86"/>
      <c r="X1467" s="86"/>
      <c r="Y1467" s="86"/>
      <c r="Z1467" s="86"/>
      <c r="AA1467" s="86"/>
      <c r="AB1467" s="86"/>
      <c r="AC1467" s="86"/>
      <c r="AD1467" s="86"/>
      <c r="AE1467" s="86"/>
      <c r="AF1467" s="86"/>
    </row>
    <row r="1468" spans="1:32">
      <c r="A1468" s="86"/>
      <c r="B1468" s="86"/>
      <c r="C1468" s="86"/>
      <c r="D1468" s="86"/>
      <c r="E1468" s="86"/>
      <c r="F1468" s="86"/>
      <c r="G1468" s="86"/>
      <c r="H1468" s="86"/>
      <c r="I1468" s="86"/>
      <c r="J1468" s="86"/>
      <c r="K1468" s="86"/>
      <c r="L1468" s="86"/>
      <c r="M1468" s="86"/>
      <c r="N1468" s="86"/>
      <c r="O1468" s="86"/>
      <c r="P1468" s="86"/>
      <c r="Q1468" s="86"/>
      <c r="R1468" s="86"/>
      <c r="S1468" s="86"/>
      <c r="T1468" s="86"/>
      <c r="U1468" s="86"/>
      <c r="V1468" s="86"/>
      <c r="W1468" s="86"/>
      <c r="X1468" s="86"/>
      <c r="Y1468" s="86"/>
      <c r="Z1468" s="86"/>
      <c r="AA1468" s="86"/>
      <c r="AB1468" s="86"/>
      <c r="AC1468" s="86"/>
      <c r="AD1468" s="86"/>
      <c r="AE1468" s="86"/>
      <c r="AF1468" s="86"/>
    </row>
    <row r="1469" spans="1:32">
      <c r="A1469" s="86"/>
      <c r="B1469" s="86"/>
      <c r="C1469" s="86"/>
      <c r="D1469" s="86"/>
      <c r="E1469" s="86"/>
      <c r="F1469" s="86"/>
      <c r="G1469" s="86"/>
      <c r="H1469" s="86"/>
      <c r="I1469" s="86"/>
      <c r="J1469" s="86"/>
      <c r="K1469" s="86"/>
      <c r="L1469" s="86"/>
      <c r="M1469" s="86"/>
      <c r="N1469" s="86"/>
      <c r="O1469" s="86"/>
      <c r="P1469" s="86"/>
      <c r="Q1469" s="86"/>
      <c r="R1469" s="86"/>
      <c r="S1469" s="86"/>
      <c r="T1469" s="86"/>
      <c r="U1469" s="86"/>
      <c r="V1469" s="86"/>
      <c r="W1469" s="86"/>
      <c r="X1469" s="86"/>
      <c r="Y1469" s="86"/>
      <c r="Z1469" s="86"/>
      <c r="AA1469" s="86"/>
      <c r="AB1469" s="86"/>
      <c r="AC1469" s="86"/>
      <c r="AD1469" s="86"/>
      <c r="AE1469" s="86"/>
      <c r="AF1469" s="86"/>
    </row>
    <row r="1470" spans="1:32">
      <c r="A1470" s="86"/>
      <c r="B1470" s="86"/>
      <c r="C1470" s="86"/>
      <c r="D1470" s="86"/>
      <c r="E1470" s="86"/>
      <c r="F1470" s="86"/>
      <c r="G1470" s="86"/>
      <c r="H1470" s="86"/>
      <c r="I1470" s="86"/>
      <c r="J1470" s="86"/>
      <c r="K1470" s="86"/>
      <c r="L1470" s="86"/>
      <c r="M1470" s="86"/>
      <c r="N1470" s="86"/>
      <c r="O1470" s="86"/>
      <c r="P1470" s="86"/>
      <c r="Q1470" s="86"/>
      <c r="R1470" s="86"/>
      <c r="S1470" s="86"/>
      <c r="T1470" s="86"/>
      <c r="U1470" s="86"/>
      <c r="V1470" s="86"/>
      <c r="W1470" s="86"/>
      <c r="X1470" s="86"/>
      <c r="Y1470" s="86"/>
      <c r="Z1470" s="86"/>
      <c r="AA1470" s="86"/>
      <c r="AB1470" s="86"/>
      <c r="AC1470" s="86"/>
      <c r="AD1470" s="86"/>
      <c r="AE1470" s="86"/>
      <c r="AF1470" s="86"/>
    </row>
    <row r="1471" spans="1:32">
      <c r="A1471" s="86"/>
      <c r="B1471" s="86"/>
      <c r="C1471" s="86"/>
      <c r="D1471" s="86"/>
      <c r="E1471" s="86"/>
      <c r="F1471" s="86"/>
      <c r="G1471" s="86"/>
      <c r="H1471" s="86"/>
      <c r="I1471" s="86"/>
      <c r="J1471" s="86"/>
      <c r="K1471" s="86"/>
      <c r="L1471" s="86"/>
      <c r="M1471" s="86"/>
      <c r="N1471" s="86"/>
      <c r="O1471" s="86"/>
      <c r="P1471" s="86"/>
      <c r="Q1471" s="86"/>
      <c r="R1471" s="86"/>
      <c r="S1471" s="86"/>
      <c r="T1471" s="86"/>
      <c r="U1471" s="86"/>
      <c r="V1471" s="86"/>
      <c r="W1471" s="86"/>
      <c r="X1471" s="86"/>
      <c r="Y1471" s="86"/>
      <c r="Z1471" s="86"/>
      <c r="AA1471" s="86"/>
      <c r="AB1471" s="86"/>
      <c r="AC1471" s="86"/>
      <c r="AD1471" s="86"/>
      <c r="AE1471" s="86"/>
      <c r="AF1471" s="86"/>
    </row>
    <row r="1472" spans="1:32">
      <c r="A1472" s="86"/>
      <c r="B1472" s="86"/>
      <c r="C1472" s="86"/>
      <c r="D1472" s="86"/>
      <c r="E1472" s="86"/>
      <c r="F1472" s="86"/>
      <c r="G1472" s="86"/>
      <c r="H1472" s="86"/>
      <c r="I1472" s="86"/>
      <c r="J1472" s="86"/>
      <c r="K1472" s="86"/>
      <c r="L1472" s="86"/>
      <c r="M1472" s="86"/>
      <c r="N1472" s="86"/>
      <c r="O1472" s="86"/>
      <c r="P1472" s="86"/>
      <c r="Q1472" s="86"/>
      <c r="R1472" s="86"/>
      <c r="S1472" s="86"/>
      <c r="T1472" s="86"/>
      <c r="U1472" s="86"/>
      <c r="V1472" s="86"/>
      <c r="W1472" s="86"/>
      <c r="X1472" s="86"/>
      <c r="Y1472" s="86"/>
      <c r="Z1472" s="86"/>
      <c r="AA1472" s="86"/>
      <c r="AB1472" s="86"/>
      <c r="AC1472" s="86"/>
      <c r="AD1472" s="86"/>
      <c r="AE1472" s="86"/>
      <c r="AF1472" s="86"/>
    </row>
    <row r="1473" spans="1:32">
      <c r="A1473" s="86"/>
      <c r="B1473" s="86"/>
      <c r="C1473" s="86"/>
      <c r="D1473" s="86"/>
      <c r="E1473" s="86"/>
      <c r="F1473" s="86"/>
      <c r="G1473" s="86"/>
      <c r="H1473" s="86"/>
      <c r="I1473" s="86"/>
      <c r="J1473" s="86"/>
      <c r="K1473" s="86"/>
      <c r="L1473" s="86"/>
      <c r="M1473" s="86"/>
      <c r="N1473" s="86"/>
      <c r="O1473" s="86"/>
      <c r="P1473" s="86"/>
      <c r="Q1473" s="86"/>
      <c r="R1473" s="86"/>
      <c r="S1473" s="86"/>
      <c r="T1473" s="86"/>
      <c r="U1473" s="86"/>
      <c r="V1473" s="86"/>
      <c r="W1473" s="86"/>
      <c r="X1473" s="86"/>
      <c r="Y1473" s="86"/>
      <c r="Z1473" s="86"/>
      <c r="AA1473" s="86"/>
      <c r="AB1473" s="86"/>
      <c r="AC1473" s="86"/>
      <c r="AD1473" s="86"/>
      <c r="AE1473" s="86"/>
      <c r="AF1473" s="86"/>
    </row>
    <row r="1474" spans="1:32">
      <c r="A1474" s="86"/>
      <c r="B1474" s="86"/>
      <c r="C1474" s="86"/>
      <c r="D1474" s="86"/>
      <c r="E1474" s="86"/>
      <c r="F1474" s="86"/>
      <c r="G1474" s="86"/>
      <c r="H1474" s="86"/>
      <c r="I1474" s="86"/>
      <c r="J1474" s="86"/>
      <c r="K1474" s="86"/>
      <c r="L1474" s="86"/>
      <c r="M1474" s="86"/>
      <c r="N1474" s="86"/>
      <c r="O1474" s="86"/>
      <c r="P1474" s="86"/>
      <c r="Q1474" s="86"/>
      <c r="R1474" s="86"/>
      <c r="S1474" s="86"/>
      <c r="T1474" s="86"/>
      <c r="U1474" s="86"/>
      <c r="V1474" s="86"/>
      <c r="W1474" s="86"/>
      <c r="X1474" s="86"/>
      <c r="Y1474" s="86"/>
      <c r="Z1474" s="86"/>
      <c r="AA1474" s="86"/>
      <c r="AB1474" s="86"/>
      <c r="AC1474" s="86"/>
      <c r="AD1474" s="86"/>
      <c r="AE1474" s="86"/>
      <c r="AF1474" s="86"/>
    </row>
    <row r="1475" spans="1:32">
      <c r="A1475" s="86"/>
      <c r="B1475" s="86"/>
      <c r="C1475" s="86"/>
      <c r="D1475" s="86"/>
      <c r="E1475" s="86"/>
      <c r="F1475" s="86"/>
      <c r="G1475" s="86"/>
      <c r="H1475" s="86"/>
      <c r="I1475" s="86"/>
      <c r="J1475" s="86"/>
      <c r="K1475" s="86"/>
      <c r="L1475" s="86"/>
      <c r="M1475" s="86"/>
      <c r="N1475" s="86"/>
      <c r="O1475" s="86"/>
      <c r="P1475" s="86"/>
      <c r="Q1475" s="86"/>
      <c r="R1475" s="86"/>
      <c r="S1475" s="86"/>
      <c r="T1475" s="86"/>
      <c r="U1475" s="86"/>
      <c r="V1475" s="86"/>
      <c r="W1475" s="86"/>
      <c r="X1475" s="86"/>
      <c r="Y1475" s="86"/>
      <c r="Z1475" s="86"/>
      <c r="AA1475" s="86"/>
      <c r="AB1475" s="86"/>
      <c r="AC1475" s="86"/>
      <c r="AD1475" s="86"/>
      <c r="AE1475" s="86"/>
      <c r="AF1475" s="86"/>
    </row>
    <row r="1476" spans="1:32">
      <c r="A1476" s="86"/>
      <c r="B1476" s="86"/>
      <c r="C1476" s="86"/>
      <c r="D1476" s="86"/>
      <c r="E1476" s="86"/>
      <c r="F1476" s="86"/>
      <c r="G1476" s="86"/>
      <c r="H1476" s="86"/>
      <c r="I1476" s="86"/>
      <c r="J1476" s="86"/>
      <c r="K1476" s="86"/>
      <c r="L1476" s="86"/>
      <c r="M1476" s="86"/>
      <c r="N1476" s="86"/>
      <c r="O1476" s="86"/>
      <c r="P1476" s="86"/>
      <c r="Q1476" s="86"/>
      <c r="R1476" s="86"/>
      <c r="S1476" s="86"/>
      <c r="T1476" s="86"/>
      <c r="U1476" s="86"/>
      <c r="V1476" s="86"/>
      <c r="W1476" s="86"/>
      <c r="X1476" s="86"/>
      <c r="Y1476" s="86"/>
      <c r="Z1476" s="86"/>
      <c r="AA1476" s="86"/>
      <c r="AB1476" s="86"/>
      <c r="AC1476" s="86"/>
      <c r="AD1476" s="86"/>
      <c r="AE1476" s="86"/>
      <c r="AF1476" s="86"/>
    </row>
    <row r="1477" spans="1:32">
      <c r="A1477" s="86"/>
      <c r="B1477" s="86"/>
      <c r="C1477" s="86"/>
      <c r="D1477" s="86"/>
      <c r="E1477" s="86"/>
      <c r="F1477" s="86"/>
      <c r="G1477" s="86"/>
      <c r="H1477" s="86"/>
      <c r="I1477" s="86"/>
      <c r="J1477" s="86"/>
      <c r="K1477" s="86"/>
      <c r="L1477" s="86"/>
      <c r="M1477" s="86"/>
      <c r="N1477" s="86"/>
      <c r="O1477" s="86"/>
      <c r="P1477" s="86"/>
      <c r="Q1477" s="86"/>
      <c r="R1477" s="86"/>
      <c r="S1477" s="86"/>
      <c r="T1477" s="86"/>
      <c r="U1477" s="86"/>
      <c r="V1477" s="86"/>
      <c r="W1477" s="86"/>
      <c r="X1477" s="86"/>
      <c r="Y1477" s="86"/>
      <c r="Z1477" s="86"/>
      <c r="AA1477" s="86"/>
      <c r="AB1477" s="86"/>
      <c r="AC1477" s="86"/>
      <c r="AD1477" s="86"/>
      <c r="AE1477" s="86"/>
      <c r="AF1477" s="86"/>
    </row>
    <row r="1478" spans="1:32">
      <c r="A1478" s="86"/>
      <c r="B1478" s="86"/>
      <c r="C1478" s="86"/>
      <c r="D1478" s="86"/>
      <c r="E1478" s="86"/>
      <c r="F1478" s="86"/>
      <c r="G1478" s="86"/>
      <c r="H1478" s="86"/>
      <c r="I1478" s="86"/>
      <c r="J1478" s="86"/>
      <c r="K1478" s="86"/>
      <c r="L1478" s="86"/>
      <c r="M1478" s="86"/>
      <c r="N1478" s="86"/>
      <c r="O1478" s="86"/>
      <c r="P1478" s="86"/>
      <c r="Q1478" s="86"/>
      <c r="R1478" s="86"/>
      <c r="S1478" s="86"/>
      <c r="T1478" s="86"/>
      <c r="U1478" s="86"/>
      <c r="V1478" s="86"/>
      <c r="W1478" s="86"/>
      <c r="X1478" s="86"/>
      <c r="Y1478" s="86"/>
      <c r="Z1478" s="86"/>
      <c r="AA1478" s="86"/>
      <c r="AB1478" s="86"/>
      <c r="AC1478" s="86"/>
      <c r="AD1478" s="86"/>
      <c r="AE1478" s="86"/>
      <c r="AF1478" s="86"/>
    </row>
    <row r="1479" spans="1:32">
      <c r="A1479" s="86"/>
      <c r="B1479" s="86"/>
      <c r="C1479" s="86"/>
      <c r="D1479" s="86"/>
      <c r="E1479" s="86"/>
      <c r="F1479" s="86"/>
      <c r="G1479" s="86"/>
      <c r="H1479" s="86"/>
      <c r="I1479" s="86"/>
      <c r="J1479" s="86"/>
      <c r="K1479" s="86"/>
      <c r="L1479" s="86"/>
      <c r="M1479" s="86"/>
      <c r="N1479" s="86"/>
      <c r="O1479" s="86"/>
      <c r="P1479" s="86"/>
      <c r="Q1479" s="86"/>
      <c r="R1479" s="86"/>
      <c r="S1479" s="86"/>
      <c r="T1479" s="86"/>
      <c r="U1479" s="86"/>
      <c r="V1479" s="86"/>
      <c r="W1479" s="86"/>
      <c r="X1479" s="86"/>
      <c r="Y1479" s="86"/>
      <c r="Z1479" s="86"/>
      <c r="AA1479" s="86"/>
      <c r="AB1479" s="86"/>
      <c r="AC1479" s="86"/>
      <c r="AD1479" s="86"/>
      <c r="AE1479" s="86"/>
      <c r="AF1479" s="86"/>
    </row>
    <row r="1480" spans="1:32">
      <c r="A1480" s="86"/>
      <c r="B1480" s="86"/>
      <c r="C1480" s="86"/>
      <c r="D1480" s="86"/>
      <c r="E1480" s="86"/>
      <c r="F1480" s="86"/>
      <c r="G1480" s="86"/>
      <c r="H1480" s="86"/>
      <c r="I1480" s="86"/>
      <c r="J1480" s="86"/>
      <c r="K1480" s="86"/>
      <c r="L1480" s="86"/>
      <c r="M1480" s="86"/>
      <c r="N1480" s="86"/>
      <c r="O1480" s="86"/>
      <c r="P1480" s="86"/>
      <c r="Q1480" s="86"/>
      <c r="R1480" s="86"/>
      <c r="S1480" s="86"/>
      <c r="T1480" s="86"/>
      <c r="U1480" s="86"/>
      <c r="V1480" s="86"/>
      <c r="W1480" s="86"/>
      <c r="X1480" s="86"/>
      <c r="Y1480" s="86"/>
      <c r="Z1480" s="86"/>
      <c r="AA1480" s="86"/>
      <c r="AB1480" s="86"/>
      <c r="AC1480" s="86"/>
      <c r="AD1480" s="86"/>
      <c r="AE1480" s="86"/>
      <c r="AF1480" s="86"/>
    </row>
    <row r="1481" spans="1:32">
      <c r="A1481" s="86"/>
      <c r="B1481" s="86"/>
      <c r="C1481" s="86"/>
      <c r="D1481" s="86"/>
      <c r="E1481" s="86"/>
      <c r="F1481" s="86"/>
      <c r="G1481" s="86"/>
      <c r="H1481" s="86"/>
      <c r="I1481" s="86"/>
      <c r="J1481" s="86"/>
      <c r="K1481" s="86"/>
      <c r="L1481" s="86"/>
      <c r="M1481" s="86"/>
      <c r="N1481" s="86"/>
      <c r="O1481" s="86"/>
      <c r="P1481" s="86"/>
      <c r="Q1481" s="86"/>
      <c r="R1481" s="86"/>
      <c r="S1481" s="86"/>
      <c r="T1481" s="86"/>
      <c r="U1481" s="86"/>
      <c r="V1481" s="86"/>
      <c r="W1481" s="86"/>
      <c r="X1481" s="86"/>
      <c r="Y1481" s="86"/>
      <c r="Z1481" s="86"/>
      <c r="AA1481" s="86"/>
      <c r="AB1481" s="86"/>
      <c r="AC1481" s="86"/>
      <c r="AD1481" s="86"/>
      <c r="AE1481" s="86"/>
      <c r="AF1481" s="86"/>
    </row>
    <row r="1482" spans="1:32">
      <c r="A1482" s="86"/>
      <c r="B1482" s="86"/>
      <c r="C1482" s="86"/>
      <c r="D1482" s="86"/>
      <c r="E1482" s="86"/>
      <c r="F1482" s="86"/>
      <c r="G1482" s="86"/>
      <c r="H1482" s="86"/>
      <c r="I1482" s="86"/>
      <c r="J1482" s="86"/>
      <c r="K1482" s="86"/>
      <c r="L1482" s="86"/>
      <c r="M1482" s="86"/>
      <c r="N1482" s="86"/>
      <c r="O1482" s="86"/>
      <c r="P1482" s="86"/>
      <c r="Q1482" s="86"/>
      <c r="R1482" s="86"/>
      <c r="S1482" s="86"/>
      <c r="T1482" s="86"/>
      <c r="U1482" s="86"/>
      <c r="V1482" s="86"/>
      <c r="W1482" s="86"/>
      <c r="X1482" s="86"/>
      <c r="Y1482" s="86"/>
      <c r="Z1482" s="86"/>
      <c r="AA1482" s="86"/>
      <c r="AB1482" s="86"/>
      <c r="AC1482" s="86"/>
      <c r="AD1482" s="86"/>
      <c r="AE1482" s="86"/>
      <c r="AF1482" s="86"/>
    </row>
    <row r="1483" spans="1:32">
      <c r="A1483" s="86"/>
      <c r="B1483" s="86"/>
      <c r="C1483" s="86"/>
      <c r="D1483" s="86"/>
      <c r="E1483" s="86"/>
      <c r="F1483" s="86"/>
      <c r="G1483" s="86"/>
      <c r="H1483" s="86"/>
      <c r="I1483" s="86"/>
      <c r="J1483" s="86"/>
      <c r="K1483" s="86"/>
      <c r="L1483" s="86"/>
      <c r="M1483" s="86"/>
      <c r="N1483" s="86"/>
      <c r="O1483" s="86"/>
      <c r="P1483" s="86"/>
      <c r="Q1483" s="86"/>
      <c r="R1483" s="86"/>
      <c r="S1483" s="86"/>
      <c r="T1483" s="86"/>
      <c r="U1483" s="86"/>
      <c r="V1483" s="86"/>
      <c r="W1483" s="86"/>
      <c r="X1483" s="86"/>
      <c r="Y1483" s="86"/>
      <c r="Z1483" s="86"/>
      <c r="AA1483" s="86"/>
      <c r="AB1483" s="86"/>
      <c r="AC1483" s="86"/>
      <c r="AD1483" s="86"/>
      <c r="AE1483" s="86"/>
      <c r="AF1483" s="86"/>
    </row>
    <row r="1484" spans="1:32">
      <c r="A1484" s="86"/>
      <c r="B1484" s="86"/>
      <c r="C1484" s="86"/>
      <c r="D1484" s="86"/>
      <c r="E1484" s="86"/>
      <c r="F1484" s="86"/>
      <c r="G1484" s="86"/>
      <c r="H1484" s="86"/>
      <c r="I1484" s="86"/>
      <c r="J1484" s="86"/>
      <c r="K1484" s="86"/>
      <c r="L1484" s="86"/>
      <c r="M1484" s="86"/>
      <c r="N1484" s="86"/>
      <c r="O1484" s="86"/>
      <c r="P1484" s="86"/>
      <c r="Q1484" s="86"/>
      <c r="R1484" s="86"/>
      <c r="S1484" s="86"/>
      <c r="T1484" s="86"/>
      <c r="U1484" s="86"/>
      <c r="V1484" s="86"/>
      <c r="W1484" s="86"/>
      <c r="X1484" s="86"/>
      <c r="Y1484" s="86"/>
      <c r="Z1484" s="86"/>
      <c r="AA1484" s="86"/>
      <c r="AB1484" s="86"/>
      <c r="AC1484" s="86"/>
      <c r="AD1484" s="86"/>
      <c r="AE1484" s="86"/>
      <c r="AF1484" s="86"/>
    </row>
    <row r="1485" spans="1:32">
      <c r="A1485" s="86"/>
      <c r="B1485" s="86"/>
      <c r="C1485" s="86"/>
      <c r="D1485" s="86"/>
      <c r="E1485" s="86"/>
      <c r="F1485" s="86"/>
      <c r="G1485" s="86"/>
      <c r="H1485" s="86"/>
      <c r="I1485" s="86"/>
      <c r="J1485" s="86"/>
      <c r="K1485" s="86"/>
      <c r="L1485" s="86"/>
      <c r="M1485" s="86"/>
      <c r="N1485" s="86"/>
      <c r="O1485" s="86"/>
      <c r="P1485" s="86"/>
      <c r="Q1485" s="86"/>
      <c r="R1485" s="86"/>
      <c r="S1485" s="86"/>
      <c r="T1485" s="86"/>
      <c r="U1485" s="86"/>
      <c r="V1485" s="86"/>
      <c r="W1485" s="86"/>
      <c r="X1485" s="86"/>
      <c r="Y1485" s="86"/>
      <c r="Z1485" s="86"/>
      <c r="AA1485" s="86"/>
      <c r="AB1485" s="86"/>
      <c r="AC1485" s="86"/>
      <c r="AD1485" s="86"/>
      <c r="AE1485" s="86"/>
      <c r="AF1485" s="86"/>
    </row>
    <row r="1486" spans="1:32">
      <c r="A1486" s="86"/>
      <c r="B1486" s="86"/>
      <c r="C1486" s="86"/>
      <c r="D1486" s="86"/>
      <c r="E1486" s="86"/>
      <c r="F1486" s="86"/>
      <c r="G1486" s="86"/>
      <c r="H1486" s="86"/>
      <c r="I1486" s="86"/>
      <c r="J1486" s="86"/>
      <c r="K1486" s="86"/>
      <c r="L1486" s="86"/>
      <c r="M1486" s="86"/>
      <c r="N1486" s="86"/>
      <c r="O1486" s="86"/>
      <c r="P1486" s="86"/>
      <c r="Q1486" s="86"/>
      <c r="R1486" s="86"/>
      <c r="S1486" s="86"/>
      <c r="T1486" s="86"/>
      <c r="U1486" s="86"/>
      <c r="V1486" s="86"/>
      <c r="W1486" s="86"/>
      <c r="X1486" s="86"/>
      <c r="Y1486" s="86"/>
      <c r="Z1486" s="86"/>
      <c r="AA1486" s="86"/>
      <c r="AB1486" s="86"/>
      <c r="AC1486" s="86"/>
      <c r="AD1486" s="86"/>
      <c r="AE1486" s="86"/>
      <c r="AF1486" s="86"/>
    </row>
    <row r="1487" spans="1:32">
      <c r="A1487" s="86"/>
      <c r="B1487" s="86"/>
      <c r="C1487" s="86"/>
      <c r="D1487" s="86"/>
      <c r="E1487" s="86"/>
      <c r="F1487" s="86"/>
      <c r="G1487" s="86"/>
      <c r="H1487" s="86"/>
      <c r="I1487" s="86"/>
      <c r="J1487" s="86"/>
      <c r="K1487" s="86"/>
      <c r="L1487" s="86"/>
      <c r="M1487" s="86"/>
      <c r="N1487" s="86"/>
      <c r="O1487" s="86"/>
      <c r="P1487" s="86"/>
      <c r="Q1487" s="86"/>
      <c r="R1487" s="86"/>
      <c r="S1487" s="86"/>
      <c r="T1487" s="86"/>
      <c r="U1487" s="86"/>
      <c r="V1487" s="86"/>
      <c r="W1487" s="86"/>
      <c r="X1487" s="86"/>
      <c r="Y1487" s="86"/>
      <c r="Z1487" s="86"/>
      <c r="AA1487" s="86"/>
      <c r="AB1487" s="86"/>
      <c r="AC1487" s="86"/>
      <c r="AD1487" s="86"/>
      <c r="AE1487" s="86"/>
      <c r="AF1487" s="86"/>
    </row>
    <row r="1488" spans="1:32">
      <c r="A1488" s="86"/>
      <c r="B1488" s="86"/>
      <c r="C1488" s="86"/>
      <c r="D1488" s="86"/>
      <c r="E1488" s="86"/>
      <c r="F1488" s="86"/>
      <c r="G1488" s="86"/>
      <c r="H1488" s="86"/>
      <c r="I1488" s="86"/>
      <c r="J1488" s="86"/>
      <c r="K1488" s="86"/>
      <c r="L1488" s="86"/>
      <c r="M1488" s="86"/>
      <c r="N1488" s="86"/>
      <c r="O1488" s="86"/>
      <c r="P1488" s="86"/>
      <c r="Q1488" s="86"/>
      <c r="R1488" s="86"/>
      <c r="S1488" s="86"/>
      <c r="T1488" s="86"/>
      <c r="U1488" s="86"/>
      <c r="V1488" s="86"/>
      <c r="W1488" s="86"/>
      <c r="X1488" s="86"/>
      <c r="Y1488" s="86"/>
      <c r="Z1488" s="86"/>
      <c r="AA1488" s="86"/>
      <c r="AB1488" s="86"/>
      <c r="AC1488" s="86"/>
      <c r="AD1488" s="86"/>
      <c r="AE1488" s="86"/>
      <c r="AF1488" s="86"/>
    </row>
    <row r="1489" spans="1:32">
      <c r="A1489" s="86"/>
      <c r="B1489" s="86"/>
      <c r="C1489" s="86"/>
      <c r="D1489" s="86"/>
      <c r="E1489" s="86"/>
      <c r="F1489" s="86"/>
      <c r="G1489" s="86"/>
      <c r="H1489" s="86"/>
      <c r="I1489" s="86"/>
      <c r="J1489" s="86"/>
      <c r="K1489" s="86"/>
      <c r="L1489" s="86"/>
      <c r="M1489" s="86"/>
      <c r="N1489" s="86"/>
      <c r="O1489" s="86"/>
      <c r="P1489" s="86"/>
      <c r="Q1489" s="86"/>
      <c r="R1489" s="86"/>
      <c r="S1489" s="86"/>
      <c r="T1489" s="86"/>
      <c r="U1489" s="86"/>
      <c r="V1489" s="86"/>
      <c r="W1489" s="86"/>
      <c r="X1489" s="86"/>
      <c r="Y1489" s="86"/>
      <c r="Z1489" s="86"/>
      <c r="AA1489" s="86"/>
      <c r="AB1489" s="86"/>
      <c r="AC1489" s="86"/>
      <c r="AD1489" s="86"/>
      <c r="AE1489" s="86"/>
      <c r="AF1489" s="86"/>
    </row>
    <row r="1490" spans="1:32">
      <c r="A1490" s="86"/>
      <c r="B1490" s="86"/>
      <c r="C1490" s="86"/>
      <c r="D1490" s="86"/>
      <c r="E1490" s="86"/>
      <c r="F1490" s="86"/>
      <c r="G1490" s="86"/>
      <c r="H1490" s="86"/>
      <c r="I1490" s="86"/>
      <c r="J1490" s="86"/>
      <c r="K1490" s="86"/>
      <c r="L1490" s="86"/>
      <c r="M1490" s="86"/>
      <c r="N1490" s="86"/>
      <c r="O1490" s="86"/>
      <c r="P1490" s="86"/>
      <c r="Q1490" s="86"/>
      <c r="R1490" s="86"/>
      <c r="S1490" s="86"/>
      <c r="T1490" s="86"/>
      <c r="U1490" s="86"/>
      <c r="V1490" s="86"/>
      <c r="W1490" s="86"/>
      <c r="X1490" s="86"/>
      <c r="Y1490" s="86"/>
      <c r="Z1490" s="86"/>
      <c r="AA1490" s="86"/>
      <c r="AB1490" s="86"/>
      <c r="AC1490" s="86"/>
      <c r="AD1490" s="86"/>
      <c r="AE1490" s="86"/>
      <c r="AF1490" s="86"/>
    </row>
    <row r="1491" spans="1:32">
      <c r="A1491" s="86"/>
      <c r="B1491" s="86"/>
      <c r="C1491" s="86"/>
      <c r="D1491" s="86"/>
      <c r="E1491" s="86"/>
      <c r="F1491" s="86"/>
      <c r="G1491" s="86"/>
      <c r="H1491" s="86"/>
      <c r="I1491" s="86"/>
      <c r="J1491" s="86"/>
      <c r="K1491" s="86"/>
      <c r="L1491" s="86"/>
      <c r="M1491" s="86"/>
      <c r="N1491" s="86"/>
      <c r="O1491" s="86"/>
      <c r="P1491" s="86"/>
      <c r="Q1491" s="86"/>
      <c r="R1491" s="86"/>
      <c r="S1491" s="86"/>
      <c r="T1491" s="86"/>
      <c r="U1491" s="86"/>
      <c r="V1491" s="86"/>
      <c r="W1491" s="86"/>
      <c r="X1491" s="86"/>
      <c r="Y1491" s="86"/>
      <c r="Z1491" s="86"/>
      <c r="AA1491" s="86"/>
      <c r="AB1491" s="86"/>
      <c r="AC1491" s="86"/>
      <c r="AD1491" s="86"/>
      <c r="AE1491" s="86"/>
      <c r="AF1491" s="86"/>
    </row>
    <row r="1492" spans="1:32">
      <c r="A1492" s="86"/>
      <c r="B1492" s="86"/>
      <c r="C1492" s="86"/>
      <c r="D1492" s="86"/>
      <c r="E1492" s="86"/>
      <c r="F1492" s="86"/>
      <c r="G1492" s="86"/>
      <c r="H1492" s="86"/>
      <c r="I1492" s="86"/>
      <c r="J1492" s="86"/>
      <c r="K1492" s="86"/>
      <c r="L1492" s="86"/>
      <c r="M1492" s="86"/>
      <c r="N1492" s="86"/>
      <c r="O1492" s="86"/>
      <c r="P1492" s="86"/>
      <c r="Q1492" s="86"/>
      <c r="R1492" s="86"/>
      <c r="S1492" s="86"/>
      <c r="T1492" s="86"/>
      <c r="U1492" s="86"/>
      <c r="V1492" s="86"/>
      <c r="W1492" s="86"/>
      <c r="X1492" s="86"/>
      <c r="Y1492" s="86"/>
      <c r="Z1492" s="86"/>
      <c r="AA1492" s="86"/>
      <c r="AB1492" s="86"/>
      <c r="AC1492" s="86"/>
      <c r="AD1492" s="86"/>
      <c r="AE1492" s="86"/>
      <c r="AF1492" s="86"/>
    </row>
    <row r="1493" spans="1:32">
      <c r="A1493" s="86"/>
      <c r="B1493" s="86"/>
      <c r="C1493" s="86"/>
      <c r="D1493" s="86"/>
      <c r="E1493" s="86"/>
      <c r="F1493" s="86"/>
      <c r="G1493" s="86"/>
      <c r="H1493" s="86"/>
      <c r="I1493" s="86"/>
      <c r="J1493" s="86"/>
      <c r="K1493" s="86"/>
      <c r="L1493" s="86"/>
      <c r="M1493" s="86"/>
      <c r="N1493" s="86"/>
      <c r="O1493" s="86"/>
      <c r="P1493" s="86"/>
      <c r="Q1493" s="86"/>
      <c r="R1493" s="86"/>
      <c r="S1493" s="86"/>
      <c r="T1493" s="86"/>
      <c r="U1493" s="86"/>
      <c r="V1493" s="86"/>
      <c r="W1493" s="86"/>
      <c r="X1493" s="86"/>
      <c r="Y1493" s="86"/>
      <c r="Z1493" s="86"/>
      <c r="AA1493" s="86"/>
      <c r="AB1493" s="86"/>
      <c r="AC1493" s="86"/>
      <c r="AD1493" s="86"/>
      <c r="AE1493" s="86"/>
      <c r="AF1493" s="86"/>
    </row>
    <row r="1494" spans="1:32">
      <c r="A1494" s="86"/>
      <c r="B1494" s="86"/>
      <c r="C1494" s="86"/>
      <c r="D1494" s="86"/>
      <c r="E1494" s="86"/>
      <c r="F1494" s="86"/>
      <c r="G1494" s="86"/>
      <c r="H1494" s="86"/>
      <c r="I1494" s="86"/>
      <c r="J1494" s="86"/>
      <c r="K1494" s="86"/>
      <c r="L1494" s="86"/>
      <c r="M1494" s="86"/>
      <c r="N1494" s="86"/>
      <c r="O1494" s="86"/>
      <c r="P1494" s="86"/>
      <c r="Q1494" s="86"/>
      <c r="R1494" s="86"/>
      <c r="S1494" s="86"/>
      <c r="T1494" s="86"/>
      <c r="U1494" s="86"/>
      <c r="V1494" s="86"/>
      <c r="W1494" s="86"/>
      <c r="X1494" s="86"/>
      <c r="Y1494" s="86"/>
      <c r="Z1494" s="86"/>
      <c r="AA1494" s="86"/>
      <c r="AB1494" s="86"/>
      <c r="AC1494" s="86"/>
      <c r="AD1494" s="86"/>
      <c r="AE1494" s="86"/>
      <c r="AF1494" s="86"/>
    </row>
    <row r="1495" spans="1:32">
      <c r="A1495" s="86"/>
      <c r="B1495" s="86"/>
      <c r="C1495" s="86"/>
      <c r="D1495" s="86"/>
      <c r="E1495" s="86"/>
      <c r="F1495" s="86"/>
      <c r="G1495" s="86"/>
      <c r="H1495" s="86"/>
      <c r="I1495" s="86"/>
      <c r="J1495" s="86"/>
      <c r="K1495" s="86"/>
      <c r="L1495" s="86"/>
      <c r="M1495" s="86"/>
      <c r="N1495" s="86"/>
      <c r="O1495" s="86"/>
      <c r="P1495" s="86"/>
      <c r="Q1495" s="86"/>
      <c r="R1495" s="86"/>
      <c r="S1495" s="86"/>
      <c r="T1495" s="86"/>
      <c r="U1495" s="86"/>
      <c r="V1495" s="86"/>
      <c r="W1495" s="86"/>
      <c r="X1495" s="86"/>
      <c r="Y1495" s="86"/>
      <c r="Z1495" s="86"/>
      <c r="AA1495" s="86"/>
      <c r="AB1495" s="86"/>
      <c r="AC1495" s="86"/>
      <c r="AD1495" s="86"/>
      <c r="AE1495" s="86"/>
      <c r="AF1495" s="86"/>
    </row>
    <row r="1496" spans="1:32">
      <c r="A1496" s="86"/>
      <c r="B1496" s="86"/>
      <c r="C1496" s="86"/>
      <c r="D1496" s="86"/>
      <c r="E1496" s="86"/>
      <c r="F1496" s="86"/>
      <c r="G1496" s="86"/>
      <c r="H1496" s="86"/>
      <c r="I1496" s="86"/>
      <c r="J1496" s="86"/>
      <c r="K1496" s="86"/>
      <c r="L1496" s="86"/>
      <c r="M1496" s="86"/>
      <c r="N1496" s="86"/>
      <c r="O1496" s="86"/>
      <c r="P1496" s="86"/>
      <c r="Q1496" s="86"/>
      <c r="R1496" s="86"/>
      <c r="S1496" s="86"/>
      <c r="T1496" s="86"/>
      <c r="U1496" s="86"/>
      <c r="V1496" s="86"/>
      <c r="W1496" s="86"/>
      <c r="X1496" s="86"/>
      <c r="Y1496" s="86"/>
      <c r="Z1496" s="86"/>
      <c r="AA1496" s="86"/>
      <c r="AB1496" s="86"/>
      <c r="AC1496" s="86"/>
      <c r="AD1496" s="86"/>
      <c r="AE1496" s="86"/>
      <c r="AF1496" s="86"/>
    </row>
    <row r="1497" spans="1:32">
      <c r="A1497" s="86"/>
      <c r="B1497" s="86"/>
      <c r="C1497" s="86"/>
      <c r="D1497" s="86"/>
      <c r="E1497" s="86"/>
      <c r="F1497" s="86"/>
      <c r="G1497" s="86"/>
      <c r="H1497" s="86"/>
      <c r="I1497" s="86"/>
      <c r="J1497" s="86"/>
      <c r="K1497" s="86"/>
      <c r="L1497" s="86"/>
      <c r="M1497" s="86"/>
      <c r="N1497" s="86"/>
      <c r="O1497" s="86"/>
      <c r="P1497" s="86"/>
      <c r="Q1497" s="86"/>
      <c r="R1497" s="86"/>
      <c r="S1497" s="86"/>
      <c r="T1497" s="86"/>
      <c r="U1497" s="86"/>
      <c r="V1497" s="86"/>
      <c r="W1497" s="86"/>
      <c r="X1497" s="86"/>
      <c r="Y1497" s="86"/>
      <c r="Z1497" s="86"/>
      <c r="AA1497" s="86"/>
      <c r="AB1497" s="86"/>
      <c r="AC1497" s="86"/>
      <c r="AD1497" s="86"/>
      <c r="AE1497" s="86"/>
      <c r="AF1497" s="86"/>
    </row>
    <row r="1498" spans="1:32">
      <c r="A1498" s="86"/>
      <c r="B1498" s="86"/>
      <c r="C1498" s="86"/>
      <c r="D1498" s="86"/>
      <c r="E1498" s="86"/>
      <c r="F1498" s="86"/>
      <c r="G1498" s="86"/>
      <c r="H1498" s="86"/>
      <c r="I1498" s="86"/>
      <c r="J1498" s="86"/>
      <c r="K1498" s="86"/>
      <c r="L1498" s="86"/>
      <c r="M1498" s="86"/>
      <c r="N1498" s="86"/>
      <c r="O1498" s="86"/>
      <c r="P1498" s="86"/>
      <c r="Q1498" s="86"/>
      <c r="R1498" s="86"/>
      <c r="S1498" s="86"/>
      <c r="T1498" s="86"/>
      <c r="U1498" s="86"/>
      <c r="V1498" s="86"/>
      <c r="W1498" s="86"/>
      <c r="X1498" s="86"/>
      <c r="Y1498" s="86"/>
      <c r="Z1498" s="86"/>
      <c r="AA1498" s="86"/>
      <c r="AB1498" s="86"/>
      <c r="AC1498" s="86"/>
      <c r="AD1498" s="86"/>
      <c r="AE1498" s="86"/>
      <c r="AF1498" s="86"/>
    </row>
    <row r="1499" spans="1:32">
      <c r="A1499" s="86"/>
      <c r="B1499" s="86"/>
      <c r="C1499" s="86"/>
      <c r="D1499" s="86"/>
      <c r="E1499" s="86"/>
      <c r="F1499" s="86"/>
      <c r="G1499" s="86"/>
      <c r="H1499" s="86"/>
      <c r="I1499" s="86"/>
      <c r="J1499" s="86"/>
      <c r="K1499" s="86"/>
      <c r="L1499" s="86"/>
      <c r="M1499" s="86"/>
      <c r="N1499" s="86"/>
      <c r="O1499" s="86"/>
      <c r="P1499" s="86"/>
      <c r="Q1499" s="86"/>
      <c r="R1499" s="86"/>
      <c r="S1499" s="86"/>
      <c r="T1499" s="86"/>
      <c r="U1499" s="86"/>
      <c r="V1499" s="86"/>
      <c r="W1499" s="86"/>
      <c r="X1499" s="86"/>
      <c r="Y1499" s="86"/>
      <c r="Z1499" s="86"/>
      <c r="AA1499" s="86"/>
      <c r="AB1499" s="86"/>
      <c r="AC1499" s="86"/>
      <c r="AD1499" s="86"/>
      <c r="AE1499" s="86"/>
      <c r="AF1499" s="86"/>
    </row>
    <row r="1500" spans="1:32">
      <c r="A1500" s="86"/>
      <c r="B1500" s="86"/>
      <c r="C1500" s="86"/>
      <c r="D1500" s="86"/>
      <c r="E1500" s="86"/>
      <c r="F1500" s="86"/>
      <c r="G1500" s="86"/>
      <c r="H1500" s="86"/>
      <c r="I1500" s="86"/>
      <c r="J1500" s="86"/>
      <c r="K1500" s="86"/>
      <c r="L1500" s="86"/>
      <c r="M1500" s="86"/>
      <c r="N1500" s="86"/>
      <c r="O1500" s="86"/>
      <c r="P1500" s="86"/>
      <c r="Q1500" s="86"/>
      <c r="R1500" s="86"/>
      <c r="S1500" s="86"/>
      <c r="T1500" s="86"/>
      <c r="U1500" s="86"/>
      <c r="V1500" s="86"/>
      <c r="W1500" s="86"/>
      <c r="X1500" s="86"/>
      <c r="Y1500" s="86"/>
      <c r="Z1500" s="86"/>
      <c r="AA1500" s="86"/>
      <c r="AB1500" s="86"/>
      <c r="AC1500" s="86"/>
      <c r="AD1500" s="86"/>
      <c r="AE1500" s="86"/>
      <c r="AF1500" s="86"/>
    </row>
    <row r="1501" spans="1:32">
      <c r="A1501" s="86"/>
      <c r="B1501" s="86"/>
      <c r="C1501" s="86"/>
      <c r="D1501" s="86"/>
      <c r="E1501" s="86"/>
      <c r="F1501" s="86"/>
      <c r="G1501" s="86"/>
      <c r="H1501" s="86"/>
      <c r="I1501" s="86"/>
      <c r="J1501" s="86"/>
      <c r="K1501" s="86"/>
      <c r="L1501" s="86"/>
      <c r="M1501" s="86"/>
      <c r="N1501" s="86"/>
      <c r="O1501" s="86"/>
      <c r="P1501" s="86"/>
      <c r="Q1501" s="86"/>
      <c r="R1501" s="86"/>
      <c r="S1501" s="86"/>
      <c r="T1501" s="86"/>
      <c r="U1501" s="86"/>
      <c r="V1501" s="86"/>
      <c r="W1501" s="86"/>
      <c r="X1501" s="86"/>
      <c r="Y1501" s="86"/>
      <c r="Z1501" s="86"/>
      <c r="AA1501" s="86"/>
      <c r="AB1501" s="86"/>
      <c r="AC1501" s="86"/>
      <c r="AD1501" s="86"/>
      <c r="AE1501" s="86"/>
      <c r="AF1501" s="86"/>
    </row>
    <row r="1502" spans="1:32">
      <c r="A1502" s="86"/>
      <c r="B1502" s="86"/>
      <c r="C1502" s="86"/>
      <c r="D1502" s="86"/>
      <c r="E1502" s="86"/>
      <c r="F1502" s="86"/>
      <c r="G1502" s="86"/>
      <c r="H1502" s="86"/>
      <c r="I1502" s="86"/>
      <c r="J1502" s="86"/>
      <c r="K1502" s="86"/>
      <c r="L1502" s="86"/>
      <c r="M1502" s="86"/>
      <c r="N1502" s="86"/>
      <c r="O1502" s="86"/>
      <c r="P1502" s="86"/>
      <c r="Q1502" s="86"/>
      <c r="R1502" s="86"/>
      <c r="S1502" s="86"/>
      <c r="T1502" s="86"/>
      <c r="U1502" s="86"/>
      <c r="V1502" s="86"/>
      <c r="W1502" s="86"/>
      <c r="X1502" s="86"/>
      <c r="Y1502" s="86"/>
      <c r="Z1502" s="86"/>
      <c r="AA1502" s="86"/>
      <c r="AB1502" s="86"/>
      <c r="AC1502" s="86"/>
      <c r="AD1502" s="86"/>
      <c r="AE1502" s="86"/>
      <c r="AF1502" s="86"/>
    </row>
    <row r="1503" spans="1:32">
      <c r="A1503" s="86"/>
      <c r="B1503" s="86"/>
      <c r="C1503" s="86"/>
      <c r="D1503" s="86"/>
      <c r="E1503" s="86"/>
      <c r="F1503" s="86"/>
      <c r="G1503" s="86"/>
      <c r="H1503" s="86"/>
      <c r="I1503" s="86"/>
      <c r="J1503" s="86"/>
      <c r="K1503" s="86"/>
      <c r="L1503" s="86"/>
      <c r="M1503" s="86"/>
      <c r="N1503" s="86"/>
      <c r="O1503" s="86"/>
      <c r="P1503" s="86"/>
      <c r="Q1503" s="86"/>
      <c r="R1503" s="86"/>
      <c r="S1503" s="86"/>
      <c r="T1503" s="86"/>
      <c r="U1503" s="86"/>
      <c r="V1503" s="86"/>
      <c r="W1503" s="86"/>
      <c r="X1503" s="86"/>
      <c r="Y1503" s="86"/>
      <c r="Z1503" s="86"/>
      <c r="AA1503" s="86"/>
      <c r="AB1503" s="86"/>
      <c r="AC1503" s="86"/>
      <c r="AD1503" s="86"/>
      <c r="AE1503" s="86"/>
      <c r="AF1503" s="86"/>
    </row>
    <row r="1504" spans="1:32">
      <c r="A1504" s="86"/>
      <c r="B1504" s="86"/>
      <c r="C1504" s="86"/>
      <c r="D1504" s="86"/>
      <c r="E1504" s="86"/>
      <c r="F1504" s="86"/>
      <c r="G1504" s="86"/>
      <c r="H1504" s="86"/>
      <c r="I1504" s="86"/>
      <c r="J1504" s="86"/>
      <c r="K1504" s="86"/>
      <c r="L1504" s="86"/>
      <c r="M1504" s="86"/>
      <c r="N1504" s="86"/>
      <c r="O1504" s="86"/>
      <c r="P1504" s="86"/>
      <c r="Q1504" s="86"/>
      <c r="R1504" s="86"/>
      <c r="S1504" s="86"/>
      <c r="T1504" s="86"/>
      <c r="U1504" s="86"/>
      <c r="V1504" s="86"/>
      <c r="W1504" s="86"/>
      <c r="X1504" s="86"/>
      <c r="Y1504" s="86"/>
      <c r="Z1504" s="86"/>
      <c r="AA1504" s="86"/>
      <c r="AB1504" s="86"/>
      <c r="AC1504" s="86"/>
      <c r="AD1504" s="86"/>
      <c r="AE1504" s="86"/>
      <c r="AF1504" s="86"/>
    </row>
    <row r="1505" spans="1:32">
      <c r="A1505" s="86"/>
      <c r="B1505" s="86"/>
      <c r="C1505" s="86"/>
      <c r="D1505" s="86"/>
      <c r="E1505" s="86"/>
      <c r="F1505" s="86"/>
      <c r="G1505" s="86"/>
      <c r="H1505" s="86"/>
      <c r="I1505" s="86"/>
      <c r="J1505" s="86"/>
      <c r="K1505" s="86"/>
      <c r="L1505" s="86"/>
      <c r="M1505" s="86"/>
      <c r="N1505" s="86"/>
      <c r="O1505" s="86"/>
      <c r="P1505" s="86"/>
      <c r="Q1505" s="86"/>
      <c r="R1505" s="86"/>
      <c r="S1505" s="86"/>
      <c r="T1505" s="86"/>
      <c r="U1505" s="86"/>
      <c r="V1505" s="86"/>
      <c r="W1505" s="86"/>
      <c r="X1505" s="86"/>
      <c r="Y1505" s="86"/>
      <c r="Z1505" s="86"/>
      <c r="AA1505" s="86"/>
      <c r="AB1505" s="86"/>
      <c r="AC1505" s="86"/>
      <c r="AD1505" s="86"/>
      <c r="AE1505" s="86"/>
      <c r="AF1505" s="86"/>
    </row>
    <row r="1506" spans="1:32">
      <c r="A1506" s="86"/>
      <c r="B1506" s="86"/>
      <c r="C1506" s="86"/>
      <c r="D1506" s="86"/>
      <c r="E1506" s="86"/>
      <c r="F1506" s="86"/>
      <c r="G1506" s="86"/>
      <c r="H1506" s="86"/>
      <c r="I1506" s="86"/>
      <c r="J1506" s="86"/>
      <c r="K1506" s="86"/>
      <c r="L1506" s="86"/>
      <c r="M1506" s="86"/>
      <c r="N1506" s="86"/>
      <c r="O1506" s="86"/>
      <c r="P1506" s="86"/>
      <c r="Q1506" s="86"/>
      <c r="R1506" s="86"/>
      <c r="S1506" s="86"/>
      <c r="T1506" s="86"/>
      <c r="U1506" s="86"/>
      <c r="V1506" s="86"/>
      <c r="W1506" s="86"/>
      <c r="X1506" s="86"/>
      <c r="Y1506" s="86"/>
      <c r="Z1506" s="86"/>
      <c r="AA1506" s="86"/>
      <c r="AB1506" s="86"/>
      <c r="AC1506" s="86"/>
      <c r="AD1506" s="86"/>
      <c r="AE1506" s="86"/>
      <c r="AF1506" s="86"/>
    </row>
    <row r="1507" spans="1:32">
      <c r="A1507" s="86"/>
      <c r="B1507" s="86"/>
      <c r="C1507" s="86"/>
      <c r="D1507" s="86"/>
      <c r="E1507" s="86"/>
      <c r="F1507" s="86"/>
      <c r="G1507" s="86"/>
      <c r="H1507" s="86"/>
      <c r="I1507" s="86"/>
      <c r="J1507" s="86"/>
      <c r="K1507" s="86"/>
      <c r="L1507" s="86"/>
      <c r="M1507" s="86"/>
      <c r="N1507" s="86"/>
      <c r="O1507" s="86"/>
      <c r="P1507" s="86"/>
      <c r="Q1507" s="86"/>
      <c r="R1507" s="86"/>
      <c r="S1507" s="86"/>
      <c r="T1507" s="86"/>
      <c r="U1507" s="86"/>
      <c r="V1507" s="86"/>
      <c r="W1507" s="86"/>
      <c r="X1507" s="86"/>
      <c r="Y1507" s="86"/>
      <c r="Z1507" s="86"/>
      <c r="AA1507" s="86"/>
      <c r="AB1507" s="86"/>
      <c r="AC1507" s="86"/>
      <c r="AD1507" s="86"/>
      <c r="AE1507" s="86"/>
      <c r="AF1507" s="86"/>
    </row>
    <row r="1508" spans="1:32">
      <c r="A1508" s="86"/>
      <c r="B1508" s="86"/>
      <c r="C1508" s="86"/>
      <c r="D1508" s="86"/>
      <c r="E1508" s="86"/>
      <c r="F1508" s="86"/>
      <c r="G1508" s="86"/>
      <c r="H1508" s="86"/>
      <c r="I1508" s="86"/>
      <c r="J1508" s="86"/>
      <c r="K1508" s="86"/>
      <c r="L1508" s="86"/>
      <c r="M1508" s="86"/>
      <c r="N1508" s="86"/>
      <c r="O1508" s="86"/>
      <c r="P1508" s="86"/>
      <c r="Q1508" s="86"/>
      <c r="R1508" s="86"/>
      <c r="S1508" s="86"/>
      <c r="T1508" s="86"/>
      <c r="U1508" s="86"/>
      <c r="V1508" s="86"/>
      <c r="W1508" s="86"/>
      <c r="X1508" s="86"/>
      <c r="Y1508" s="86"/>
      <c r="Z1508" s="86"/>
      <c r="AA1508" s="86"/>
      <c r="AB1508" s="86"/>
      <c r="AC1508" s="86"/>
      <c r="AD1508" s="86"/>
      <c r="AE1508" s="86"/>
      <c r="AF1508" s="86"/>
    </row>
    <row r="1509" spans="1:32">
      <c r="A1509" s="86"/>
      <c r="B1509" s="86"/>
      <c r="C1509" s="86"/>
      <c r="D1509" s="86"/>
      <c r="E1509" s="86"/>
      <c r="F1509" s="86"/>
      <c r="G1509" s="86"/>
      <c r="H1509" s="86"/>
      <c r="I1509" s="86"/>
      <c r="J1509" s="86"/>
      <c r="K1509" s="86"/>
      <c r="L1509" s="86"/>
      <c r="M1509" s="86"/>
      <c r="N1509" s="86"/>
      <c r="O1509" s="86"/>
      <c r="P1509" s="86"/>
      <c r="Q1509" s="86"/>
      <c r="R1509" s="86"/>
      <c r="S1509" s="86"/>
      <c r="T1509" s="86"/>
      <c r="U1509" s="86"/>
      <c r="V1509" s="86"/>
      <c r="W1509" s="86"/>
      <c r="X1509" s="86"/>
      <c r="Y1509" s="86"/>
      <c r="Z1509" s="86"/>
      <c r="AA1509" s="86"/>
      <c r="AB1509" s="86"/>
      <c r="AC1509" s="86"/>
      <c r="AD1509" s="86"/>
      <c r="AE1509" s="86"/>
      <c r="AF1509" s="86"/>
    </row>
    <row r="1510" spans="1:32">
      <c r="A1510" s="86"/>
      <c r="B1510" s="86"/>
      <c r="C1510" s="86"/>
      <c r="D1510" s="86"/>
      <c r="E1510" s="86"/>
      <c r="F1510" s="86"/>
      <c r="G1510" s="86"/>
      <c r="H1510" s="86"/>
      <c r="I1510" s="86"/>
      <c r="J1510" s="86"/>
      <c r="K1510" s="86"/>
      <c r="L1510" s="86"/>
      <c r="M1510" s="86"/>
      <c r="N1510" s="86"/>
      <c r="O1510" s="86"/>
      <c r="P1510" s="86"/>
      <c r="Q1510" s="86"/>
      <c r="R1510" s="86"/>
      <c r="S1510" s="86"/>
      <c r="T1510" s="86"/>
      <c r="U1510" s="86"/>
      <c r="V1510" s="86"/>
      <c r="W1510" s="86"/>
      <c r="X1510" s="86"/>
      <c r="Y1510" s="86"/>
      <c r="Z1510" s="86"/>
      <c r="AA1510" s="86"/>
      <c r="AB1510" s="86"/>
      <c r="AC1510" s="86"/>
      <c r="AD1510" s="86"/>
      <c r="AE1510" s="86"/>
      <c r="AF1510" s="86"/>
    </row>
    <row r="1511" spans="1:32">
      <c r="A1511" s="86"/>
      <c r="B1511" s="86"/>
      <c r="C1511" s="86"/>
      <c r="D1511" s="86"/>
      <c r="E1511" s="86"/>
      <c r="F1511" s="86"/>
      <c r="G1511" s="86"/>
      <c r="H1511" s="86"/>
      <c r="I1511" s="86"/>
      <c r="J1511" s="86"/>
      <c r="K1511" s="86"/>
      <c r="L1511" s="86"/>
      <c r="M1511" s="86"/>
      <c r="N1511" s="86"/>
      <c r="O1511" s="86"/>
      <c r="P1511" s="86"/>
      <c r="Q1511" s="86"/>
      <c r="R1511" s="86"/>
      <c r="S1511" s="86"/>
      <c r="T1511" s="86"/>
      <c r="U1511" s="86"/>
      <c r="V1511" s="86"/>
      <c r="W1511" s="86"/>
      <c r="X1511" s="86"/>
      <c r="Y1511" s="86"/>
      <c r="Z1511" s="86"/>
      <c r="AA1511" s="86"/>
      <c r="AB1511" s="86"/>
      <c r="AC1511" s="86"/>
      <c r="AD1511" s="86"/>
      <c r="AE1511" s="86"/>
      <c r="AF1511" s="86"/>
    </row>
    <row r="1512" spans="1:32">
      <c r="A1512" s="86"/>
      <c r="B1512" s="86"/>
      <c r="C1512" s="86"/>
      <c r="D1512" s="86"/>
      <c r="E1512" s="86"/>
      <c r="F1512" s="86"/>
      <c r="G1512" s="86"/>
      <c r="H1512" s="86"/>
      <c r="I1512" s="86"/>
      <c r="J1512" s="86"/>
      <c r="K1512" s="86"/>
      <c r="L1512" s="86"/>
      <c r="M1512" s="86"/>
      <c r="N1512" s="86"/>
      <c r="O1512" s="86"/>
      <c r="P1512" s="86"/>
      <c r="Q1512" s="86"/>
      <c r="R1512" s="86"/>
      <c r="S1512" s="86"/>
      <c r="T1512" s="86"/>
      <c r="U1512" s="86"/>
      <c r="V1512" s="86"/>
      <c r="W1512" s="86"/>
      <c r="X1512" s="86"/>
      <c r="Y1512" s="86"/>
      <c r="Z1512" s="86"/>
      <c r="AA1512" s="86"/>
      <c r="AB1512" s="86"/>
      <c r="AC1512" s="86"/>
      <c r="AD1512" s="86"/>
      <c r="AE1512" s="86"/>
      <c r="AF1512" s="86"/>
    </row>
    <row r="1513" spans="1:32">
      <c r="A1513" s="86"/>
      <c r="B1513" s="86"/>
      <c r="C1513" s="86"/>
      <c r="D1513" s="86"/>
      <c r="E1513" s="86"/>
      <c r="F1513" s="86"/>
      <c r="G1513" s="86"/>
      <c r="H1513" s="86"/>
      <c r="I1513" s="86"/>
      <c r="J1513" s="86"/>
      <c r="K1513" s="86"/>
      <c r="L1513" s="86"/>
      <c r="M1513" s="86"/>
      <c r="N1513" s="86"/>
      <c r="O1513" s="86"/>
      <c r="P1513" s="86"/>
      <c r="Q1513" s="86"/>
      <c r="R1513" s="86"/>
      <c r="S1513" s="86"/>
      <c r="T1513" s="86"/>
      <c r="U1513" s="86"/>
      <c r="V1513" s="86"/>
      <c r="W1513" s="86"/>
      <c r="X1513" s="86"/>
      <c r="Y1513" s="86"/>
      <c r="Z1513" s="86"/>
      <c r="AA1513" s="86"/>
      <c r="AB1513" s="86"/>
      <c r="AC1513" s="86"/>
      <c r="AD1513" s="86"/>
      <c r="AE1513" s="86"/>
      <c r="AF1513" s="86"/>
    </row>
    <row r="1514" spans="1:32">
      <c r="A1514" s="86"/>
      <c r="B1514" s="86"/>
      <c r="C1514" s="86"/>
      <c r="D1514" s="86"/>
      <c r="E1514" s="86"/>
      <c r="F1514" s="86"/>
      <c r="G1514" s="86"/>
      <c r="H1514" s="86"/>
      <c r="I1514" s="86"/>
      <c r="J1514" s="86"/>
      <c r="K1514" s="86"/>
      <c r="L1514" s="86"/>
      <c r="M1514" s="86"/>
      <c r="N1514" s="86"/>
      <c r="O1514" s="86"/>
      <c r="P1514" s="86"/>
      <c r="Q1514" s="86"/>
      <c r="R1514" s="86"/>
      <c r="S1514" s="86"/>
      <c r="T1514" s="86"/>
      <c r="U1514" s="86"/>
      <c r="V1514" s="86"/>
      <c r="W1514" s="86"/>
      <c r="X1514" s="86"/>
      <c r="Y1514" s="86"/>
      <c r="Z1514" s="86"/>
      <c r="AA1514" s="86"/>
      <c r="AB1514" s="86"/>
      <c r="AC1514" s="86"/>
      <c r="AD1514" s="86"/>
      <c r="AE1514" s="86"/>
      <c r="AF1514" s="86"/>
    </row>
    <row r="1515" spans="1:32">
      <c r="A1515" s="86"/>
      <c r="B1515" s="86"/>
      <c r="C1515" s="86"/>
      <c r="D1515" s="86"/>
      <c r="E1515" s="86"/>
      <c r="F1515" s="86"/>
      <c r="G1515" s="86"/>
      <c r="H1515" s="86"/>
      <c r="I1515" s="86"/>
      <c r="J1515" s="86"/>
      <c r="K1515" s="86"/>
      <c r="L1515" s="86"/>
      <c r="M1515" s="86"/>
      <c r="N1515" s="86"/>
      <c r="O1515" s="86"/>
      <c r="P1515" s="86"/>
      <c r="Q1515" s="86"/>
      <c r="R1515" s="86"/>
      <c r="S1515" s="86"/>
      <c r="T1515" s="86"/>
      <c r="U1515" s="86"/>
      <c r="V1515" s="86"/>
      <c r="W1515" s="86"/>
      <c r="X1515" s="86"/>
      <c r="Y1515" s="86"/>
      <c r="Z1515" s="86"/>
      <c r="AA1515" s="86"/>
      <c r="AB1515" s="86"/>
      <c r="AC1515" s="86"/>
      <c r="AD1515" s="86"/>
      <c r="AE1515" s="86"/>
      <c r="AF1515" s="86"/>
    </row>
    <row r="1516" spans="1:32">
      <c r="A1516" s="86"/>
      <c r="B1516" s="86"/>
      <c r="C1516" s="86"/>
      <c r="D1516" s="86"/>
      <c r="E1516" s="86"/>
      <c r="F1516" s="86"/>
      <c r="G1516" s="86"/>
      <c r="H1516" s="86"/>
      <c r="I1516" s="86"/>
      <c r="J1516" s="86"/>
      <c r="K1516" s="86"/>
      <c r="L1516" s="86"/>
      <c r="M1516" s="86"/>
      <c r="N1516" s="86"/>
      <c r="O1516" s="86"/>
      <c r="P1516" s="86"/>
      <c r="Q1516" s="86"/>
      <c r="R1516" s="86"/>
      <c r="S1516" s="86"/>
      <c r="T1516" s="86"/>
      <c r="U1516" s="86"/>
      <c r="V1516" s="86"/>
      <c r="W1516" s="86"/>
      <c r="X1516" s="86"/>
      <c r="Y1516" s="86"/>
      <c r="Z1516" s="86"/>
      <c r="AA1516" s="86"/>
      <c r="AB1516" s="86"/>
      <c r="AC1516" s="86"/>
      <c r="AD1516" s="86"/>
      <c r="AE1516" s="86"/>
      <c r="AF1516" s="86"/>
    </row>
    <row r="1517" spans="1:32">
      <c r="A1517" s="86"/>
      <c r="B1517" s="86"/>
      <c r="C1517" s="86"/>
      <c r="D1517" s="86"/>
      <c r="E1517" s="86"/>
      <c r="F1517" s="86"/>
      <c r="G1517" s="86"/>
      <c r="H1517" s="86"/>
      <c r="I1517" s="86"/>
      <c r="J1517" s="86"/>
      <c r="K1517" s="86"/>
      <c r="L1517" s="86"/>
      <c r="M1517" s="86"/>
      <c r="N1517" s="86"/>
      <c r="O1517" s="86"/>
      <c r="P1517" s="86"/>
      <c r="Q1517" s="86"/>
      <c r="R1517" s="86"/>
      <c r="S1517" s="86"/>
      <c r="T1517" s="86"/>
      <c r="U1517" s="86"/>
      <c r="V1517" s="86"/>
      <c r="W1517" s="86"/>
      <c r="X1517" s="86"/>
      <c r="Y1517" s="86"/>
      <c r="Z1517" s="86"/>
      <c r="AA1517" s="86"/>
      <c r="AB1517" s="86"/>
      <c r="AC1517" s="86"/>
      <c r="AD1517" s="86"/>
      <c r="AE1517" s="86"/>
      <c r="AF1517" s="86"/>
    </row>
    <row r="1518" spans="1:32">
      <c r="A1518" s="86"/>
      <c r="B1518" s="86"/>
      <c r="C1518" s="86"/>
      <c r="D1518" s="86"/>
      <c r="E1518" s="86"/>
      <c r="F1518" s="86"/>
      <c r="G1518" s="86"/>
      <c r="H1518" s="86"/>
      <c r="I1518" s="86"/>
      <c r="J1518" s="86"/>
      <c r="K1518" s="86"/>
      <c r="L1518" s="86"/>
      <c r="M1518" s="86"/>
      <c r="N1518" s="86"/>
      <c r="O1518" s="86"/>
      <c r="P1518" s="86"/>
      <c r="Q1518" s="86"/>
      <c r="R1518" s="86"/>
      <c r="S1518" s="86"/>
      <c r="T1518" s="86"/>
      <c r="U1518" s="86"/>
      <c r="V1518" s="86"/>
      <c r="W1518" s="86"/>
      <c r="X1518" s="86"/>
      <c r="Y1518" s="86"/>
      <c r="Z1518" s="86"/>
      <c r="AA1518" s="86"/>
      <c r="AB1518" s="86"/>
      <c r="AC1518" s="86"/>
      <c r="AD1518" s="86"/>
      <c r="AE1518" s="86"/>
      <c r="AF1518" s="86"/>
    </row>
    <row r="1519" spans="1:32">
      <c r="A1519" s="86"/>
      <c r="B1519" s="86"/>
      <c r="C1519" s="86"/>
      <c r="D1519" s="86"/>
      <c r="E1519" s="86"/>
      <c r="F1519" s="86"/>
      <c r="G1519" s="86"/>
      <c r="H1519" s="86"/>
      <c r="I1519" s="86"/>
      <c r="J1519" s="86"/>
      <c r="K1519" s="86"/>
      <c r="L1519" s="86"/>
      <c r="M1519" s="86"/>
      <c r="N1519" s="86"/>
      <c r="O1519" s="86"/>
      <c r="P1519" s="86"/>
      <c r="Q1519" s="86"/>
      <c r="R1519" s="86"/>
      <c r="S1519" s="86"/>
      <c r="T1519" s="86"/>
      <c r="U1519" s="86"/>
      <c r="V1519" s="86"/>
      <c r="W1519" s="86"/>
      <c r="X1519" s="86"/>
      <c r="Y1519" s="86"/>
      <c r="Z1519" s="86"/>
      <c r="AA1519" s="86"/>
      <c r="AB1519" s="86"/>
      <c r="AC1519" s="86"/>
      <c r="AD1519" s="86"/>
      <c r="AE1519" s="86"/>
      <c r="AF1519" s="86"/>
    </row>
    <row r="1520" spans="1:32">
      <c r="A1520" s="86"/>
      <c r="B1520" s="86"/>
      <c r="C1520" s="86"/>
      <c r="D1520" s="86"/>
      <c r="E1520" s="86"/>
      <c r="F1520" s="86"/>
      <c r="G1520" s="86"/>
      <c r="H1520" s="86"/>
      <c r="I1520" s="86"/>
      <c r="J1520" s="86"/>
      <c r="K1520" s="86"/>
      <c r="L1520" s="86"/>
      <c r="M1520" s="86"/>
      <c r="N1520" s="86"/>
      <c r="O1520" s="86"/>
      <c r="P1520" s="86"/>
      <c r="Q1520" s="86"/>
      <c r="R1520" s="86"/>
      <c r="S1520" s="86"/>
      <c r="T1520" s="86"/>
      <c r="U1520" s="86"/>
      <c r="V1520" s="86"/>
      <c r="W1520" s="86"/>
      <c r="X1520" s="86"/>
      <c r="Y1520" s="86"/>
      <c r="Z1520" s="86"/>
      <c r="AA1520" s="86"/>
      <c r="AB1520" s="86"/>
      <c r="AC1520" s="86"/>
      <c r="AD1520" s="86"/>
      <c r="AE1520" s="86"/>
      <c r="AF1520" s="86"/>
    </row>
    <row r="1521" spans="1:32">
      <c r="A1521" s="86"/>
      <c r="B1521" s="86"/>
      <c r="C1521" s="86"/>
      <c r="D1521" s="86"/>
      <c r="E1521" s="86"/>
      <c r="F1521" s="86"/>
      <c r="G1521" s="86"/>
      <c r="H1521" s="86"/>
      <c r="I1521" s="86"/>
      <c r="J1521" s="86"/>
      <c r="K1521" s="86"/>
      <c r="L1521" s="86"/>
      <c r="M1521" s="86"/>
      <c r="N1521" s="86"/>
      <c r="O1521" s="86"/>
      <c r="P1521" s="86"/>
      <c r="Q1521" s="86"/>
      <c r="R1521" s="86"/>
      <c r="S1521" s="86"/>
      <c r="T1521" s="86"/>
      <c r="U1521" s="86"/>
      <c r="V1521" s="86"/>
      <c r="W1521" s="86"/>
      <c r="X1521" s="86"/>
      <c r="Y1521" s="86"/>
      <c r="Z1521" s="86"/>
      <c r="AA1521" s="86"/>
      <c r="AB1521" s="86"/>
      <c r="AC1521" s="86"/>
      <c r="AD1521" s="86"/>
      <c r="AE1521" s="86"/>
      <c r="AF1521" s="86"/>
    </row>
    <row r="1522" spans="1:32">
      <c r="A1522" s="86"/>
      <c r="B1522" s="86"/>
      <c r="C1522" s="86"/>
      <c r="D1522" s="86"/>
      <c r="E1522" s="86"/>
      <c r="F1522" s="86"/>
      <c r="G1522" s="86"/>
      <c r="H1522" s="86"/>
      <c r="I1522" s="86"/>
      <c r="J1522" s="86"/>
      <c r="K1522" s="86"/>
      <c r="L1522" s="86"/>
      <c r="M1522" s="86"/>
      <c r="N1522" s="86"/>
      <c r="O1522" s="86"/>
      <c r="P1522" s="86"/>
      <c r="Q1522" s="86"/>
      <c r="R1522" s="86"/>
      <c r="S1522" s="86"/>
      <c r="T1522" s="86"/>
      <c r="U1522" s="86"/>
      <c r="V1522" s="86"/>
      <c r="W1522" s="86"/>
      <c r="X1522" s="86"/>
      <c r="Y1522" s="86"/>
      <c r="Z1522" s="86"/>
      <c r="AA1522" s="86"/>
      <c r="AB1522" s="86"/>
      <c r="AC1522" s="86"/>
      <c r="AD1522" s="86"/>
      <c r="AE1522" s="86"/>
      <c r="AF1522" s="86"/>
    </row>
    <row r="1523" spans="1:32">
      <c r="A1523" s="86"/>
      <c r="B1523" s="86"/>
      <c r="C1523" s="86"/>
      <c r="D1523" s="86"/>
      <c r="E1523" s="86"/>
      <c r="F1523" s="86"/>
      <c r="G1523" s="86"/>
      <c r="H1523" s="86"/>
      <c r="I1523" s="86"/>
      <c r="J1523" s="86"/>
      <c r="K1523" s="86"/>
      <c r="L1523" s="86"/>
      <c r="M1523" s="86"/>
      <c r="N1523" s="86"/>
      <c r="O1523" s="86"/>
      <c r="P1523" s="86"/>
      <c r="Q1523" s="86"/>
      <c r="R1523" s="86"/>
      <c r="S1523" s="86"/>
      <c r="T1523" s="86"/>
      <c r="U1523" s="86"/>
      <c r="V1523" s="86"/>
      <c r="W1523" s="86"/>
      <c r="X1523" s="86"/>
      <c r="Y1523" s="86"/>
      <c r="Z1523" s="86"/>
      <c r="AA1523" s="86"/>
      <c r="AB1523" s="86"/>
      <c r="AC1523" s="86"/>
      <c r="AD1523" s="86"/>
      <c r="AE1523" s="86"/>
      <c r="AF1523" s="86"/>
    </row>
    <row r="1524" spans="1:32">
      <c r="A1524" s="86"/>
      <c r="B1524" s="86"/>
      <c r="C1524" s="86"/>
      <c r="D1524" s="86"/>
      <c r="E1524" s="86"/>
      <c r="F1524" s="86"/>
      <c r="G1524" s="86"/>
      <c r="H1524" s="86"/>
      <c r="I1524" s="86"/>
      <c r="J1524" s="86"/>
      <c r="K1524" s="86"/>
      <c r="L1524" s="86"/>
      <c r="M1524" s="86"/>
      <c r="N1524" s="86"/>
      <c r="O1524" s="86"/>
      <c r="P1524" s="86"/>
      <c r="Q1524" s="86"/>
      <c r="R1524" s="86"/>
      <c r="S1524" s="86"/>
      <c r="T1524" s="86"/>
      <c r="U1524" s="86"/>
      <c r="V1524" s="86"/>
      <c r="W1524" s="86"/>
      <c r="X1524" s="86"/>
      <c r="Y1524" s="86"/>
      <c r="Z1524" s="86"/>
      <c r="AA1524" s="86"/>
      <c r="AB1524" s="86"/>
      <c r="AC1524" s="86"/>
      <c r="AD1524" s="86"/>
      <c r="AE1524" s="86"/>
      <c r="AF1524" s="86"/>
    </row>
    <row r="1525" spans="1:32">
      <c r="A1525" s="86"/>
      <c r="B1525" s="86"/>
      <c r="C1525" s="86"/>
      <c r="D1525" s="86"/>
      <c r="E1525" s="86"/>
      <c r="F1525" s="86"/>
      <c r="G1525" s="86"/>
      <c r="H1525" s="86"/>
      <c r="I1525" s="86"/>
      <c r="J1525" s="86"/>
      <c r="K1525" s="86"/>
      <c r="L1525" s="86"/>
      <c r="M1525" s="86"/>
      <c r="N1525" s="86"/>
      <c r="O1525" s="86"/>
      <c r="P1525" s="86"/>
      <c r="Q1525" s="86"/>
      <c r="R1525" s="86"/>
      <c r="S1525" s="86"/>
      <c r="T1525" s="86"/>
      <c r="U1525" s="86"/>
      <c r="V1525" s="86"/>
      <c r="W1525" s="86"/>
      <c r="X1525" s="86"/>
      <c r="Y1525" s="86"/>
      <c r="Z1525" s="86"/>
      <c r="AA1525" s="86"/>
      <c r="AB1525" s="86"/>
      <c r="AC1525" s="86"/>
      <c r="AD1525" s="86"/>
      <c r="AE1525" s="86"/>
      <c r="AF1525" s="86"/>
    </row>
    <row r="1526" spans="1:32">
      <c r="A1526" s="86"/>
      <c r="B1526" s="86"/>
      <c r="C1526" s="86"/>
      <c r="D1526" s="86"/>
      <c r="E1526" s="86"/>
      <c r="F1526" s="86"/>
      <c r="G1526" s="86"/>
      <c r="H1526" s="86"/>
      <c r="I1526" s="86"/>
      <c r="J1526" s="86"/>
      <c r="K1526" s="86"/>
      <c r="L1526" s="86"/>
      <c r="M1526" s="86"/>
      <c r="N1526" s="86"/>
      <c r="O1526" s="86"/>
      <c r="P1526" s="86"/>
      <c r="Q1526" s="86"/>
      <c r="R1526" s="86"/>
      <c r="S1526" s="86"/>
      <c r="T1526" s="86"/>
      <c r="U1526" s="86"/>
      <c r="V1526" s="86"/>
      <c r="W1526" s="86"/>
      <c r="X1526" s="86"/>
      <c r="Y1526" s="86"/>
      <c r="Z1526" s="86"/>
      <c r="AA1526" s="86"/>
      <c r="AB1526" s="86"/>
      <c r="AC1526" s="86"/>
      <c r="AD1526" s="86"/>
      <c r="AE1526" s="86"/>
      <c r="AF1526" s="86"/>
    </row>
    <row r="1527" spans="1:32">
      <c r="A1527" s="86"/>
      <c r="B1527" s="86"/>
      <c r="C1527" s="86"/>
      <c r="D1527" s="86"/>
      <c r="E1527" s="86"/>
      <c r="F1527" s="86"/>
      <c r="G1527" s="86"/>
      <c r="H1527" s="86"/>
      <c r="I1527" s="86"/>
      <c r="J1527" s="86"/>
      <c r="K1527" s="86"/>
      <c r="L1527" s="86"/>
      <c r="M1527" s="86"/>
      <c r="N1527" s="86"/>
      <c r="O1527" s="86"/>
      <c r="P1527" s="86"/>
      <c r="Q1527" s="86"/>
      <c r="R1527" s="86"/>
      <c r="S1527" s="86"/>
      <c r="T1527" s="86"/>
      <c r="U1527" s="86"/>
      <c r="V1527" s="86"/>
      <c r="W1527" s="86"/>
      <c r="X1527" s="86"/>
      <c r="Y1527" s="86"/>
      <c r="Z1527" s="86"/>
      <c r="AA1527" s="86"/>
      <c r="AB1527" s="86"/>
      <c r="AC1527" s="86"/>
      <c r="AD1527" s="86"/>
      <c r="AE1527" s="86"/>
      <c r="AF1527" s="86"/>
    </row>
    <row r="1528" spans="1:32">
      <c r="A1528" s="86"/>
      <c r="B1528" s="86"/>
      <c r="C1528" s="86"/>
      <c r="D1528" s="86"/>
      <c r="E1528" s="86"/>
      <c r="F1528" s="86"/>
      <c r="G1528" s="86"/>
      <c r="H1528" s="86"/>
      <c r="I1528" s="86"/>
      <c r="J1528" s="86"/>
      <c r="K1528" s="86"/>
      <c r="L1528" s="86"/>
      <c r="M1528" s="86"/>
      <c r="N1528" s="86"/>
      <c r="O1528" s="86"/>
      <c r="P1528" s="86"/>
      <c r="Q1528" s="86"/>
      <c r="R1528" s="86"/>
      <c r="S1528" s="86"/>
      <c r="T1528" s="86"/>
      <c r="U1528" s="86"/>
      <c r="V1528" s="86"/>
      <c r="W1528" s="86"/>
      <c r="X1528" s="86"/>
      <c r="Y1528" s="86"/>
      <c r="Z1528" s="86"/>
      <c r="AA1528" s="86"/>
      <c r="AB1528" s="86"/>
      <c r="AC1528" s="86"/>
      <c r="AD1528" s="86"/>
      <c r="AE1528" s="86"/>
      <c r="AF1528" s="86"/>
    </row>
    <row r="1529" spans="1:32">
      <c r="A1529" s="86"/>
      <c r="B1529" s="86"/>
      <c r="C1529" s="86"/>
      <c r="D1529" s="86"/>
      <c r="E1529" s="86"/>
      <c r="F1529" s="86"/>
      <c r="G1529" s="86"/>
      <c r="H1529" s="86"/>
      <c r="I1529" s="86"/>
      <c r="J1529" s="86"/>
      <c r="K1529" s="86"/>
      <c r="L1529" s="86"/>
      <c r="M1529" s="86"/>
      <c r="N1529" s="86"/>
      <c r="O1529" s="86"/>
      <c r="P1529" s="86"/>
      <c r="Q1529" s="86"/>
      <c r="R1529" s="86"/>
      <c r="S1529" s="86"/>
      <c r="T1529" s="86"/>
      <c r="U1529" s="86"/>
      <c r="V1529" s="86"/>
      <c r="W1529" s="86"/>
      <c r="X1529" s="86"/>
      <c r="Y1529" s="86"/>
      <c r="Z1529" s="86"/>
      <c r="AA1529" s="86"/>
      <c r="AB1529" s="86"/>
      <c r="AC1529" s="86"/>
      <c r="AD1529" s="86"/>
      <c r="AE1529" s="86"/>
      <c r="AF1529" s="86"/>
    </row>
    <row r="1530" spans="1:32">
      <c r="A1530" s="86"/>
      <c r="B1530" s="86"/>
      <c r="C1530" s="86"/>
      <c r="D1530" s="86"/>
      <c r="E1530" s="86"/>
      <c r="F1530" s="86"/>
      <c r="G1530" s="86"/>
      <c r="H1530" s="86"/>
      <c r="I1530" s="86"/>
      <c r="J1530" s="86"/>
      <c r="K1530" s="86"/>
      <c r="L1530" s="86"/>
      <c r="M1530" s="86"/>
      <c r="N1530" s="86"/>
      <c r="O1530" s="86"/>
      <c r="P1530" s="86"/>
      <c r="Q1530" s="86"/>
      <c r="R1530" s="86"/>
      <c r="S1530" s="86"/>
      <c r="T1530" s="86"/>
      <c r="U1530" s="86"/>
      <c r="V1530" s="86"/>
      <c r="W1530" s="86"/>
      <c r="X1530" s="86"/>
      <c r="Y1530" s="86"/>
      <c r="Z1530" s="86"/>
      <c r="AA1530" s="86"/>
      <c r="AB1530" s="86"/>
      <c r="AC1530" s="86"/>
      <c r="AD1530" s="86"/>
      <c r="AE1530" s="86"/>
      <c r="AF1530" s="86"/>
    </row>
    <row r="1531" spans="1:32">
      <c r="A1531" s="86"/>
      <c r="B1531" s="86"/>
      <c r="C1531" s="86"/>
      <c r="D1531" s="86"/>
      <c r="E1531" s="86"/>
      <c r="F1531" s="86"/>
      <c r="G1531" s="86"/>
      <c r="H1531" s="86"/>
      <c r="I1531" s="86"/>
      <c r="J1531" s="86"/>
      <c r="K1531" s="86"/>
      <c r="L1531" s="86"/>
      <c r="M1531" s="86"/>
      <c r="N1531" s="86"/>
      <c r="O1531" s="86"/>
      <c r="P1531" s="86"/>
      <c r="Q1531" s="86"/>
      <c r="R1531" s="86"/>
      <c r="S1531" s="86"/>
      <c r="T1531" s="86"/>
      <c r="U1531" s="86"/>
      <c r="V1531" s="86"/>
      <c r="W1531" s="86"/>
      <c r="X1531" s="86"/>
      <c r="Y1531" s="86"/>
      <c r="Z1531" s="86"/>
      <c r="AA1531" s="86"/>
      <c r="AB1531" s="86"/>
      <c r="AC1531" s="86"/>
      <c r="AD1531" s="86"/>
      <c r="AE1531" s="86"/>
      <c r="AF1531" s="86"/>
    </row>
    <row r="1532" spans="1:32">
      <c r="A1532" s="86"/>
      <c r="B1532" s="86"/>
      <c r="C1532" s="86"/>
      <c r="D1532" s="86"/>
      <c r="E1532" s="86"/>
      <c r="F1532" s="86"/>
      <c r="G1532" s="86"/>
      <c r="H1532" s="86"/>
      <c r="I1532" s="86"/>
      <c r="J1532" s="86"/>
      <c r="K1532" s="86"/>
      <c r="L1532" s="86"/>
      <c r="M1532" s="86"/>
      <c r="N1532" s="86"/>
      <c r="O1532" s="86"/>
      <c r="P1532" s="86"/>
      <c r="Q1532" s="86"/>
      <c r="R1532" s="86"/>
      <c r="S1532" s="86"/>
      <c r="T1532" s="86"/>
      <c r="U1532" s="86"/>
      <c r="V1532" s="86"/>
      <c r="W1532" s="86"/>
      <c r="X1532" s="86"/>
      <c r="Y1532" s="86"/>
      <c r="Z1532" s="86"/>
      <c r="AA1532" s="86"/>
      <c r="AB1532" s="86"/>
      <c r="AC1532" s="86"/>
      <c r="AD1532" s="86"/>
      <c r="AE1532" s="86"/>
      <c r="AF1532" s="86"/>
    </row>
    <row r="1533" spans="1:32">
      <c r="A1533" s="86"/>
      <c r="B1533" s="86"/>
      <c r="C1533" s="86"/>
      <c r="D1533" s="86"/>
      <c r="E1533" s="86"/>
      <c r="F1533" s="86"/>
      <c r="G1533" s="86"/>
      <c r="H1533" s="86"/>
      <c r="I1533" s="86"/>
      <c r="J1533" s="86"/>
      <c r="K1533" s="86"/>
      <c r="L1533" s="86"/>
      <c r="M1533" s="86"/>
      <c r="N1533" s="86"/>
      <c r="O1533" s="86"/>
      <c r="P1533" s="86"/>
      <c r="Q1533" s="86"/>
      <c r="R1533" s="86"/>
      <c r="S1533" s="86"/>
      <c r="T1533" s="86"/>
      <c r="U1533" s="86"/>
      <c r="V1533" s="86"/>
      <c r="W1533" s="86"/>
      <c r="X1533" s="86"/>
      <c r="Y1533" s="86"/>
      <c r="Z1533" s="86"/>
      <c r="AA1533" s="86"/>
      <c r="AB1533" s="86"/>
      <c r="AC1533" s="86"/>
      <c r="AD1533" s="86"/>
      <c r="AE1533" s="86"/>
      <c r="AF1533" s="86"/>
    </row>
    <row r="1534" spans="1:32">
      <c r="A1534" s="86"/>
      <c r="B1534" s="86"/>
      <c r="C1534" s="86"/>
      <c r="D1534" s="86"/>
      <c r="E1534" s="86"/>
      <c r="F1534" s="86"/>
      <c r="G1534" s="86"/>
      <c r="H1534" s="86"/>
      <c r="I1534" s="86"/>
      <c r="J1534" s="86"/>
      <c r="K1534" s="86"/>
      <c r="L1534" s="86"/>
      <c r="M1534" s="86"/>
      <c r="N1534" s="86"/>
      <c r="O1534" s="86"/>
      <c r="P1534" s="86"/>
      <c r="Q1534" s="86"/>
      <c r="R1534" s="86"/>
      <c r="S1534" s="86"/>
      <c r="T1534" s="86"/>
      <c r="U1534" s="86"/>
      <c r="V1534" s="86"/>
      <c r="W1534" s="86"/>
      <c r="X1534" s="86"/>
      <c r="Y1534" s="86"/>
      <c r="Z1534" s="86"/>
      <c r="AA1534" s="86"/>
      <c r="AB1534" s="86"/>
      <c r="AC1534" s="86"/>
      <c r="AD1534" s="86"/>
      <c r="AE1534" s="86"/>
      <c r="AF1534" s="86"/>
    </row>
    <row r="1535" spans="1:32">
      <c r="A1535" s="86"/>
      <c r="B1535" s="86"/>
      <c r="C1535" s="86"/>
      <c r="D1535" s="86"/>
      <c r="E1535" s="86"/>
      <c r="F1535" s="86"/>
      <c r="G1535" s="86"/>
      <c r="H1535" s="86"/>
      <c r="I1535" s="86"/>
      <c r="J1535" s="86"/>
      <c r="K1535" s="86"/>
      <c r="L1535" s="86"/>
      <c r="M1535" s="86"/>
      <c r="N1535" s="86"/>
      <c r="O1535" s="86"/>
      <c r="P1535" s="86"/>
      <c r="Q1535" s="86"/>
      <c r="R1535" s="86"/>
      <c r="S1535" s="86"/>
      <c r="T1535" s="86"/>
      <c r="U1535" s="86"/>
      <c r="V1535" s="86"/>
      <c r="W1535" s="86"/>
      <c r="X1535" s="86"/>
      <c r="Y1535" s="86"/>
      <c r="Z1535" s="86"/>
      <c r="AA1535" s="86"/>
      <c r="AB1535" s="86"/>
      <c r="AC1535" s="86"/>
      <c r="AD1535" s="86"/>
      <c r="AE1535" s="86"/>
      <c r="AF1535" s="86"/>
    </row>
    <row r="1536" spans="1:32">
      <c r="A1536" s="86"/>
      <c r="B1536" s="86"/>
      <c r="C1536" s="86"/>
      <c r="D1536" s="86"/>
      <c r="E1536" s="86"/>
      <c r="F1536" s="86"/>
      <c r="G1536" s="86"/>
      <c r="H1536" s="86"/>
      <c r="I1536" s="86"/>
      <c r="J1536" s="86"/>
      <c r="K1536" s="86"/>
      <c r="L1536" s="86"/>
      <c r="M1536" s="86"/>
      <c r="N1536" s="86"/>
      <c r="O1536" s="86"/>
      <c r="P1536" s="86"/>
      <c r="Q1536" s="86"/>
      <c r="R1536" s="86"/>
      <c r="S1536" s="86"/>
      <c r="T1536" s="86"/>
      <c r="U1536" s="86"/>
      <c r="V1536" s="86"/>
      <c r="W1536" s="86"/>
      <c r="X1536" s="86"/>
      <c r="Y1536" s="86"/>
      <c r="Z1536" s="86"/>
      <c r="AA1536" s="86"/>
      <c r="AB1536" s="86"/>
      <c r="AC1536" s="86"/>
      <c r="AD1536" s="86"/>
      <c r="AE1536" s="86"/>
      <c r="AF1536" s="86"/>
    </row>
    <row r="1537" spans="1:32">
      <c r="A1537" s="86"/>
      <c r="B1537" s="86"/>
      <c r="C1537" s="86"/>
      <c r="D1537" s="86"/>
      <c r="E1537" s="86"/>
      <c r="F1537" s="86"/>
      <c r="G1537" s="86"/>
      <c r="H1537" s="86"/>
      <c r="I1537" s="86"/>
      <c r="J1537" s="86"/>
      <c r="K1537" s="86"/>
      <c r="L1537" s="86"/>
      <c r="M1537" s="86"/>
      <c r="N1537" s="86"/>
      <c r="O1537" s="86"/>
      <c r="P1537" s="86"/>
      <c r="Q1537" s="86"/>
      <c r="R1537" s="86"/>
      <c r="S1537" s="86"/>
      <c r="T1537" s="86"/>
      <c r="U1537" s="86"/>
      <c r="V1537" s="86"/>
      <c r="W1537" s="86"/>
      <c r="X1537" s="86"/>
      <c r="Y1537" s="86"/>
      <c r="Z1537" s="86"/>
      <c r="AA1537" s="86"/>
      <c r="AB1537" s="86"/>
      <c r="AC1537" s="86"/>
      <c r="AD1537" s="86"/>
      <c r="AE1537" s="86"/>
      <c r="AF1537" s="86"/>
    </row>
    <row r="1538" spans="1:32">
      <c r="A1538" s="86"/>
      <c r="B1538" s="86"/>
      <c r="C1538" s="86"/>
      <c r="D1538" s="86"/>
      <c r="E1538" s="86"/>
      <c r="F1538" s="86"/>
      <c r="G1538" s="86"/>
      <c r="H1538" s="86"/>
      <c r="I1538" s="86"/>
      <c r="J1538" s="86"/>
      <c r="K1538" s="86"/>
      <c r="L1538" s="86"/>
      <c r="M1538" s="86"/>
      <c r="N1538" s="86"/>
      <c r="O1538" s="86"/>
      <c r="P1538" s="86"/>
      <c r="Q1538" s="86"/>
      <c r="R1538" s="86"/>
      <c r="S1538" s="86"/>
      <c r="T1538" s="86"/>
      <c r="U1538" s="86"/>
      <c r="V1538" s="86"/>
      <c r="W1538" s="86"/>
      <c r="X1538" s="86"/>
      <c r="Y1538" s="86"/>
      <c r="Z1538" s="86"/>
      <c r="AA1538" s="86"/>
      <c r="AB1538" s="86"/>
      <c r="AC1538" s="86"/>
      <c r="AD1538" s="86"/>
      <c r="AE1538" s="86"/>
      <c r="AF1538" s="86"/>
    </row>
    <row r="1539" spans="1:32">
      <c r="A1539" s="86"/>
      <c r="B1539" s="86"/>
      <c r="C1539" s="86"/>
      <c r="D1539" s="86"/>
      <c r="E1539" s="86"/>
      <c r="F1539" s="86"/>
      <c r="G1539" s="86"/>
      <c r="H1539" s="86"/>
      <c r="I1539" s="86"/>
      <c r="J1539" s="86"/>
      <c r="K1539" s="86"/>
      <c r="L1539" s="86"/>
      <c r="M1539" s="86"/>
      <c r="N1539" s="86"/>
      <c r="O1539" s="86"/>
      <c r="P1539" s="86"/>
      <c r="Q1539" s="86"/>
      <c r="R1539" s="86"/>
      <c r="S1539" s="86"/>
      <c r="T1539" s="86"/>
      <c r="U1539" s="86"/>
      <c r="V1539" s="86"/>
      <c r="W1539" s="86"/>
      <c r="X1539" s="86"/>
      <c r="Y1539" s="86"/>
      <c r="Z1539" s="86"/>
      <c r="AA1539" s="86"/>
      <c r="AB1539" s="86"/>
      <c r="AC1539" s="86"/>
      <c r="AD1539" s="86"/>
      <c r="AE1539" s="86"/>
      <c r="AF1539" s="86"/>
    </row>
    <row r="1540" spans="1:32">
      <c r="A1540" s="86"/>
      <c r="B1540" s="86"/>
      <c r="C1540" s="86"/>
      <c r="D1540" s="86"/>
      <c r="E1540" s="86"/>
      <c r="F1540" s="86"/>
      <c r="G1540" s="86"/>
      <c r="H1540" s="86"/>
      <c r="I1540" s="86"/>
      <c r="J1540" s="86"/>
      <c r="K1540" s="86"/>
      <c r="L1540" s="86"/>
      <c r="M1540" s="86"/>
      <c r="N1540" s="86"/>
      <c r="O1540" s="86"/>
      <c r="P1540" s="86"/>
      <c r="Q1540" s="86"/>
      <c r="R1540" s="86"/>
      <c r="S1540" s="86"/>
      <c r="T1540" s="86"/>
      <c r="U1540" s="86"/>
      <c r="V1540" s="86"/>
      <c r="W1540" s="86"/>
      <c r="X1540" s="86"/>
      <c r="Y1540" s="86"/>
      <c r="Z1540" s="86"/>
      <c r="AA1540" s="86"/>
      <c r="AB1540" s="86"/>
      <c r="AC1540" s="86"/>
      <c r="AD1540" s="86"/>
      <c r="AE1540" s="86"/>
      <c r="AF1540" s="86"/>
    </row>
    <row r="1541" spans="1:32">
      <c r="A1541" s="86"/>
      <c r="B1541" s="86"/>
      <c r="C1541" s="86"/>
      <c r="D1541" s="86"/>
      <c r="E1541" s="86"/>
      <c r="F1541" s="86"/>
      <c r="G1541" s="86"/>
      <c r="H1541" s="86"/>
      <c r="I1541" s="86"/>
      <c r="J1541" s="86"/>
      <c r="K1541" s="86"/>
      <c r="L1541" s="86"/>
      <c r="M1541" s="86"/>
      <c r="N1541" s="86"/>
      <c r="O1541" s="86"/>
      <c r="P1541" s="86"/>
      <c r="Q1541" s="86"/>
      <c r="R1541" s="86"/>
      <c r="S1541" s="86"/>
      <c r="T1541" s="86"/>
      <c r="U1541" s="86"/>
      <c r="V1541" s="86"/>
      <c r="W1541" s="86"/>
      <c r="X1541" s="86"/>
      <c r="Y1541" s="86"/>
      <c r="Z1541" s="86"/>
      <c r="AA1541" s="86"/>
      <c r="AB1541" s="86"/>
      <c r="AC1541" s="86"/>
      <c r="AD1541" s="86"/>
      <c r="AE1541" s="86"/>
      <c r="AF1541" s="86"/>
    </row>
    <row r="1542" spans="1:32">
      <c r="A1542" s="86"/>
      <c r="B1542" s="86"/>
      <c r="C1542" s="86"/>
      <c r="D1542" s="86"/>
      <c r="E1542" s="86"/>
      <c r="F1542" s="86"/>
      <c r="G1542" s="86"/>
      <c r="H1542" s="86"/>
      <c r="I1542" s="86"/>
      <c r="J1542" s="86"/>
      <c r="K1542" s="86"/>
      <c r="L1542" s="86"/>
      <c r="M1542" s="86"/>
      <c r="N1542" s="86"/>
      <c r="O1542" s="86"/>
      <c r="P1542" s="86"/>
      <c r="Q1542" s="86"/>
      <c r="R1542" s="86"/>
      <c r="S1542" s="86"/>
      <c r="T1542" s="86"/>
      <c r="U1542" s="86"/>
      <c r="V1542" s="86"/>
      <c r="W1542" s="86"/>
      <c r="X1542" s="86"/>
      <c r="Y1542" s="86"/>
      <c r="Z1542" s="86"/>
      <c r="AA1542" s="86"/>
      <c r="AB1542" s="86"/>
      <c r="AC1542" s="86"/>
      <c r="AD1542" s="86"/>
      <c r="AE1542" s="86"/>
      <c r="AF1542" s="86"/>
    </row>
    <row r="1543" spans="1:32">
      <c r="A1543" s="86"/>
      <c r="B1543" s="86"/>
      <c r="C1543" s="86"/>
      <c r="D1543" s="86"/>
      <c r="E1543" s="86"/>
      <c r="F1543" s="86"/>
      <c r="G1543" s="86"/>
      <c r="H1543" s="86"/>
      <c r="I1543" s="86"/>
      <c r="J1543" s="86"/>
      <c r="K1543" s="86"/>
      <c r="L1543" s="86"/>
      <c r="M1543" s="86"/>
      <c r="N1543" s="86"/>
      <c r="O1543" s="86"/>
      <c r="P1543" s="86"/>
      <c r="Q1543" s="86"/>
      <c r="R1543" s="86"/>
      <c r="S1543" s="86"/>
      <c r="T1543" s="86"/>
      <c r="U1543" s="86"/>
      <c r="V1543" s="86"/>
      <c r="W1543" s="86"/>
      <c r="X1543" s="86"/>
      <c r="Y1543" s="86"/>
      <c r="Z1543" s="86"/>
      <c r="AA1543" s="86"/>
      <c r="AB1543" s="86"/>
      <c r="AC1543" s="86"/>
      <c r="AD1543" s="86"/>
      <c r="AE1543" s="86"/>
      <c r="AF1543" s="86"/>
    </row>
    <row r="1544" spans="1:32">
      <c r="A1544" s="86"/>
      <c r="B1544" s="86"/>
      <c r="C1544" s="86"/>
      <c r="D1544" s="86"/>
      <c r="E1544" s="86"/>
      <c r="F1544" s="86"/>
      <c r="G1544" s="86"/>
      <c r="H1544" s="86"/>
      <c r="I1544" s="86"/>
      <c r="J1544" s="86"/>
      <c r="K1544" s="86"/>
      <c r="L1544" s="86"/>
      <c r="M1544" s="86"/>
      <c r="N1544" s="86"/>
      <c r="O1544" s="86"/>
      <c r="P1544" s="86"/>
      <c r="Q1544" s="86"/>
      <c r="R1544" s="86"/>
      <c r="S1544" s="86"/>
      <c r="T1544" s="86"/>
      <c r="U1544" s="86"/>
      <c r="V1544" s="86"/>
      <c r="W1544" s="86"/>
      <c r="X1544" s="86"/>
      <c r="Y1544" s="86"/>
      <c r="Z1544" s="86"/>
      <c r="AA1544" s="86"/>
      <c r="AB1544" s="86"/>
      <c r="AC1544" s="86"/>
      <c r="AD1544" s="86"/>
      <c r="AE1544" s="86"/>
      <c r="AF1544" s="86"/>
    </row>
    <row r="1545" spans="1:32">
      <c r="A1545" s="86"/>
      <c r="B1545" s="86"/>
      <c r="C1545" s="86"/>
      <c r="D1545" s="86"/>
      <c r="E1545" s="86"/>
      <c r="F1545" s="86"/>
      <c r="G1545" s="86"/>
      <c r="H1545" s="86"/>
      <c r="I1545" s="86"/>
      <c r="J1545" s="86"/>
      <c r="K1545" s="86"/>
      <c r="L1545" s="86"/>
      <c r="M1545" s="86"/>
      <c r="N1545" s="86"/>
      <c r="O1545" s="86"/>
      <c r="P1545" s="86"/>
      <c r="Q1545" s="86"/>
      <c r="R1545" s="86"/>
      <c r="S1545" s="86"/>
      <c r="T1545" s="86"/>
      <c r="U1545" s="86"/>
      <c r="V1545" s="86"/>
      <c r="W1545" s="86"/>
      <c r="X1545" s="86"/>
      <c r="Y1545" s="86"/>
      <c r="Z1545" s="86"/>
      <c r="AA1545" s="86"/>
      <c r="AB1545" s="86"/>
      <c r="AC1545" s="86"/>
      <c r="AD1545" s="86"/>
      <c r="AE1545" s="86"/>
      <c r="AF1545" s="86"/>
    </row>
    <row r="1546" spans="1:32">
      <c r="A1546" s="86"/>
      <c r="B1546" s="86"/>
      <c r="C1546" s="86"/>
      <c r="D1546" s="86"/>
      <c r="E1546" s="86"/>
      <c r="F1546" s="86"/>
      <c r="G1546" s="86"/>
      <c r="H1546" s="86"/>
      <c r="I1546" s="86"/>
      <c r="J1546" s="86"/>
      <c r="K1546" s="86"/>
      <c r="L1546" s="86"/>
      <c r="M1546" s="86"/>
      <c r="N1546" s="86"/>
      <c r="O1546" s="86"/>
      <c r="P1546" s="86"/>
      <c r="Q1546" s="86"/>
      <c r="R1546" s="86"/>
      <c r="S1546" s="86"/>
      <c r="T1546" s="86"/>
      <c r="U1546" s="86"/>
      <c r="V1546" s="86"/>
      <c r="W1546" s="86"/>
      <c r="X1546" s="86"/>
      <c r="Y1546" s="86"/>
      <c r="Z1546" s="86"/>
      <c r="AA1546" s="86"/>
      <c r="AB1546" s="86"/>
      <c r="AC1546" s="86"/>
      <c r="AD1546" s="86"/>
      <c r="AE1546" s="86"/>
      <c r="AF1546" s="86"/>
    </row>
    <row r="1547" spans="1:32">
      <c r="A1547" s="86"/>
      <c r="B1547" s="86"/>
      <c r="C1547" s="86"/>
      <c r="D1547" s="86"/>
      <c r="E1547" s="86"/>
      <c r="F1547" s="86"/>
      <c r="G1547" s="86"/>
      <c r="H1547" s="86"/>
      <c r="I1547" s="86"/>
      <c r="J1547" s="86"/>
      <c r="K1547" s="86"/>
      <c r="L1547" s="86"/>
      <c r="M1547" s="86"/>
      <c r="N1547" s="86"/>
      <c r="O1547" s="86"/>
      <c r="P1547" s="86"/>
      <c r="Q1547" s="86"/>
      <c r="R1547" s="86"/>
      <c r="S1547" s="86"/>
      <c r="T1547" s="86"/>
      <c r="U1547" s="86"/>
      <c r="V1547" s="86"/>
      <c r="W1547" s="86"/>
      <c r="X1547" s="86"/>
      <c r="Y1547" s="86"/>
      <c r="Z1547" s="86"/>
      <c r="AA1547" s="86"/>
      <c r="AB1547" s="86"/>
      <c r="AC1547" s="86"/>
      <c r="AD1547" s="86"/>
      <c r="AE1547" s="86"/>
      <c r="AF1547" s="86"/>
    </row>
    <row r="1548" spans="1:32">
      <c r="A1548" s="86"/>
      <c r="B1548" s="86"/>
      <c r="C1548" s="86"/>
      <c r="D1548" s="86"/>
      <c r="E1548" s="86"/>
      <c r="F1548" s="86"/>
      <c r="G1548" s="86"/>
      <c r="H1548" s="86"/>
      <c r="I1548" s="86"/>
      <c r="J1548" s="86"/>
      <c r="K1548" s="86"/>
      <c r="L1548" s="86"/>
      <c r="M1548" s="86"/>
      <c r="N1548" s="86"/>
      <c r="O1548" s="86"/>
      <c r="P1548" s="86"/>
      <c r="Q1548" s="86"/>
      <c r="R1548" s="86"/>
      <c r="S1548" s="86"/>
      <c r="T1548" s="86"/>
      <c r="U1548" s="86"/>
      <c r="V1548" s="86"/>
      <c r="W1548" s="86"/>
      <c r="X1548" s="86"/>
      <c r="Y1548" s="86"/>
      <c r="Z1548" s="86"/>
      <c r="AA1548" s="86"/>
      <c r="AB1548" s="86"/>
      <c r="AC1548" s="86"/>
      <c r="AD1548" s="86"/>
      <c r="AE1548" s="86"/>
      <c r="AF1548" s="86"/>
    </row>
    <row r="1549" spans="1:32">
      <c r="A1549" s="86"/>
      <c r="B1549" s="86"/>
      <c r="C1549" s="86"/>
      <c r="D1549" s="86"/>
      <c r="E1549" s="86"/>
      <c r="F1549" s="86"/>
      <c r="G1549" s="86"/>
      <c r="H1549" s="86"/>
      <c r="I1549" s="86"/>
      <c r="J1549" s="86"/>
      <c r="K1549" s="86"/>
      <c r="L1549" s="86"/>
      <c r="M1549" s="86"/>
      <c r="N1549" s="86"/>
      <c r="O1549" s="86"/>
      <c r="P1549" s="86"/>
      <c r="Q1549" s="86"/>
      <c r="R1549" s="86"/>
      <c r="S1549" s="86"/>
      <c r="T1549" s="86"/>
      <c r="U1549" s="86"/>
      <c r="V1549" s="86"/>
      <c r="W1549" s="86"/>
      <c r="X1549" s="86"/>
      <c r="Y1549" s="86"/>
      <c r="Z1549" s="86"/>
      <c r="AA1549" s="86"/>
      <c r="AB1549" s="86"/>
      <c r="AC1549" s="86"/>
      <c r="AD1549" s="86"/>
      <c r="AE1549" s="86"/>
      <c r="AF1549" s="86"/>
    </row>
    <row r="1550" spans="1:32">
      <c r="A1550" s="86"/>
      <c r="B1550" s="86"/>
      <c r="C1550" s="86"/>
      <c r="D1550" s="86"/>
      <c r="E1550" s="86"/>
      <c r="F1550" s="86"/>
      <c r="G1550" s="86"/>
      <c r="H1550" s="86"/>
      <c r="I1550" s="86"/>
      <c r="J1550" s="86"/>
      <c r="K1550" s="86"/>
      <c r="L1550" s="86"/>
      <c r="M1550" s="86"/>
      <c r="N1550" s="86"/>
      <c r="O1550" s="86"/>
      <c r="P1550" s="86"/>
      <c r="Q1550" s="86"/>
      <c r="R1550" s="86"/>
      <c r="S1550" s="86"/>
      <c r="T1550" s="86"/>
      <c r="U1550" s="86"/>
      <c r="V1550" s="86"/>
      <c r="W1550" s="86"/>
      <c r="X1550" s="86"/>
      <c r="Y1550" s="86"/>
      <c r="Z1550" s="86"/>
      <c r="AA1550" s="86"/>
      <c r="AB1550" s="86"/>
      <c r="AC1550" s="86"/>
      <c r="AD1550" s="86"/>
      <c r="AE1550" s="86"/>
      <c r="AF1550" s="86"/>
    </row>
    <row r="1551" spans="1:32">
      <c r="A1551" s="86"/>
      <c r="B1551" s="86"/>
      <c r="C1551" s="86"/>
      <c r="D1551" s="86"/>
      <c r="E1551" s="86"/>
      <c r="F1551" s="86"/>
      <c r="G1551" s="86"/>
      <c r="H1551" s="86"/>
      <c r="I1551" s="86"/>
      <c r="J1551" s="86"/>
      <c r="K1551" s="86"/>
      <c r="L1551" s="86"/>
      <c r="M1551" s="86"/>
      <c r="N1551" s="86"/>
      <c r="O1551" s="86"/>
      <c r="P1551" s="86"/>
      <c r="Q1551" s="86"/>
      <c r="R1551" s="86"/>
      <c r="S1551" s="86"/>
      <c r="T1551" s="86"/>
      <c r="U1551" s="86"/>
      <c r="V1551" s="86"/>
      <c r="W1551" s="86"/>
      <c r="X1551" s="86"/>
      <c r="Y1551" s="86"/>
      <c r="Z1551" s="86"/>
      <c r="AA1551" s="86"/>
      <c r="AB1551" s="86"/>
      <c r="AC1551" s="86"/>
      <c r="AD1551" s="86"/>
      <c r="AE1551" s="86"/>
      <c r="AF1551" s="86"/>
    </row>
    <row r="1552" spans="1:32">
      <c r="A1552" s="86"/>
      <c r="B1552" s="86"/>
      <c r="C1552" s="86"/>
      <c r="D1552" s="86"/>
      <c r="E1552" s="86"/>
      <c r="F1552" s="86"/>
      <c r="G1552" s="86"/>
      <c r="H1552" s="86"/>
      <c r="I1552" s="86"/>
      <c r="J1552" s="86"/>
      <c r="K1552" s="86"/>
      <c r="L1552" s="86"/>
      <c r="M1552" s="86"/>
      <c r="N1552" s="86"/>
      <c r="O1552" s="86"/>
      <c r="P1552" s="86"/>
      <c r="Q1552" s="86"/>
      <c r="R1552" s="86"/>
      <c r="S1552" s="86"/>
      <c r="T1552" s="86"/>
      <c r="U1552" s="86"/>
      <c r="V1552" s="86"/>
      <c r="W1552" s="86"/>
      <c r="X1552" s="86"/>
      <c r="Y1552" s="86"/>
      <c r="Z1552" s="86"/>
      <c r="AA1552" s="86"/>
      <c r="AB1552" s="86"/>
      <c r="AC1552" s="86"/>
      <c r="AD1552" s="86"/>
      <c r="AE1552" s="86"/>
      <c r="AF1552" s="86"/>
    </row>
    <row r="1553" spans="1:32">
      <c r="A1553" s="86"/>
      <c r="B1553" s="86"/>
      <c r="C1553" s="86"/>
      <c r="D1553" s="86"/>
      <c r="E1553" s="86"/>
      <c r="F1553" s="86"/>
      <c r="G1553" s="86"/>
      <c r="H1553" s="86"/>
      <c r="I1553" s="86"/>
      <c r="J1553" s="86"/>
      <c r="K1553" s="86"/>
      <c r="L1553" s="86"/>
      <c r="M1553" s="86"/>
      <c r="N1553" s="86"/>
      <c r="O1553" s="86"/>
      <c r="P1553" s="86"/>
      <c r="Q1553" s="86"/>
      <c r="R1553" s="86"/>
      <c r="S1553" s="86"/>
      <c r="T1553" s="86"/>
      <c r="U1553" s="86"/>
      <c r="V1553" s="86"/>
      <c r="W1553" s="86"/>
      <c r="X1553" s="86"/>
      <c r="Y1553" s="86"/>
      <c r="Z1553" s="86"/>
      <c r="AA1553" s="86"/>
      <c r="AB1553" s="86"/>
      <c r="AC1553" s="86"/>
      <c r="AD1553" s="86"/>
      <c r="AE1553" s="86"/>
      <c r="AF1553" s="86"/>
    </row>
    <row r="1554" spans="1:32">
      <c r="A1554" s="86"/>
      <c r="B1554" s="86"/>
      <c r="C1554" s="86"/>
      <c r="D1554" s="86"/>
      <c r="E1554" s="86"/>
      <c r="F1554" s="86"/>
      <c r="G1554" s="86"/>
      <c r="H1554" s="86"/>
      <c r="I1554" s="86"/>
      <c r="J1554" s="86"/>
      <c r="K1554" s="86"/>
      <c r="L1554" s="86"/>
      <c r="M1554" s="86"/>
      <c r="N1554" s="86"/>
      <c r="O1554" s="86"/>
      <c r="P1554" s="86"/>
      <c r="Q1554" s="86"/>
      <c r="R1554" s="86"/>
      <c r="S1554" s="86"/>
      <c r="T1554" s="86"/>
      <c r="U1554" s="86"/>
      <c r="V1554" s="86"/>
      <c r="W1554" s="86"/>
      <c r="X1554" s="86"/>
      <c r="Y1554" s="86"/>
      <c r="Z1554" s="86"/>
      <c r="AA1554" s="86"/>
      <c r="AB1554" s="86"/>
      <c r="AC1554" s="86"/>
      <c r="AD1554" s="86"/>
      <c r="AE1554" s="86"/>
      <c r="AF1554" s="86"/>
    </row>
    <row r="1555" spans="1:32">
      <c r="A1555" s="86"/>
      <c r="B1555" s="86"/>
      <c r="C1555" s="86"/>
      <c r="D1555" s="86"/>
      <c r="E1555" s="86"/>
      <c r="F1555" s="86"/>
      <c r="G1555" s="86"/>
      <c r="H1555" s="86"/>
      <c r="I1555" s="86"/>
      <c r="J1555" s="86"/>
      <c r="K1555" s="86"/>
      <c r="L1555" s="86"/>
      <c r="M1555" s="86"/>
      <c r="N1555" s="86"/>
      <c r="O1555" s="86"/>
      <c r="P1555" s="86"/>
      <c r="Q1555" s="86"/>
      <c r="R1555" s="86"/>
      <c r="S1555" s="86"/>
      <c r="T1555" s="86"/>
      <c r="U1555" s="86"/>
      <c r="V1555" s="86"/>
      <c r="W1555" s="86"/>
      <c r="X1555" s="86"/>
      <c r="Y1555" s="86"/>
      <c r="Z1555" s="86"/>
      <c r="AA1555" s="86"/>
      <c r="AB1555" s="86"/>
      <c r="AC1555" s="86"/>
      <c r="AD1555" s="86"/>
      <c r="AE1555" s="86"/>
      <c r="AF1555" s="86"/>
    </row>
    <row r="1556" spans="1:32">
      <c r="A1556" s="86"/>
      <c r="B1556" s="86"/>
      <c r="C1556" s="86"/>
      <c r="D1556" s="86"/>
      <c r="E1556" s="86"/>
      <c r="F1556" s="86"/>
      <c r="G1556" s="86"/>
      <c r="H1556" s="86"/>
      <c r="I1556" s="86"/>
      <c r="J1556" s="86"/>
      <c r="K1556" s="86"/>
      <c r="L1556" s="86"/>
      <c r="M1556" s="86"/>
      <c r="N1556" s="86"/>
      <c r="O1556" s="86"/>
      <c r="P1556" s="86"/>
      <c r="Q1556" s="86"/>
      <c r="R1556" s="86"/>
      <c r="S1556" s="86"/>
      <c r="T1556" s="86"/>
      <c r="U1556" s="86"/>
      <c r="V1556" s="86"/>
      <c r="W1556" s="86"/>
      <c r="X1556" s="86"/>
      <c r="Y1556" s="86"/>
      <c r="Z1556" s="86"/>
      <c r="AA1556" s="86"/>
      <c r="AB1556" s="86"/>
      <c r="AC1556" s="86"/>
      <c r="AD1556" s="86"/>
      <c r="AE1556" s="86"/>
      <c r="AF1556" s="86"/>
    </row>
    <row r="1557" spans="1:32">
      <c r="A1557" s="86"/>
      <c r="B1557" s="86"/>
      <c r="C1557" s="86"/>
      <c r="D1557" s="86"/>
      <c r="E1557" s="86"/>
      <c r="F1557" s="86"/>
      <c r="G1557" s="86"/>
      <c r="H1557" s="86"/>
      <c r="I1557" s="86"/>
      <c r="J1557" s="86"/>
      <c r="K1557" s="86"/>
      <c r="L1557" s="86"/>
      <c r="M1557" s="86"/>
      <c r="N1557" s="86"/>
      <c r="O1557" s="86"/>
      <c r="P1557" s="86"/>
      <c r="Q1557" s="86"/>
      <c r="R1557" s="86"/>
      <c r="S1557" s="86"/>
      <c r="T1557" s="86"/>
      <c r="U1557" s="86"/>
      <c r="V1557" s="86"/>
      <c r="W1557" s="86"/>
      <c r="X1557" s="86"/>
      <c r="Y1557" s="86"/>
      <c r="Z1557" s="86"/>
      <c r="AA1557" s="86"/>
      <c r="AB1557" s="86"/>
      <c r="AC1557" s="86"/>
      <c r="AD1557" s="86"/>
      <c r="AE1557" s="86"/>
      <c r="AF1557" s="86"/>
    </row>
    <row r="1558" spans="1:32">
      <c r="A1558" s="86"/>
      <c r="B1558" s="86"/>
      <c r="C1558" s="86"/>
      <c r="D1558" s="86"/>
      <c r="E1558" s="86"/>
      <c r="F1558" s="86"/>
      <c r="G1558" s="86"/>
      <c r="H1558" s="86"/>
      <c r="I1558" s="86"/>
      <c r="J1558" s="86"/>
      <c r="K1558" s="86"/>
      <c r="L1558" s="86"/>
      <c r="M1558" s="86"/>
      <c r="N1558" s="86"/>
      <c r="O1558" s="86"/>
      <c r="P1558" s="86"/>
      <c r="Q1558" s="86"/>
      <c r="R1558" s="86"/>
      <c r="S1558" s="86"/>
      <c r="T1558" s="86"/>
      <c r="U1558" s="86"/>
      <c r="V1558" s="86"/>
      <c r="W1558" s="86"/>
      <c r="X1558" s="86"/>
      <c r="Y1558" s="86"/>
      <c r="Z1558" s="86"/>
      <c r="AA1558" s="86"/>
      <c r="AB1558" s="86"/>
      <c r="AC1558" s="86"/>
      <c r="AD1558" s="86"/>
      <c r="AE1558" s="86"/>
      <c r="AF1558" s="86"/>
    </row>
    <row r="1559" spans="1:32">
      <c r="A1559" s="86"/>
      <c r="B1559" s="86"/>
      <c r="C1559" s="86"/>
      <c r="D1559" s="86"/>
      <c r="E1559" s="86"/>
      <c r="F1559" s="86"/>
      <c r="G1559" s="86"/>
      <c r="H1559" s="86"/>
      <c r="I1559" s="86"/>
      <c r="J1559" s="86"/>
      <c r="K1559" s="86"/>
      <c r="L1559" s="86"/>
      <c r="M1559" s="86"/>
      <c r="N1559" s="86"/>
      <c r="O1559" s="86"/>
      <c r="P1559" s="86"/>
      <c r="Q1559" s="86"/>
      <c r="R1559" s="86"/>
      <c r="S1559" s="86"/>
      <c r="T1559" s="86"/>
      <c r="U1559" s="86"/>
      <c r="V1559" s="86"/>
      <c r="W1559" s="86"/>
      <c r="X1559" s="86"/>
      <c r="Y1559" s="86"/>
      <c r="Z1559" s="86"/>
      <c r="AA1559" s="86"/>
      <c r="AB1559" s="86"/>
      <c r="AC1559" s="86"/>
      <c r="AD1559" s="86"/>
      <c r="AE1559" s="86"/>
      <c r="AF1559" s="86"/>
    </row>
    <row r="1560" spans="1:32">
      <c r="A1560" s="86"/>
      <c r="B1560" s="86"/>
      <c r="C1560" s="86"/>
      <c r="D1560" s="86"/>
      <c r="E1560" s="86"/>
      <c r="F1560" s="86"/>
      <c r="G1560" s="86"/>
      <c r="H1560" s="86"/>
      <c r="I1560" s="86"/>
      <c r="J1560" s="86"/>
      <c r="K1560" s="86"/>
      <c r="L1560" s="86"/>
      <c r="M1560" s="86"/>
      <c r="N1560" s="86"/>
      <c r="O1560" s="86"/>
      <c r="P1560" s="86"/>
      <c r="Q1560" s="86"/>
      <c r="R1560" s="86"/>
      <c r="S1560" s="86"/>
      <c r="T1560" s="86"/>
      <c r="U1560" s="86"/>
      <c r="V1560" s="86"/>
      <c r="W1560" s="86"/>
      <c r="X1560" s="86"/>
      <c r="Y1560" s="86"/>
      <c r="Z1560" s="86"/>
      <c r="AA1560" s="86"/>
      <c r="AB1560" s="86"/>
      <c r="AC1560" s="86"/>
      <c r="AD1560" s="86"/>
      <c r="AE1560" s="86"/>
      <c r="AF1560" s="86"/>
    </row>
    <row r="1561" spans="1:32">
      <c r="A1561" s="86"/>
      <c r="B1561" s="86"/>
      <c r="C1561" s="86"/>
      <c r="D1561" s="86"/>
      <c r="E1561" s="86"/>
      <c r="F1561" s="86"/>
      <c r="G1561" s="86"/>
      <c r="H1561" s="86"/>
      <c r="I1561" s="86"/>
      <c r="J1561" s="86"/>
      <c r="K1561" s="86"/>
      <c r="L1561" s="86"/>
      <c r="M1561" s="86"/>
      <c r="N1561" s="86"/>
      <c r="O1561" s="86"/>
      <c r="P1561" s="86"/>
      <c r="Q1561" s="86"/>
      <c r="R1561" s="86"/>
      <c r="S1561" s="86"/>
      <c r="T1561" s="86"/>
      <c r="U1561" s="86"/>
      <c r="V1561" s="86"/>
      <c r="W1561" s="86"/>
      <c r="X1561" s="86"/>
      <c r="Y1561" s="86"/>
      <c r="Z1561" s="86"/>
      <c r="AA1561" s="86"/>
      <c r="AB1561" s="86"/>
      <c r="AC1561" s="86"/>
      <c r="AD1561" s="86"/>
      <c r="AE1561" s="86"/>
      <c r="AF1561" s="86"/>
    </row>
    <row r="1562" spans="1:32">
      <c r="A1562" s="86"/>
      <c r="B1562" s="86"/>
      <c r="C1562" s="86"/>
      <c r="D1562" s="86"/>
      <c r="E1562" s="86"/>
      <c r="F1562" s="86"/>
      <c r="G1562" s="86"/>
      <c r="H1562" s="86"/>
      <c r="I1562" s="86"/>
      <c r="J1562" s="86"/>
      <c r="K1562" s="86"/>
      <c r="L1562" s="86"/>
      <c r="M1562" s="86"/>
      <c r="N1562" s="86"/>
      <c r="O1562" s="86"/>
      <c r="P1562" s="86"/>
      <c r="Q1562" s="86"/>
      <c r="R1562" s="86"/>
      <c r="S1562" s="86"/>
      <c r="T1562" s="86"/>
      <c r="U1562" s="86"/>
      <c r="V1562" s="86"/>
      <c r="W1562" s="86"/>
      <c r="X1562" s="86"/>
      <c r="Y1562" s="86"/>
      <c r="Z1562" s="86"/>
      <c r="AA1562" s="86"/>
      <c r="AB1562" s="86"/>
      <c r="AC1562" s="86"/>
      <c r="AD1562" s="86"/>
      <c r="AE1562" s="86"/>
      <c r="AF1562" s="86"/>
    </row>
    <row r="1563" spans="1:32">
      <c r="A1563" s="86"/>
      <c r="B1563" s="86"/>
      <c r="C1563" s="86"/>
      <c r="D1563" s="86"/>
      <c r="E1563" s="86"/>
      <c r="F1563" s="86"/>
      <c r="G1563" s="86"/>
      <c r="H1563" s="86"/>
      <c r="I1563" s="86"/>
      <c r="J1563" s="86"/>
      <c r="K1563" s="86"/>
      <c r="L1563" s="86"/>
      <c r="M1563" s="86"/>
      <c r="N1563" s="86"/>
      <c r="O1563" s="86"/>
      <c r="P1563" s="86"/>
      <c r="Q1563" s="86"/>
      <c r="R1563" s="86"/>
      <c r="S1563" s="86"/>
      <c r="T1563" s="86"/>
      <c r="U1563" s="86"/>
      <c r="V1563" s="86"/>
      <c r="W1563" s="86"/>
      <c r="X1563" s="86"/>
      <c r="Y1563" s="86"/>
      <c r="Z1563" s="86"/>
      <c r="AA1563" s="86"/>
      <c r="AB1563" s="86"/>
      <c r="AC1563" s="86"/>
      <c r="AD1563" s="86"/>
      <c r="AE1563" s="86"/>
      <c r="AF1563" s="86"/>
    </row>
    <row r="1564" spans="1:32">
      <c r="A1564" s="86"/>
      <c r="B1564" s="86"/>
      <c r="C1564" s="86"/>
      <c r="D1564" s="86"/>
      <c r="E1564" s="86"/>
      <c r="F1564" s="86"/>
      <c r="G1564" s="86"/>
      <c r="H1564" s="86"/>
      <c r="I1564" s="86"/>
      <c r="J1564" s="86"/>
      <c r="K1564" s="86"/>
      <c r="L1564" s="86"/>
      <c r="M1564" s="86"/>
      <c r="N1564" s="86"/>
      <c r="O1564" s="86"/>
      <c r="P1564" s="86"/>
      <c r="Q1564" s="86"/>
      <c r="R1564" s="86"/>
      <c r="S1564" s="86"/>
      <c r="T1564" s="86"/>
      <c r="U1564" s="86"/>
      <c r="V1564" s="86"/>
      <c r="W1564" s="86"/>
      <c r="X1564" s="86"/>
      <c r="Y1564" s="86"/>
      <c r="Z1564" s="86"/>
      <c r="AA1564" s="86"/>
      <c r="AB1564" s="86"/>
      <c r="AC1564" s="86"/>
      <c r="AD1564" s="86"/>
      <c r="AE1564" s="86"/>
      <c r="AF1564" s="86"/>
    </row>
    <row r="1565" spans="1:32">
      <c r="A1565" s="86"/>
      <c r="B1565" s="86"/>
      <c r="C1565" s="86"/>
      <c r="D1565" s="86"/>
      <c r="E1565" s="86"/>
      <c r="F1565" s="86"/>
      <c r="G1565" s="86"/>
      <c r="H1565" s="86"/>
      <c r="I1565" s="86"/>
      <c r="J1565" s="86"/>
      <c r="K1565" s="86"/>
      <c r="L1565" s="86"/>
      <c r="M1565" s="86"/>
      <c r="N1565" s="86"/>
      <c r="O1565" s="86"/>
      <c r="P1565" s="86"/>
      <c r="Q1565" s="86"/>
      <c r="R1565" s="86"/>
      <c r="S1565" s="86"/>
      <c r="T1565" s="86"/>
      <c r="U1565" s="86"/>
      <c r="V1565" s="86"/>
      <c r="W1565" s="86"/>
      <c r="X1565" s="86"/>
      <c r="Y1565" s="86"/>
      <c r="Z1565" s="86"/>
      <c r="AA1565" s="86"/>
      <c r="AB1565" s="86"/>
      <c r="AC1565" s="86"/>
      <c r="AD1565" s="86"/>
      <c r="AE1565" s="86"/>
      <c r="AF1565" s="86"/>
    </row>
    <row r="1566" spans="1:32">
      <c r="A1566" s="86"/>
      <c r="B1566" s="86"/>
      <c r="C1566" s="86"/>
      <c r="D1566" s="86"/>
      <c r="E1566" s="86"/>
      <c r="F1566" s="86"/>
      <c r="G1566" s="86"/>
      <c r="H1566" s="86"/>
      <c r="I1566" s="86"/>
      <c r="J1566" s="86"/>
      <c r="K1566" s="86"/>
      <c r="L1566" s="86"/>
      <c r="M1566" s="86"/>
      <c r="N1566" s="86"/>
      <c r="O1566" s="86"/>
      <c r="P1566" s="86"/>
      <c r="Q1566" s="86"/>
      <c r="R1566" s="86"/>
      <c r="S1566" s="86"/>
      <c r="T1566" s="86"/>
      <c r="U1566" s="86"/>
      <c r="V1566" s="86"/>
      <c r="W1566" s="86"/>
      <c r="X1566" s="86"/>
      <c r="Y1566" s="86"/>
      <c r="Z1566" s="86"/>
      <c r="AA1566" s="86"/>
      <c r="AB1566" s="86"/>
      <c r="AC1566" s="86"/>
      <c r="AD1566" s="86"/>
      <c r="AE1566" s="86"/>
      <c r="AF1566" s="86"/>
    </row>
  </sheetData>
  <phoneticPr fontId="0" type="noConversion"/>
  <printOptions horizontalCentered="1" verticalCentered="1"/>
  <pageMargins left="0.4" right="0.4" top="0.3" bottom="0.3" header="0" footer="0"/>
  <pageSetup scale="64" orientation="landscape" r:id="rId1"/>
  <headerFooter alignWithMargins="0"/>
  <colBreaks count="1" manualBreakCount="1">
    <brk id="14"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transitionEvaluation="1" codeName="Sheet90">
    <pageSetUpPr fitToPage="1"/>
  </sheetPr>
  <dimension ref="A1:AE66"/>
  <sheetViews>
    <sheetView defaultGridColor="0" colorId="22" zoomScaleNormal="100" workbookViewId="0">
      <selection activeCell="A26" sqref="A26"/>
    </sheetView>
  </sheetViews>
  <sheetFormatPr defaultColWidth="9.77734375" defaultRowHeight="15"/>
  <cols>
    <col min="1" max="1" width="4.77734375" customWidth="1"/>
    <col min="2" max="2" width="16.77734375" customWidth="1"/>
    <col min="5" max="5" width="7.77734375" customWidth="1"/>
    <col min="6" max="6" width="8.77734375" customWidth="1"/>
    <col min="7" max="7" width="13.77734375" customWidth="1"/>
    <col min="8" max="8" width="6.77734375" customWidth="1"/>
    <col min="10" max="10" width="11.77734375" customWidth="1"/>
    <col min="11" max="12" width="7.77734375" customWidth="1"/>
    <col min="13" max="13" width="11.77734375" customWidth="1"/>
    <col min="14" max="14" width="14.77734375" customWidth="1"/>
  </cols>
  <sheetData>
    <row r="1" spans="1:26" ht="15.75" thickBot="1">
      <c r="A1" s="86" t="str">
        <f>'Data sheet'!A69</f>
        <v>Annual Report of Veolia Water New York, Inc.                                                                                                                   Year Ended  December 31, 2023</v>
      </c>
      <c r="B1" s="86"/>
      <c r="C1" s="86"/>
      <c r="D1" s="86"/>
      <c r="E1" s="86"/>
      <c r="F1" s="86"/>
      <c r="G1" s="86"/>
      <c r="H1" s="86"/>
      <c r="I1" s="86"/>
      <c r="J1" s="86"/>
      <c r="K1" s="86"/>
      <c r="L1" s="86"/>
      <c r="M1" s="86"/>
      <c r="N1" s="86"/>
    </row>
    <row r="2" spans="1:26">
      <c r="A2" s="677"/>
      <c r="B2" s="678"/>
      <c r="C2" s="678"/>
      <c r="D2" s="678"/>
      <c r="E2" s="678"/>
      <c r="F2" s="678"/>
      <c r="G2" s="678"/>
      <c r="H2" s="678"/>
      <c r="I2" s="678"/>
      <c r="J2" s="678"/>
      <c r="K2" s="678"/>
      <c r="L2" s="678"/>
      <c r="M2" s="678"/>
      <c r="N2" s="679"/>
    </row>
    <row r="3" spans="1:26" ht="15.75">
      <c r="A3" s="328" t="s">
        <v>332</v>
      </c>
      <c r="B3" s="539"/>
      <c r="C3" s="539"/>
      <c r="D3" s="539"/>
      <c r="E3" s="5"/>
      <c r="F3" s="539"/>
      <c r="G3" s="539"/>
      <c r="H3" s="539"/>
      <c r="I3" s="539"/>
      <c r="J3" s="539"/>
      <c r="K3" s="539"/>
      <c r="L3" s="539"/>
      <c r="M3" s="539"/>
      <c r="N3" s="680"/>
    </row>
    <row r="4" spans="1:26">
      <c r="A4" s="1143"/>
      <c r="B4" s="434"/>
      <c r="C4" s="434"/>
      <c r="D4" s="434"/>
      <c r="E4" s="434"/>
      <c r="F4" s="434"/>
      <c r="G4" s="434"/>
      <c r="H4" s="434"/>
      <c r="I4" s="434"/>
      <c r="J4" s="434"/>
      <c r="K4" s="434"/>
      <c r="L4" s="434"/>
      <c r="M4" s="434"/>
      <c r="N4" s="683"/>
    </row>
    <row r="5" spans="1:26">
      <c r="A5" s="351"/>
      <c r="B5" s="432"/>
      <c r="C5" s="432"/>
      <c r="D5" s="432"/>
      <c r="E5" s="432"/>
      <c r="F5" s="432"/>
      <c r="G5" s="432"/>
      <c r="H5" s="432"/>
      <c r="I5" s="432"/>
      <c r="J5" s="432"/>
      <c r="K5" s="432"/>
      <c r="L5" s="432"/>
      <c r="M5" s="432"/>
      <c r="N5" s="681"/>
    </row>
    <row r="6" spans="1:26">
      <c r="A6" s="351"/>
      <c r="B6" s="432" t="s">
        <v>3892</v>
      </c>
      <c r="C6" s="432"/>
      <c r="D6" s="432"/>
      <c r="E6" s="432"/>
      <c r="F6" s="432"/>
      <c r="G6" s="432"/>
      <c r="H6" s="432"/>
      <c r="I6" s="432"/>
      <c r="J6" s="432" t="s">
        <v>2175</v>
      </c>
      <c r="K6" s="432"/>
      <c r="L6" s="432"/>
      <c r="M6" s="432"/>
      <c r="N6" s="681"/>
    </row>
    <row r="7" spans="1:26">
      <c r="A7" s="351"/>
      <c r="B7" s="432" t="s">
        <v>2176</v>
      </c>
      <c r="C7" s="432"/>
      <c r="D7" s="432"/>
      <c r="E7" s="432"/>
      <c r="F7" s="432"/>
      <c r="G7" s="432"/>
      <c r="H7" s="432"/>
      <c r="I7" s="432"/>
      <c r="J7" s="432" t="s">
        <v>2177</v>
      </c>
      <c r="K7" s="432"/>
      <c r="L7" s="432"/>
      <c r="M7" s="432"/>
      <c r="N7" s="681"/>
    </row>
    <row r="8" spans="1:26">
      <c r="A8" s="351"/>
      <c r="B8" s="432" t="s">
        <v>2178</v>
      </c>
      <c r="C8" s="432"/>
      <c r="D8" s="432"/>
      <c r="E8" s="432"/>
      <c r="F8" s="432"/>
      <c r="G8" s="432"/>
      <c r="H8" s="432"/>
      <c r="I8" s="432"/>
      <c r="J8" s="86"/>
      <c r="K8" s="432"/>
      <c r="L8" s="432"/>
      <c r="M8" s="432"/>
      <c r="N8" s="681"/>
    </row>
    <row r="9" spans="1:26">
      <c r="A9" s="351"/>
      <c r="B9" s="432"/>
      <c r="C9" s="432"/>
      <c r="D9" s="432"/>
      <c r="E9" s="432"/>
      <c r="F9" s="432"/>
      <c r="G9" s="432"/>
      <c r="H9" s="432"/>
      <c r="I9" s="432"/>
      <c r="J9" s="432"/>
      <c r="K9" s="432"/>
      <c r="L9" s="432"/>
      <c r="M9" s="432"/>
      <c r="N9" s="681"/>
    </row>
    <row r="10" spans="1:26">
      <c r="A10" s="351"/>
      <c r="B10" s="432" t="s">
        <v>1547</v>
      </c>
      <c r="C10" s="432"/>
      <c r="D10" s="432"/>
      <c r="E10" s="432"/>
      <c r="F10" s="432"/>
      <c r="G10" s="432"/>
      <c r="H10" s="432"/>
      <c r="I10" s="432"/>
      <c r="J10" s="86"/>
      <c r="K10" s="432"/>
      <c r="L10" s="432"/>
      <c r="M10" s="432"/>
      <c r="N10" s="681"/>
    </row>
    <row r="11" spans="1:26">
      <c r="A11" s="351"/>
      <c r="B11" s="432" t="s">
        <v>334</v>
      </c>
      <c r="C11" s="432"/>
      <c r="D11" s="432"/>
      <c r="E11" s="432"/>
      <c r="F11" s="432"/>
      <c r="G11" s="432"/>
      <c r="H11" s="432"/>
      <c r="I11" s="432"/>
      <c r="J11" s="432"/>
      <c r="K11" s="432"/>
      <c r="L11" s="432"/>
      <c r="M11" s="432"/>
      <c r="N11" s="681"/>
    </row>
    <row r="12" spans="1:26">
      <c r="A12" s="351"/>
      <c r="B12" s="432"/>
      <c r="C12" s="432"/>
      <c r="D12" s="432"/>
      <c r="E12" s="432"/>
      <c r="F12" s="432"/>
      <c r="G12" s="432"/>
      <c r="H12" s="432"/>
      <c r="I12" s="432"/>
      <c r="J12" s="432"/>
      <c r="K12" s="432"/>
      <c r="L12" s="432"/>
      <c r="M12" s="432"/>
      <c r="N12" s="681"/>
    </row>
    <row r="13" spans="1:26">
      <c r="A13" s="542"/>
      <c r="B13" s="1144"/>
      <c r="C13" s="92"/>
      <c r="D13" s="1144"/>
      <c r="E13" s="1144"/>
      <c r="F13" s="1144"/>
      <c r="G13" s="452" t="s">
        <v>2179</v>
      </c>
      <c r="H13" s="452"/>
      <c r="I13" s="452"/>
      <c r="J13" s="452"/>
      <c r="K13" s="452"/>
      <c r="L13" s="452"/>
      <c r="M13" s="452"/>
      <c r="N13" s="1153"/>
      <c r="O13" s="931"/>
      <c r="P13" s="931"/>
      <c r="Q13" s="931"/>
      <c r="R13" s="931"/>
      <c r="S13" s="931"/>
      <c r="T13" s="931"/>
      <c r="U13" s="931"/>
      <c r="V13" s="931"/>
      <c r="W13" s="931"/>
      <c r="X13" s="931"/>
      <c r="Y13" s="931"/>
      <c r="Z13" s="931"/>
    </row>
    <row r="14" spans="1:26">
      <c r="A14" s="828"/>
      <c r="B14" s="1146" t="s">
        <v>3055</v>
      </c>
      <c r="C14" s="440" t="s">
        <v>2180</v>
      </c>
      <c r="D14" s="1146" t="s">
        <v>1387</v>
      </c>
      <c r="E14" s="1146" t="s">
        <v>2181</v>
      </c>
      <c r="F14" s="1146" t="s">
        <v>2182</v>
      </c>
      <c r="G14" s="1146" t="s">
        <v>2570</v>
      </c>
      <c r="H14" s="1146"/>
      <c r="I14" s="1146" t="s">
        <v>2079</v>
      </c>
      <c r="J14" s="1146" t="s">
        <v>2183</v>
      </c>
      <c r="K14" s="541" t="s">
        <v>2184</v>
      </c>
      <c r="L14" s="1151"/>
      <c r="M14" s="1146"/>
      <c r="N14" s="818" t="s">
        <v>2917</v>
      </c>
      <c r="O14" s="938"/>
    </row>
    <row r="15" spans="1:26">
      <c r="A15" s="828" t="s">
        <v>2048</v>
      </c>
      <c r="B15" s="1146" t="s">
        <v>2185</v>
      </c>
      <c r="C15" s="1146" t="s">
        <v>2186</v>
      </c>
      <c r="D15" s="1146" t="s">
        <v>4236</v>
      </c>
      <c r="E15" s="1146" t="s">
        <v>2086</v>
      </c>
      <c r="F15" s="1146" t="s">
        <v>2187</v>
      </c>
      <c r="G15" s="1146" t="s">
        <v>2188</v>
      </c>
      <c r="H15" s="1146" t="s">
        <v>993</v>
      </c>
      <c r="I15" s="1146" t="s">
        <v>2189</v>
      </c>
      <c r="J15" s="1146" t="s">
        <v>3063</v>
      </c>
      <c r="K15" s="1146" t="s">
        <v>2190</v>
      </c>
      <c r="L15" s="1146" t="s">
        <v>122</v>
      </c>
      <c r="M15" s="1146" t="s">
        <v>2191</v>
      </c>
      <c r="N15" s="352" t="s">
        <v>2192</v>
      </c>
    </row>
    <row r="16" spans="1:26">
      <c r="A16" s="330"/>
      <c r="B16" s="1146" t="s">
        <v>2193</v>
      </c>
      <c r="C16" s="1146" t="s">
        <v>2194</v>
      </c>
      <c r="D16" s="1146" t="s">
        <v>2195</v>
      </c>
      <c r="E16" s="1146" t="s">
        <v>2196</v>
      </c>
      <c r="F16" s="1146" t="s">
        <v>2197</v>
      </c>
      <c r="G16" s="1146" t="s">
        <v>2198</v>
      </c>
      <c r="H16" s="1146" t="s">
        <v>3068</v>
      </c>
      <c r="I16" s="1146" t="s">
        <v>2199</v>
      </c>
      <c r="J16" s="1146" t="s">
        <v>2200</v>
      </c>
      <c r="K16" s="1146" t="s">
        <v>2201</v>
      </c>
      <c r="L16" s="1146" t="s">
        <v>2202</v>
      </c>
      <c r="M16" s="1146" t="s">
        <v>852</v>
      </c>
      <c r="N16" s="352" t="s">
        <v>2203</v>
      </c>
    </row>
    <row r="17" spans="1:20">
      <c r="A17" s="828" t="s">
        <v>2051</v>
      </c>
      <c r="B17" s="1146" t="s">
        <v>2204</v>
      </c>
      <c r="C17" s="1146"/>
      <c r="D17" s="763"/>
      <c r="E17" s="1146" t="s">
        <v>2205</v>
      </c>
      <c r="F17" s="1146" t="s">
        <v>2206</v>
      </c>
      <c r="G17" s="1146" t="s">
        <v>2207</v>
      </c>
      <c r="H17" s="763"/>
      <c r="I17" s="1146" t="s">
        <v>3071</v>
      </c>
      <c r="J17" s="1146" t="s">
        <v>2208</v>
      </c>
      <c r="K17" s="1146" t="s">
        <v>3068</v>
      </c>
      <c r="L17" s="1146"/>
      <c r="M17" s="1146"/>
      <c r="N17" s="352" t="s">
        <v>1608</v>
      </c>
    </row>
    <row r="18" spans="1:20">
      <c r="A18" s="330"/>
      <c r="B18" s="1146" t="s">
        <v>2209</v>
      </c>
      <c r="C18" s="1146" t="s">
        <v>1611</v>
      </c>
      <c r="D18" s="1146" t="s">
        <v>3281</v>
      </c>
      <c r="E18" s="1146" t="s">
        <v>1613</v>
      </c>
      <c r="F18" s="1146" t="s">
        <v>721</v>
      </c>
      <c r="G18" s="1146" t="s">
        <v>722</v>
      </c>
      <c r="H18" s="1146" t="s">
        <v>723</v>
      </c>
      <c r="I18" s="1146" t="s">
        <v>335</v>
      </c>
      <c r="J18" s="1146" t="s">
        <v>336</v>
      </c>
      <c r="K18" s="1146" t="s">
        <v>337</v>
      </c>
      <c r="L18" s="1146" t="s">
        <v>338</v>
      </c>
      <c r="M18" s="1146" t="s">
        <v>339</v>
      </c>
      <c r="N18" s="352" t="s">
        <v>778</v>
      </c>
    </row>
    <row r="19" spans="1:20">
      <c r="A19" s="824">
        <v>1</v>
      </c>
      <c r="B19" s="1144"/>
      <c r="C19" s="1144"/>
      <c r="D19" s="1144"/>
      <c r="E19" s="1144"/>
      <c r="F19" s="1144"/>
      <c r="G19" s="1144"/>
      <c r="H19" s="1144"/>
      <c r="I19" s="1144"/>
      <c r="J19" s="1144"/>
      <c r="K19" s="1144"/>
      <c r="L19" s="1144"/>
      <c r="M19" s="1144"/>
      <c r="N19" s="685"/>
    </row>
    <row r="20" spans="1:20">
      <c r="A20" s="828">
        <v>2</v>
      </c>
      <c r="B20" s="1147"/>
      <c r="C20" s="763"/>
      <c r="D20" s="763"/>
      <c r="E20" s="763"/>
      <c r="F20" s="763"/>
      <c r="G20" s="763"/>
      <c r="H20" s="763"/>
      <c r="I20" s="763"/>
      <c r="J20" s="763"/>
      <c r="K20" s="763"/>
      <c r="L20" s="763"/>
      <c r="M20" s="763"/>
      <c r="N20" s="681"/>
    </row>
    <row r="21" spans="1:20">
      <c r="A21" s="828">
        <v>3</v>
      </c>
      <c r="B21" s="1147"/>
      <c r="C21" s="763"/>
      <c r="D21" s="763"/>
      <c r="E21" s="763"/>
      <c r="F21" s="763"/>
      <c r="G21" s="763"/>
      <c r="H21" s="763"/>
      <c r="I21" s="763"/>
      <c r="J21" s="763"/>
      <c r="K21" s="763"/>
      <c r="L21" s="763"/>
      <c r="M21" s="763"/>
      <c r="N21" s="681"/>
    </row>
    <row r="22" spans="1:20">
      <c r="A22" s="828">
        <v>4</v>
      </c>
      <c r="B22" s="1147"/>
      <c r="C22" s="763"/>
      <c r="D22" s="763"/>
      <c r="E22" s="763"/>
      <c r="F22" s="763"/>
      <c r="G22" s="763"/>
      <c r="H22" s="763"/>
      <c r="I22" s="763"/>
      <c r="J22" s="763"/>
      <c r="K22" s="763"/>
      <c r="L22" s="763"/>
      <c r="M22" s="763"/>
      <c r="N22" s="681"/>
    </row>
    <row r="23" spans="1:20">
      <c r="A23" s="828">
        <v>5</v>
      </c>
      <c r="B23" s="1147"/>
      <c r="C23" s="763"/>
      <c r="D23" s="763"/>
      <c r="E23" s="763"/>
      <c r="F23" s="763"/>
      <c r="G23" s="763"/>
      <c r="H23" s="763"/>
      <c r="I23" s="763"/>
      <c r="J23" s="763"/>
      <c r="K23" s="763"/>
      <c r="L23" s="763"/>
      <c r="M23" s="763"/>
      <c r="N23" s="681"/>
    </row>
    <row r="24" spans="1:20">
      <c r="A24" s="828">
        <v>6</v>
      </c>
      <c r="B24" s="1147"/>
      <c r="C24" s="763"/>
      <c r="D24" s="763"/>
      <c r="E24" s="763"/>
      <c r="F24" s="763"/>
      <c r="G24" s="763"/>
      <c r="H24" s="763"/>
      <c r="I24" s="763"/>
      <c r="J24" s="763"/>
      <c r="K24" s="763"/>
      <c r="L24" s="763"/>
      <c r="M24" s="763"/>
      <c r="N24" s="681"/>
    </row>
    <row r="25" spans="1:20">
      <c r="A25" s="828">
        <v>7</v>
      </c>
      <c r="B25" s="1147"/>
      <c r="C25" s="763"/>
      <c r="D25" s="763"/>
      <c r="E25" s="763"/>
      <c r="F25" s="763"/>
      <c r="G25" s="763"/>
      <c r="H25" s="763"/>
      <c r="I25" s="763"/>
      <c r="J25" s="763"/>
      <c r="K25" s="763"/>
      <c r="L25" s="763"/>
      <c r="M25" s="763"/>
      <c r="N25" s="681"/>
    </row>
    <row r="26" spans="1:20">
      <c r="A26" s="828">
        <v>8</v>
      </c>
      <c r="B26" s="1147"/>
      <c r="C26" s="763"/>
      <c r="D26" s="763"/>
      <c r="E26" s="763"/>
      <c r="F26" s="763"/>
      <c r="G26" s="763"/>
      <c r="H26" s="763"/>
      <c r="I26" s="763"/>
      <c r="J26" s="763"/>
      <c r="K26" s="763"/>
      <c r="L26" s="763"/>
      <c r="M26" s="763"/>
      <c r="N26" s="681"/>
    </row>
    <row r="27" spans="1:20">
      <c r="A27" s="828">
        <v>9</v>
      </c>
      <c r="B27" s="1147"/>
      <c r="C27" s="763"/>
      <c r="D27" s="763"/>
      <c r="E27" s="763"/>
      <c r="F27" s="763"/>
      <c r="G27" s="763"/>
      <c r="H27" s="763"/>
      <c r="I27" s="763"/>
      <c r="J27" s="763"/>
      <c r="K27" s="763"/>
      <c r="L27" s="763"/>
      <c r="M27" s="763"/>
      <c r="N27" s="681"/>
    </row>
    <row r="28" spans="1:20">
      <c r="A28" s="828">
        <v>10</v>
      </c>
      <c r="B28" s="1147"/>
      <c r="C28" s="763"/>
      <c r="D28" s="763"/>
      <c r="E28" s="763"/>
      <c r="F28" s="763"/>
      <c r="G28" s="763"/>
      <c r="H28" s="763"/>
      <c r="I28" s="763"/>
      <c r="J28" s="763"/>
      <c r="K28" s="763"/>
      <c r="L28" s="763"/>
      <c r="M28" s="763"/>
      <c r="N28" s="681"/>
    </row>
    <row r="29" spans="1:20">
      <c r="A29" s="828">
        <v>11</v>
      </c>
      <c r="B29" s="1147"/>
      <c r="C29" s="763"/>
      <c r="D29" s="763"/>
      <c r="E29" s="763"/>
      <c r="F29" s="763"/>
      <c r="G29" s="763"/>
      <c r="H29" s="763"/>
      <c r="I29" s="763"/>
      <c r="J29" s="763"/>
      <c r="K29" s="763"/>
      <c r="L29" s="763"/>
      <c r="M29" s="763"/>
      <c r="N29" s="681"/>
    </row>
    <row r="30" spans="1:20">
      <c r="A30" s="828">
        <v>12</v>
      </c>
      <c r="B30" s="1147"/>
      <c r="C30" s="763"/>
      <c r="D30" s="763"/>
      <c r="E30" s="763"/>
      <c r="F30" s="763"/>
      <c r="G30" s="763"/>
      <c r="H30" s="763"/>
      <c r="I30" s="763"/>
      <c r="J30" s="763"/>
      <c r="K30" s="763"/>
      <c r="L30" s="763"/>
      <c r="M30" s="763"/>
      <c r="N30" s="681"/>
      <c r="O30" s="931"/>
      <c r="P30" s="931"/>
      <c r="Q30" s="931"/>
      <c r="R30" s="931"/>
      <c r="S30" s="931"/>
      <c r="T30" s="931"/>
    </row>
    <row r="31" spans="1:20">
      <c r="A31" s="812"/>
      <c r="B31" s="1154" t="s">
        <v>2210</v>
      </c>
      <c r="C31" s="1154"/>
      <c r="D31" s="1154"/>
      <c r="E31" s="1154"/>
      <c r="F31" s="1154"/>
      <c r="G31" s="1154"/>
      <c r="H31" s="1154"/>
      <c r="I31" s="1154"/>
      <c r="J31" s="1154"/>
      <c r="K31" s="1154"/>
      <c r="L31" s="1154"/>
      <c r="M31" s="1154"/>
      <c r="N31" s="1027"/>
      <c r="O31" s="938"/>
      <c r="P31" s="938"/>
      <c r="Q31" s="931"/>
      <c r="R31" s="931"/>
      <c r="S31" s="931"/>
      <c r="T31" s="931"/>
    </row>
    <row r="32" spans="1:20">
      <c r="A32" s="812"/>
      <c r="B32" s="1154"/>
      <c r="C32" s="1154"/>
      <c r="D32" s="1154"/>
      <c r="E32" s="1154"/>
      <c r="F32" s="1154"/>
      <c r="G32" s="1154"/>
      <c r="H32" s="1154"/>
      <c r="I32" s="1154"/>
      <c r="J32" s="1154"/>
      <c r="K32" s="1154"/>
      <c r="L32" s="1154"/>
      <c r="M32" s="1154"/>
      <c r="N32" s="1027"/>
      <c r="O32" s="938"/>
      <c r="P32" s="938"/>
      <c r="Q32" s="931"/>
      <c r="R32" s="931"/>
      <c r="S32" s="931"/>
      <c r="T32" s="931"/>
    </row>
    <row r="33" spans="1:31">
      <c r="A33" s="817"/>
      <c r="B33" s="432" t="s">
        <v>930</v>
      </c>
      <c r="C33" s="432"/>
      <c r="D33" s="432"/>
      <c r="E33" s="432"/>
      <c r="F33" s="432"/>
      <c r="G33" s="432"/>
      <c r="H33" s="432"/>
      <c r="I33" s="432"/>
      <c r="J33" s="432"/>
      <c r="K33" s="432"/>
      <c r="L33" s="432"/>
      <c r="M33" s="432"/>
      <c r="N33" s="681"/>
      <c r="O33" s="931"/>
      <c r="P33" s="931"/>
      <c r="Q33" s="931"/>
      <c r="R33" s="931"/>
      <c r="S33" s="931"/>
      <c r="T33" s="931"/>
    </row>
    <row r="34" spans="1:31">
      <c r="A34" s="817"/>
      <c r="B34" s="432"/>
      <c r="C34" s="432"/>
      <c r="D34" s="432"/>
      <c r="E34" s="432"/>
      <c r="F34" s="432"/>
      <c r="G34" s="432"/>
      <c r="H34" s="432"/>
      <c r="I34" s="432"/>
      <c r="J34" s="432"/>
      <c r="K34" s="1155"/>
      <c r="L34" s="432"/>
      <c r="M34" s="432"/>
      <c r="N34" s="681"/>
    </row>
    <row r="35" spans="1:31">
      <c r="A35" s="817"/>
      <c r="B35" s="357"/>
      <c r="C35" s="357"/>
      <c r="D35" s="357"/>
      <c r="E35" s="357"/>
      <c r="F35" s="357"/>
      <c r="G35" s="357"/>
      <c r="H35" s="357"/>
      <c r="I35" s="357"/>
      <c r="J35" s="357"/>
      <c r="K35" s="432"/>
      <c r="L35" s="432"/>
      <c r="M35" s="432"/>
      <c r="N35" s="681"/>
    </row>
    <row r="36" spans="1:31">
      <c r="A36" s="817"/>
      <c r="B36" s="432"/>
      <c r="C36" s="357"/>
      <c r="D36" s="357"/>
      <c r="E36" s="357"/>
      <c r="F36" s="357"/>
      <c r="G36" s="357"/>
      <c r="H36" s="357"/>
      <c r="I36" s="357"/>
      <c r="J36" s="357"/>
      <c r="K36" s="432"/>
      <c r="L36" s="432"/>
      <c r="M36" s="432"/>
      <c r="N36" s="681"/>
    </row>
    <row r="37" spans="1:31">
      <c r="A37" s="817"/>
      <c r="B37" s="432"/>
      <c r="C37" s="357"/>
      <c r="D37" s="357"/>
      <c r="E37" s="357"/>
      <c r="F37" s="357"/>
      <c r="G37" s="357"/>
      <c r="H37" s="357"/>
      <c r="I37" s="357"/>
      <c r="J37" s="357"/>
      <c r="K37" s="357"/>
      <c r="L37" s="357"/>
      <c r="M37" s="357"/>
      <c r="N37" s="352"/>
    </row>
    <row r="38" spans="1:31">
      <c r="A38" s="817"/>
      <c r="B38" s="432"/>
      <c r="C38" s="357"/>
      <c r="D38" s="357"/>
      <c r="E38" s="357"/>
      <c r="F38" s="357"/>
      <c r="G38" s="357"/>
      <c r="H38" s="357"/>
      <c r="I38" s="357"/>
      <c r="J38" s="357"/>
      <c r="K38" s="357"/>
      <c r="L38" s="357"/>
      <c r="M38" s="357"/>
      <c r="N38" s="352"/>
    </row>
    <row r="39" spans="1:31">
      <c r="A39" s="817"/>
      <c r="B39" s="357"/>
      <c r="C39" s="357"/>
      <c r="D39" s="357"/>
      <c r="E39" s="357"/>
      <c r="F39" s="357"/>
      <c r="G39" s="357"/>
      <c r="H39" s="357"/>
      <c r="I39" s="357"/>
      <c r="J39" s="357"/>
      <c r="K39" s="357"/>
      <c r="L39" s="357"/>
      <c r="M39" s="357"/>
      <c r="N39" s="352"/>
      <c r="O39" s="931"/>
      <c r="P39" s="931"/>
      <c r="Q39" s="931"/>
      <c r="R39" s="931"/>
      <c r="S39" s="931"/>
      <c r="T39" s="931"/>
      <c r="U39" s="931"/>
      <c r="V39" s="931"/>
      <c r="W39" s="931"/>
      <c r="X39" s="931"/>
      <c r="Y39" s="931"/>
      <c r="Z39" s="931"/>
      <c r="AA39" s="931"/>
      <c r="AB39" s="931"/>
      <c r="AC39" s="931"/>
      <c r="AD39" s="931"/>
      <c r="AE39" s="931"/>
    </row>
    <row r="40" spans="1:31">
      <c r="A40" s="817"/>
      <c r="B40" s="432"/>
      <c r="C40" s="432"/>
      <c r="D40" s="432"/>
      <c r="E40" s="432"/>
      <c r="F40" s="432"/>
      <c r="G40" s="432"/>
      <c r="H40" s="432"/>
      <c r="I40" s="432"/>
      <c r="J40" s="432"/>
      <c r="K40" s="432"/>
      <c r="L40" s="432"/>
      <c r="M40" s="432"/>
      <c r="N40" s="681"/>
    </row>
    <row r="41" spans="1:31">
      <c r="A41" s="817"/>
      <c r="B41" s="432"/>
      <c r="C41" s="432"/>
      <c r="D41" s="432"/>
      <c r="E41" s="432"/>
      <c r="F41" s="432"/>
      <c r="G41" s="432"/>
      <c r="H41" s="432"/>
      <c r="I41" s="432"/>
      <c r="J41" s="432"/>
      <c r="K41" s="432"/>
      <c r="L41" s="432"/>
      <c r="M41" s="432"/>
      <c r="N41" s="681"/>
    </row>
    <row r="42" spans="1:31">
      <c r="A42" s="817"/>
      <c r="B42" s="432"/>
      <c r="C42" s="432"/>
      <c r="D42" s="432"/>
      <c r="E42" s="432"/>
      <c r="F42" s="432"/>
      <c r="G42" s="432"/>
      <c r="H42" s="432"/>
      <c r="I42" s="432"/>
      <c r="J42" s="432"/>
      <c r="K42" s="432"/>
      <c r="L42" s="432"/>
      <c r="M42" s="432"/>
      <c r="N42" s="681"/>
    </row>
    <row r="43" spans="1:31">
      <c r="A43" s="817"/>
      <c r="B43" s="432"/>
      <c r="C43" s="432"/>
      <c r="D43" s="432"/>
      <c r="E43" s="432"/>
      <c r="F43" s="432"/>
      <c r="G43" s="432"/>
      <c r="H43" s="432"/>
      <c r="I43" s="432"/>
      <c r="J43" s="432"/>
      <c r="K43" s="432"/>
      <c r="L43" s="432"/>
      <c r="M43" s="432"/>
      <c r="N43" s="681"/>
    </row>
    <row r="44" spans="1:31">
      <c r="A44" s="817"/>
      <c r="B44" s="432"/>
      <c r="C44" s="432"/>
      <c r="D44" s="432"/>
      <c r="E44" s="432"/>
      <c r="F44" s="432"/>
      <c r="G44" s="432"/>
      <c r="H44" s="432"/>
      <c r="I44" s="432"/>
      <c r="J44" s="432"/>
      <c r="K44" s="432"/>
      <c r="L44" s="432"/>
      <c r="M44" s="432"/>
      <c r="N44" s="681"/>
    </row>
    <row r="45" spans="1:31">
      <c r="A45" s="817"/>
      <c r="B45" s="432"/>
      <c r="C45" s="432"/>
      <c r="D45" s="432"/>
      <c r="E45" s="432"/>
      <c r="F45" s="432"/>
      <c r="G45" s="432"/>
      <c r="H45" s="432"/>
      <c r="I45" s="432"/>
      <c r="J45" s="432"/>
      <c r="K45" s="432"/>
      <c r="L45" s="432"/>
      <c r="M45" s="432"/>
      <c r="N45" s="681"/>
    </row>
    <row r="46" spans="1:31">
      <c r="A46" s="817"/>
      <c r="B46" s="432"/>
      <c r="C46" s="432"/>
      <c r="D46" s="432"/>
      <c r="E46" s="432"/>
      <c r="F46" s="432"/>
      <c r="G46" s="432"/>
      <c r="H46" s="432"/>
      <c r="I46" s="432"/>
      <c r="J46" s="432"/>
      <c r="K46" s="432"/>
      <c r="L46" s="432"/>
      <c r="M46" s="432"/>
      <c r="N46" s="681"/>
      <c r="O46" s="931"/>
    </row>
    <row r="47" spans="1:31">
      <c r="A47" s="817"/>
      <c r="B47" s="432"/>
      <c r="C47" s="432"/>
      <c r="D47" s="432"/>
      <c r="E47" s="432"/>
      <c r="F47" s="432"/>
      <c r="G47" s="432"/>
      <c r="H47" s="432"/>
      <c r="I47" s="432"/>
      <c r="J47" s="432"/>
      <c r="K47" s="432"/>
      <c r="L47" s="432"/>
      <c r="M47" s="432"/>
      <c r="N47" s="681"/>
      <c r="O47" s="931"/>
    </row>
    <row r="48" spans="1:31" ht="15.75" thickBot="1">
      <c r="A48" s="1156"/>
      <c r="B48" s="444"/>
      <c r="C48" s="444"/>
      <c r="D48" s="444"/>
      <c r="E48" s="444"/>
      <c r="F48" s="444"/>
      <c r="G48" s="444"/>
      <c r="H48" s="444"/>
      <c r="I48" s="444"/>
      <c r="J48" s="444"/>
      <c r="K48" s="444"/>
      <c r="L48" s="444"/>
      <c r="M48" s="444"/>
      <c r="N48" s="1152"/>
      <c r="O48" s="931"/>
    </row>
    <row r="49" spans="1:15">
      <c r="A49" s="432" t="s">
        <v>544</v>
      </c>
      <c r="B49" s="432"/>
      <c r="C49" s="432"/>
      <c r="D49" s="432"/>
      <c r="E49" s="432"/>
      <c r="F49" s="432"/>
      <c r="G49" s="432"/>
      <c r="H49" s="432"/>
      <c r="I49" s="432"/>
      <c r="J49" s="432"/>
      <c r="K49" s="432"/>
      <c r="L49" s="432"/>
      <c r="M49" s="432"/>
      <c r="N49" s="432"/>
      <c r="O49" s="931"/>
    </row>
    <row r="50" spans="1:15">
      <c r="A50" s="539" t="s">
        <v>2211</v>
      </c>
      <c r="B50" s="539"/>
      <c r="C50" s="539"/>
      <c r="D50" s="539"/>
      <c r="E50" s="539"/>
      <c r="F50" s="539"/>
      <c r="G50" s="539"/>
      <c r="H50" s="539"/>
      <c r="I50" s="539"/>
      <c r="J50" s="5"/>
      <c r="K50" s="539"/>
      <c r="L50" s="539"/>
      <c r="M50" s="539"/>
      <c r="N50" s="5"/>
      <c r="O50" s="931"/>
    </row>
    <row r="51" spans="1:15">
      <c r="A51" s="86"/>
      <c r="B51" s="432"/>
      <c r="C51" s="432"/>
      <c r="D51" s="432"/>
      <c r="E51" s="432"/>
      <c r="F51" s="432"/>
      <c r="G51" s="432"/>
      <c r="H51" s="432"/>
      <c r="I51" s="432"/>
      <c r="J51" s="432"/>
      <c r="K51" s="432"/>
      <c r="L51" s="432"/>
      <c r="M51" s="432"/>
      <c r="N51" s="432"/>
      <c r="O51" s="931"/>
    </row>
    <row r="52" spans="1:15">
      <c r="A52" s="86"/>
      <c r="B52" s="432"/>
      <c r="C52" s="432"/>
      <c r="D52" s="432"/>
      <c r="E52" s="432"/>
      <c r="F52" s="432"/>
      <c r="G52" s="432"/>
      <c r="H52" s="432"/>
      <c r="I52" s="432"/>
      <c r="J52" s="86"/>
      <c r="K52" s="86"/>
      <c r="L52" s="86"/>
      <c r="M52" s="86"/>
      <c r="N52" s="86"/>
      <c r="O52" s="931"/>
    </row>
    <row r="53" spans="1:15">
      <c r="A53" s="86"/>
      <c r="B53" s="432"/>
      <c r="C53" s="432"/>
      <c r="D53" s="432"/>
      <c r="E53" s="432"/>
      <c r="F53" s="432"/>
      <c r="G53" s="432"/>
      <c r="H53" s="432"/>
      <c r="I53" s="432"/>
      <c r="J53" s="86"/>
      <c r="K53" s="86"/>
      <c r="L53" s="86"/>
      <c r="M53" s="86"/>
      <c r="N53" s="86"/>
      <c r="O53" s="931"/>
    </row>
    <row r="54" spans="1:15">
      <c r="A54" s="86"/>
      <c r="B54" s="432"/>
      <c r="C54" s="432"/>
      <c r="D54" s="432"/>
      <c r="E54" s="432"/>
      <c r="F54" s="432"/>
      <c r="G54" s="432"/>
      <c r="H54" s="432"/>
      <c r="I54" s="432"/>
      <c r="J54" s="86"/>
      <c r="K54" s="86"/>
      <c r="L54" s="86"/>
      <c r="M54" s="86"/>
      <c r="N54" s="86"/>
      <c r="O54" s="931"/>
    </row>
    <row r="55" spans="1:15">
      <c r="A55" s="86"/>
      <c r="B55" s="86"/>
      <c r="C55" s="86"/>
      <c r="D55" s="86"/>
      <c r="E55" s="86"/>
      <c r="F55" s="86"/>
      <c r="G55" s="86"/>
      <c r="H55" s="86"/>
      <c r="I55" s="86"/>
      <c r="J55" s="86"/>
      <c r="K55" s="86"/>
      <c r="L55" s="86"/>
      <c r="M55" s="86"/>
      <c r="N55" s="86"/>
    </row>
    <row r="56" spans="1:15">
      <c r="A56" s="86"/>
      <c r="B56" s="86"/>
      <c r="C56" s="86"/>
      <c r="D56" s="86"/>
      <c r="E56" s="86"/>
      <c r="F56" s="86"/>
      <c r="G56" s="86"/>
      <c r="H56" s="86"/>
      <c r="I56" s="86"/>
      <c r="J56" s="86"/>
      <c r="K56" s="86"/>
      <c r="L56" s="86"/>
      <c r="M56" s="86"/>
      <c r="N56" s="86"/>
    </row>
    <row r="57" spans="1:15">
      <c r="A57" s="86"/>
      <c r="B57" s="86"/>
      <c r="C57" s="86"/>
      <c r="D57" s="86"/>
      <c r="E57" s="86"/>
      <c r="F57" s="86"/>
      <c r="G57" s="86"/>
      <c r="H57" s="86"/>
      <c r="I57" s="86"/>
      <c r="J57" s="86"/>
      <c r="K57" s="86"/>
      <c r="L57" s="86"/>
      <c r="M57" s="86"/>
      <c r="N57" s="86"/>
    </row>
    <row r="58" spans="1:15">
      <c r="A58" s="86"/>
      <c r="B58" s="86"/>
      <c r="C58" s="86"/>
      <c r="D58" s="86"/>
      <c r="E58" s="86"/>
      <c r="F58" s="86"/>
      <c r="G58" s="86"/>
      <c r="H58" s="86"/>
      <c r="I58" s="86"/>
      <c r="J58" s="86"/>
      <c r="K58" s="86"/>
      <c r="L58" s="86"/>
      <c r="M58" s="86"/>
      <c r="N58" s="86"/>
    </row>
    <row r="59" spans="1:15">
      <c r="A59" s="86"/>
      <c r="B59" s="86"/>
      <c r="C59" s="86"/>
      <c r="D59" s="86"/>
      <c r="E59" s="86"/>
      <c r="F59" s="86"/>
      <c r="G59" s="86"/>
      <c r="H59" s="86"/>
      <c r="I59" s="86"/>
      <c r="J59" s="86"/>
      <c r="K59" s="86"/>
      <c r="L59" s="86"/>
      <c r="M59" s="86"/>
      <c r="N59" s="86"/>
    </row>
    <row r="60" spans="1:15">
      <c r="A60" s="86"/>
      <c r="B60" s="86"/>
      <c r="C60" s="86"/>
      <c r="D60" s="86"/>
      <c r="E60" s="86"/>
      <c r="F60" s="86"/>
      <c r="G60" s="86"/>
      <c r="H60" s="86"/>
      <c r="I60" s="86"/>
      <c r="J60" s="86"/>
      <c r="K60" s="86"/>
      <c r="L60" s="86"/>
      <c r="M60" s="86"/>
      <c r="N60" s="86"/>
    </row>
    <row r="61" spans="1:15">
      <c r="A61" s="86"/>
      <c r="B61" s="86"/>
      <c r="C61" s="86"/>
      <c r="D61" s="86"/>
      <c r="E61" s="86"/>
      <c r="F61" s="86"/>
      <c r="G61" s="86"/>
      <c r="H61" s="86"/>
      <c r="I61" s="86"/>
      <c r="J61" s="86"/>
      <c r="K61" s="86"/>
      <c r="L61" s="86"/>
      <c r="M61" s="86"/>
      <c r="N61" s="86"/>
    </row>
    <row r="62" spans="1:15">
      <c r="A62" s="86"/>
      <c r="B62" s="86"/>
      <c r="C62" s="86"/>
      <c r="D62" s="86"/>
      <c r="E62" s="86"/>
      <c r="F62" s="86"/>
      <c r="G62" s="86"/>
      <c r="H62" s="86"/>
      <c r="I62" s="86"/>
      <c r="J62" s="86"/>
      <c r="K62" s="86"/>
      <c r="L62" s="86"/>
      <c r="M62" s="86"/>
      <c r="N62" s="86"/>
    </row>
    <row r="63" spans="1:15">
      <c r="A63" s="86"/>
      <c r="B63" s="86"/>
      <c r="C63" s="86"/>
      <c r="D63" s="86"/>
      <c r="E63" s="86"/>
      <c r="F63" s="86"/>
      <c r="G63" s="86"/>
      <c r="H63" s="86"/>
      <c r="I63" s="86"/>
      <c r="J63" s="86"/>
      <c r="K63" s="86"/>
      <c r="L63" s="86"/>
      <c r="M63" s="86"/>
      <c r="N63" s="86"/>
    </row>
    <row r="64" spans="1:15">
      <c r="A64" s="86"/>
      <c r="B64" s="86"/>
      <c r="C64" s="86"/>
      <c r="D64" s="86"/>
      <c r="E64" s="86"/>
      <c r="F64" s="86"/>
      <c r="G64" s="86"/>
      <c r="H64" s="86"/>
      <c r="I64" s="86"/>
      <c r="J64" s="86"/>
      <c r="K64" s="86"/>
      <c r="L64" s="86"/>
      <c r="M64" s="86"/>
      <c r="N64" s="86"/>
    </row>
    <row r="65" spans="1:14">
      <c r="A65" s="86"/>
      <c r="B65" s="86"/>
      <c r="C65" s="86"/>
      <c r="D65" s="86"/>
      <c r="E65" s="86"/>
      <c r="F65" s="86"/>
      <c r="G65" s="86"/>
      <c r="H65" s="86"/>
      <c r="I65" s="86"/>
      <c r="J65" s="86"/>
      <c r="K65" s="86"/>
      <c r="L65" s="86"/>
      <c r="M65" s="86"/>
      <c r="N65" s="86"/>
    </row>
    <row r="66" spans="1:14">
      <c r="A66" s="86"/>
      <c r="B66" s="86"/>
      <c r="C66" s="86"/>
      <c r="D66" s="86"/>
      <c r="E66" s="86"/>
      <c r="F66" s="86"/>
      <c r="G66" s="86"/>
      <c r="H66" s="86"/>
      <c r="I66" s="86"/>
      <c r="J66" s="86"/>
      <c r="K66" s="86"/>
      <c r="L66" s="86"/>
      <c r="M66" s="86"/>
      <c r="N66" s="86"/>
    </row>
  </sheetData>
  <phoneticPr fontId="0" type="noConversion"/>
  <printOptions horizontalCentered="1" verticalCentered="1"/>
  <pageMargins left="0.4" right="0.4" top="0.3" bottom="0.3" header="0" footer="0"/>
  <pageSetup scale="76" orientation="landscape" r:id="rId1"/>
  <headerFooter alignWithMargins="0"/>
  <colBreaks count="1" manualBreakCount="1">
    <brk id="14"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91"/>
  <dimension ref="A1:O67"/>
  <sheetViews>
    <sheetView zoomScaleNormal="100" workbookViewId="0">
      <pane xSplit="2" ySplit="7" topLeftCell="C8" activePane="bottomRight" state="frozen"/>
      <selection activeCell="S32" sqref="S32"/>
      <selection pane="topRight" activeCell="S32" sqref="S32"/>
      <selection pane="bottomLeft" activeCell="S32" sqref="S32"/>
      <selection pane="bottomRight" activeCell="H73" sqref="H73"/>
    </sheetView>
  </sheetViews>
  <sheetFormatPr defaultRowHeight="15"/>
  <cols>
    <col min="1" max="1" width="10.33203125" customWidth="1"/>
    <col min="2" max="2" width="22.44140625" customWidth="1"/>
    <col min="3" max="3" width="9.109375" customWidth="1"/>
    <col min="4" max="4" width="10.109375" customWidth="1"/>
    <col min="5" max="5" width="9.109375" customWidth="1"/>
    <col min="6" max="6" width="8.44140625" customWidth="1"/>
    <col min="7" max="7" width="8.77734375" customWidth="1"/>
    <col min="8" max="8" width="8.21875" customWidth="1"/>
    <col min="9" max="9" width="11.77734375" customWidth="1"/>
    <col min="10" max="10" width="10" customWidth="1"/>
    <col min="11" max="11" width="7.77734375" customWidth="1"/>
    <col min="12" max="12" width="7.88671875" customWidth="1"/>
    <col min="13" max="13" width="15.109375" customWidth="1"/>
    <col min="14" max="14" width="14" customWidth="1"/>
    <col min="15" max="15" width="15" customWidth="1"/>
  </cols>
  <sheetData>
    <row r="1" spans="1:14" ht="15.75" thickBot="1">
      <c r="A1" s="86" t="str">
        <f>'Data sheet'!A69</f>
        <v>Annual Report of Veolia Water New York, Inc.                                                                                                                   Year Ended  December 31, 2023</v>
      </c>
      <c r="B1" s="86"/>
      <c r="C1" s="86"/>
      <c r="D1" s="86"/>
      <c r="E1" s="86"/>
      <c r="F1" s="86"/>
      <c r="G1" s="86"/>
      <c r="H1" s="86"/>
      <c r="I1" s="86"/>
      <c r="J1" s="86"/>
      <c r="K1" s="86"/>
      <c r="L1" s="86"/>
      <c r="M1" s="86"/>
      <c r="N1" s="86"/>
    </row>
    <row r="2" spans="1:14" ht="13.5" customHeight="1">
      <c r="A2" s="1313"/>
      <c r="B2" s="1314"/>
      <c r="C2" s="1315"/>
      <c r="D2" s="1314"/>
      <c r="E2" s="1314"/>
      <c r="F2" s="1316"/>
      <c r="G2" s="1317" t="s">
        <v>2179</v>
      </c>
      <c r="H2" s="1317"/>
      <c r="I2" s="1317"/>
      <c r="J2" s="1317"/>
      <c r="K2" s="1317"/>
      <c r="L2" s="1317"/>
      <c r="M2" s="1318"/>
      <c r="N2" s="1319"/>
    </row>
    <row r="3" spans="1:14">
      <c r="A3" s="1320"/>
      <c r="B3" s="1321" t="s">
        <v>3055</v>
      </c>
      <c r="C3" s="1322" t="s">
        <v>2180</v>
      </c>
      <c r="D3" s="1321" t="s">
        <v>1387</v>
      </c>
      <c r="E3" s="1321" t="s">
        <v>2181</v>
      </c>
      <c r="F3" s="1323" t="s">
        <v>2182</v>
      </c>
      <c r="G3" s="1321" t="s">
        <v>2570</v>
      </c>
      <c r="H3" s="1321"/>
      <c r="I3" s="1321" t="s">
        <v>2079</v>
      </c>
      <c r="J3" s="1321" t="s">
        <v>2183</v>
      </c>
      <c r="K3" s="1324" t="s">
        <v>2184</v>
      </c>
      <c r="L3" s="1325"/>
      <c r="M3" s="1321"/>
      <c r="N3" s="1326"/>
    </row>
    <row r="4" spans="1:14">
      <c r="A4" s="1320"/>
      <c r="B4" s="1327" t="s">
        <v>2185</v>
      </c>
      <c r="C4" s="1327" t="s">
        <v>2186</v>
      </c>
      <c r="D4" s="1327" t="s">
        <v>4236</v>
      </c>
      <c r="E4" s="1327" t="s">
        <v>2086</v>
      </c>
      <c r="F4" s="1328" t="s">
        <v>2187</v>
      </c>
      <c r="G4" s="1327" t="s">
        <v>2188</v>
      </c>
      <c r="H4" s="1327" t="s">
        <v>993</v>
      </c>
      <c r="I4" s="1327" t="s">
        <v>2189</v>
      </c>
      <c r="J4" s="1327" t="s">
        <v>3063</v>
      </c>
      <c r="K4" s="1327" t="s">
        <v>2190</v>
      </c>
      <c r="L4" s="1327" t="s">
        <v>122</v>
      </c>
      <c r="M4" s="1327" t="s">
        <v>2191</v>
      </c>
      <c r="N4" s="1326"/>
    </row>
    <row r="5" spans="1:14">
      <c r="A5" s="1320" t="s">
        <v>931</v>
      </c>
      <c r="B5" s="1327" t="s">
        <v>2193</v>
      </c>
      <c r="C5" s="1327" t="s">
        <v>2194</v>
      </c>
      <c r="D5" s="1327" t="s">
        <v>2195</v>
      </c>
      <c r="E5" s="1327" t="s">
        <v>2196</v>
      </c>
      <c r="F5" s="1328" t="s">
        <v>2197</v>
      </c>
      <c r="G5" s="1327" t="s">
        <v>2198</v>
      </c>
      <c r="H5" s="1327" t="s">
        <v>3068</v>
      </c>
      <c r="I5" s="1327" t="s">
        <v>2199</v>
      </c>
      <c r="J5" s="1327" t="s">
        <v>2200</v>
      </c>
      <c r="K5" s="1327" t="s">
        <v>2201</v>
      </c>
      <c r="L5" s="1327" t="s">
        <v>2202</v>
      </c>
      <c r="M5" s="1327" t="s">
        <v>852</v>
      </c>
      <c r="N5" s="1326" t="s">
        <v>932</v>
      </c>
    </row>
    <row r="6" spans="1:14">
      <c r="A6" s="1320" t="s">
        <v>1690</v>
      </c>
      <c r="B6" s="1327" t="s">
        <v>2204</v>
      </c>
      <c r="C6" s="1327"/>
      <c r="D6" s="1329"/>
      <c r="E6" s="1327" t="s">
        <v>2205</v>
      </c>
      <c r="F6" s="1328" t="s">
        <v>2206</v>
      </c>
      <c r="G6" s="1327" t="s">
        <v>2207</v>
      </c>
      <c r="H6" s="1329"/>
      <c r="I6" s="1327" t="s">
        <v>3071</v>
      </c>
      <c r="J6" s="1327" t="s">
        <v>2208</v>
      </c>
      <c r="K6" s="1327" t="s">
        <v>3068</v>
      </c>
      <c r="L6" s="1327"/>
      <c r="M6" s="1327"/>
      <c r="N6" s="1326" t="s">
        <v>933</v>
      </c>
    </row>
    <row r="7" spans="1:14">
      <c r="A7" s="1330"/>
      <c r="B7" s="1337" t="s">
        <v>2209</v>
      </c>
      <c r="C7" s="1337" t="s">
        <v>1611</v>
      </c>
      <c r="D7" s="1337" t="s">
        <v>3281</v>
      </c>
      <c r="E7" s="1337" t="s">
        <v>1613</v>
      </c>
      <c r="F7" s="1788" t="s">
        <v>721</v>
      </c>
      <c r="G7" s="1337" t="s">
        <v>722</v>
      </c>
      <c r="H7" s="1337" t="s">
        <v>723</v>
      </c>
      <c r="I7" s="1337" t="s">
        <v>335</v>
      </c>
      <c r="J7" s="1337" t="s">
        <v>336</v>
      </c>
      <c r="K7" s="1337" t="s">
        <v>337</v>
      </c>
      <c r="L7" s="1337" t="s">
        <v>338</v>
      </c>
      <c r="M7" s="1337" t="s">
        <v>339</v>
      </c>
      <c r="N7" s="1789" t="s">
        <v>778</v>
      </c>
    </row>
    <row r="8" spans="1:14">
      <c r="A8" s="1478"/>
      <c r="B8" s="1332" t="s">
        <v>934</v>
      </c>
      <c r="C8" s="1327"/>
      <c r="D8" s="1327"/>
      <c r="E8" s="1327"/>
      <c r="F8" s="1328"/>
      <c r="G8" s="1327"/>
      <c r="H8" s="1327"/>
      <c r="I8" s="1327"/>
      <c r="J8" s="1327"/>
      <c r="K8" s="1327"/>
      <c r="L8" s="1327"/>
      <c r="M8" s="1327"/>
      <c r="N8" s="1331"/>
    </row>
    <row r="9" spans="1:14">
      <c r="A9" s="1320">
        <v>1</v>
      </c>
      <c r="B9" s="1338" t="s">
        <v>2938</v>
      </c>
      <c r="C9" s="1334" t="s">
        <v>2939</v>
      </c>
      <c r="D9" s="1334">
        <v>1911</v>
      </c>
      <c r="E9" s="1334">
        <v>1</v>
      </c>
      <c r="F9" s="1335">
        <v>454.6</v>
      </c>
      <c r="G9" s="1334" t="s">
        <v>2940</v>
      </c>
      <c r="H9" s="1334">
        <v>500</v>
      </c>
      <c r="I9" s="1334" t="s">
        <v>2941</v>
      </c>
      <c r="J9" s="1334" t="s">
        <v>2942</v>
      </c>
      <c r="K9" s="1334"/>
      <c r="L9" s="1334" t="s">
        <v>4465</v>
      </c>
      <c r="M9" s="1334" t="s">
        <v>2943</v>
      </c>
      <c r="N9" s="1331" t="s">
        <v>1652</v>
      </c>
    </row>
    <row r="10" spans="1:14">
      <c r="A10" s="1320" t="s">
        <v>2944</v>
      </c>
      <c r="B10" s="1338" t="s">
        <v>2945</v>
      </c>
      <c r="C10" s="1334" t="s">
        <v>2939</v>
      </c>
      <c r="D10" s="1334">
        <v>1984</v>
      </c>
      <c r="E10" s="1334">
        <v>1</v>
      </c>
      <c r="F10" s="1335">
        <v>453.9</v>
      </c>
      <c r="G10" s="1334" t="s">
        <v>2940</v>
      </c>
      <c r="H10" s="1334">
        <v>520</v>
      </c>
      <c r="I10" s="1334" t="s">
        <v>2946</v>
      </c>
      <c r="J10" s="1334"/>
      <c r="K10" s="1334"/>
      <c r="L10" s="1334">
        <v>600</v>
      </c>
      <c r="M10" s="1334" t="s">
        <v>2947</v>
      </c>
      <c r="N10" s="1331">
        <v>436</v>
      </c>
    </row>
    <row r="11" spans="1:14">
      <c r="A11" s="1320">
        <v>2</v>
      </c>
      <c r="B11" s="1338" t="s">
        <v>2938</v>
      </c>
      <c r="C11" s="1334" t="s">
        <v>2939</v>
      </c>
      <c r="D11" s="1334">
        <v>1911</v>
      </c>
      <c r="E11" s="1334">
        <v>1</v>
      </c>
      <c r="F11" s="1335">
        <v>447.2</v>
      </c>
      <c r="G11" s="1334" t="s">
        <v>2940</v>
      </c>
      <c r="H11" s="1334">
        <v>446</v>
      </c>
      <c r="I11" s="1334">
        <v>8</v>
      </c>
      <c r="J11" s="1334"/>
      <c r="K11" s="1334"/>
      <c r="L11" s="1334" t="s">
        <v>4465</v>
      </c>
      <c r="M11" s="1334" t="s">
        <v>2943</v>
      </c>
      <c r="N11" s="1331" t="s">
        <v>1652</v>
      </c>
    </row>
    <row r="12" spans="1:14">
      <c r="A12" s="1320">
        <v>3</v>
      </c>
      <c r="B12" s="1338" t="s">
        <v>2945</v>
      </c>
      <c r="C12" s="1334" t="s">
        <v>2939</v>
      </c>
      <c r="D12" s="1334">
        <v>1924</v>
      </c>
      <c r="E12" s="1334">
        <v>1</v>
      </c>
      <c r="F12" s="1335">
        <v>444.5</v>
      </c>
      <c r="G12" s="1334" t="s">
        <v>2940</v>
      </c>
      <c r="H12" s="1334">
        <v>500</v>
      </c>
      <c r="I12" s="1334" t="s">
        <v>2946</v>
      </c>
      <c r="J12" s="1334"/>
      <c r="K12" s="1334"/>
      <c r="L12" s="1334">
        <v>400</v>
      </c>
      <c r="M12" s="1334" t="s">
        <v>1647</v>
      </c>
      <c r="N12" s="1331">
        <v>12</v>
      </c>
    </row>
    <row r="13" spans="1:14">
      <c r="A13" s="1320">
        <v>4</v>
      </c>
      <c r="B13" s="1338" t="s">
        <v>2945</v>
      </c>
      <c r="C13" s="1334" t="s">
        <v>2939</v>
      </c>
      <c r="D13" s="1334">
        <v>1924</v>
      </c>
      <c r="E13" s="1334">
        <v>1</v>
      </c>
      <c r="F13" s="1335">
        <v>451.2</v>
      </c>
      <c r="G13" s="1334" t="s">
        <v>2940</v>
      </c>
      <c r="H13" s="1334">
        <v>500</v>
      </c>
      <c r="I13" s="1334" t="s">
        <v>1648</v>
      </c>
      <c r="J13" s="1334"/>
      <c r="K13" s="1334"/>
      <c r="L13" s="1334">
        <v>400</v>
      </c>
      <c r="M13" s="1334" t="s">
        <v>1647</v>
      </c>
      <c r="N13" s="1331">
        <v>108</v>
      </c>
    </row>
    <row r="14" spans="1:14">
      <c r="A14" s="1320">
        <v>6</v>
      </c>
      <c r="B14" s="1338" t="s">
        <v>2945</v>
      </c>
      <c r="C14" s="1334" t="s">
        <v>2939</v>
      </c>
      <c r="D14" s="1334">
        <v>1927</v>
      </c>
      <c r="E14" s="1334">
        <v>1</v>
      </c>
      <c r="F14" s="1335">
        <v>441.8</v>
      </c>
      <c r="G14" s="1334" t="s">
        <v>2940</v>
      </c>
      <c r="H14" s="1334">
        <v>502</v>
      </c>
      <c r="I14" s="1334" t="s">
        <v>1648</v>
      </c>
      <c r="J14" s="1334"/>
      <c r="K14" s="1334"/>
      <c r="L14" s="1334">
        <v>530</v>
      </c>
      <c r="M14" s="1334" t="s">
        <v>1647</v>
      </c>
      <c r="N14" s="1331">
        <v>232</v>
      </c>
    </row>
    <row r="15" spans="1:14" ht="13.5" customHeight="1">
      <c r="A15" s="1320">
        <v>17</v>
      </c>
      <c r="B15" s="1338" t="s">
        <v>2945</v>
      </c>
      <c r="C15" s="1334" t="s">
        <v>2939</v>
      </c>
      <c r="D15" s="1334">
        <v>1950</v>
      </c>
      <c r="E15" s="1334">
        <v>1</v>
      </c>
      <c r="F15" s="1335">
        <v>446.8</v>
      </c>
      <c r="G15" s="1334" t="s">
        <v>2940</v>
      </c>
      <c r="H15" s="1334">
        <v>506</v>
      </c>
      <c r="I15" s="1334" t="s">
        <v>1648</v>
      </c>
      <c r="J15" s="1334"/>
      <c r="K15" s="1334"/>
      <c r="L15" s="1334">
        <v>400</v>
      </c>
      <c r="M15" s="1334" t="s">
        <v>1647</v>
      </c>
      <c r="N15" s="1331">
        <v>340</v>
      </c>
    </row>
    <row r="16" spans="1:14">
      <c r="A16" s="1320"/>
      <c r="B16" s="1336"/>
      <c r="C16" s="1334"/>
      <c r="D16" s="1334"/>
      <c r="E16" s="1334"/>
      <c r="F16" s="1335"/>
      <c r="G16" s="1334"/>
      <c r="H16" s="1334"/>
      <c r="I16" s="1334"/>
      <c r="J16" s="1334"/>
      <c r="K16" s="1334"/>
      <c r="L16" s="1334"/>
      <c r="M16" s="1334"/>
      <c r="N16" s="1331"/>
    </row>
    <row r="17" spans="1:14">
      <c r="A17" s="1320"/>
      <c r="B17" s="1337" t="s">
        <v>1649</v>
      </c>
      <c r="C17" s="1334"/>
      <c r="D17" s="1334"/>
      <c r="E17" s="1334"/>
      <c r="F17" s="1335"/>
      <c r="G17" s="1334"/>
      <c r="H17" s="1334"/>
      <c r="I17" s="1334"/>
      <c r="J17" s="1334"/>
      <c r="K17" s="1334"/>
      <c r="L17" s="1334"/>
      <c r="M17" s="1334"/>
      <c r="N17" s="1331"/>
    </row>
    <row r="18" spans="1:14">
      <c r="A18" s="1320">
        <v>8</v>
      </c>
      <c r="B18" s="1338" t="s">
        <v>1650</v>
      </c>
      <c r="C18" s="1334" t="s">
        <v>2939</v>
      </c>
      <c r="D18" s="1334">
        <v>1931</v>
      </c>
      <c r="E18" s="1334">
        <v>1</v>
      </c>
      <c r="F18" s="1335">
        <v>59.3</v>
      </c>
      <c r="G18" s="1334" t="s">
        <v>2940</v>
      </c>
      <c r="H18" s="1334">
        <v>481</v>
      </c>
      <c r="I18" s="1334" t="s">
        <v>1651</v>
      </c>
      <c r="J18" s="1334"/>
      <c r="K18" s="1334"/>
      <c r="L18" s="1334">
        <v>300</v>
      </c>
      <c r="M18" s="1334" t="s">
        <v>2947</v>
      </c>
      <c r="N18" s="1331"/>
    </row>
    <row r="19" spans="1:14">
      <c r="A19" s="1320">
        <v>11</v>
      </c>
      <c r="B19" s="1338" t="s">
        <v>653</v>
      </c>
      <c r="C19" s="1334" t="s">
        <v>2939</v>
      </c>
      <c r="D19" s="1334">
        <v>1941</v>
      </c>
      <c r="E19" s="1334">
        <v>1</v>
      </c>
      <c r="F19" s="1335"/>
      <c r="G19" s="1334" t="s">
        <v>2940</v>
      </c>
      <c r="H19" s="1334">
        <v>458</v>
      </c>
      <c r="I19" s="1334" t="s">
        <v>1359</v>
      </c>
      <c r="J19" s="1334"/>
      <c r="K19" s="1334"/>
      <c r="L19" s="1334">
        <v>100</v>
      </c>
      <c r="M19" s="1334" t="s">
        <v>2947</v>
      </c>
      <c r="N19" s="1331" t="s">
        <v>1652</v>
      </c>
    </row>
    <row r="20" spans="1:14">
      <c r="A20" s="1339">
        <v>12</v>
      </c>
      <c r="B20" s="1338" t="s">
        <v>4466</v>
      </c>
      <c r="C20" s="1334" t="s">
        <v>2939</v>
      </c>
      <c r="D20" s="1334">
        <v>1941</v>
      </c>
      <c r="E20" s="1334">
        <v>1</v>
      </c>
      <c r="F20" s="1335">
        <v>58</v>
      </c>
      <c r="G20" s="1334" t="s">
        <v>2940</v>
      </c>
      <c r="H20" s="1334">
        <v>328</v>
      </c>
      <c r="I20" s="1334" t="s">
        <v>1653</v>
      </c>
      <c r="J20" s="1334"/>
      <c r="K20" s="1334"/>
      <c r="L20" s="1334" t="s">
        <v>4283</v>
      </c>
      <c r="M20" s="1334" t="s">
        <v>1647</v>
      </c>
      <c r="N20" s="1331" t="s">
        <v>1652</v>
      </c>
    </row>
    <row r="21" spans="1:14">
      <c r="A21" s="1339">
        <v>15</v>
      </c>
      <c r="B21" s="1338" t="s">
        <v>1654</v>
      </c>
      <c r="C21" s="1334" t="s">
        <v>2939</v>
      </c>
      <c r="D21" s="1334">
        <v>1948</v>
      </c>
      <c r="E21" s="1334">
        <v>1</v>
      </c>
      <c r="F21" s="1335">
        <v>175</v>
      </c>
      <c r="G21" s="1334" t="s">
        <v>2940</v>
      </c>
      <c r="H21" s="1334">
        <v>395</v>
      </c>
      <c r="I21" s="1334" t="s">
        <v>2857</v>
      </c>
      <c r="J21" s="1334"/>
      <c r="K21" s="1334"/>
      <c r="L21" s="1334">
        <v>375</v>
      </c>
      <c r="M21" s="1334" t="s">
        <v>1647</v>
      </c>
      <c r="N21" s="1950">
        <v>59</v>
      </c>
    </row>
    <row r="22" spans="1:14">
      <c r="A22" s="1339">
        <v>16</v>
      </c>
      <c r="B22" s="1338" t="s">
        <v>2858</v>
      </c>
      <c r="C22" s="1334" t="s">
        <v>2939</v>
      </c>
      <c r="D22" s="1334">
        <v>1948</v>
      </c>
      <c r="E22" s="1334">
        <v>1</v>
      </c>
      <c r="F22" s="1335">
        <v>203</v>
      </c>
      <c r="G22" s="1334" t="s">
        <v>2940</v>
      </c>
      <c r="H22" s="1334">
        <v>500</v>
      </c>
      <c r="I22" s="1334" t="s">
        <v>2941</v>
      </c>
      <c r="J22" s="1334"/>
      <c r="K22" s="1334"/>
      <c r="L22" s="1334">
        <v>225</v>
      </c>
      <c r="M22" s="1334" t="s">
        <v>1647</v>
      </c>
      <c r="N22" s="1344">
        <v>214</v>
      </c>
    </row>
    <row r="23" spans="1:14">
      <c r="A23" s="1339">
        <v>20</v>
      </c>
      <c r="B23" s="1338" t="s">
        <v>2858</v>
      </c>
      <c r="C23" s="1334" t="s">
        <v>2939</v>
      </c>
      <c r="D23" s="1334">
        <v>1954</v>
      </c>
      <c r="E23" s="1334">
        <v>1</v>
      </c>
      <c r="F23" s="1335">
        <v>164.3</v>
      </c>
      <c r="G23" s="1334" t="s">
        <v>2940</v>
      </c>
      <c r="H23" s="1334">
        <v>555</v>
      </c>
      <c r="I23" s="1334" t="s">
        <v>2859</v>
      </c>
      <c r="J23" s="1334"/>
      <c r="K23" s="1334"/>
      <c r="L23" s="1334">
        <v>150</v>
      </c>
      <c r="M23" s="1334" t="s">
        <v>1647</v>
      </c>
      <c r="N23" s="1331" t="s">
        <v>1652</v>
      </c>
    </row>
    <row r="24" spans="1:14">
      <c r="A24" s="1339">
        <v>22</v>
      </c>
      <c r="B24" s="1338" t="s">
        <v>2860</v>
      </c>
      <c r="C24" s="1334" t="s">
        <v>2939</v>
      </c>
      <c r="D24" s="1334">
        <v>1954</v>
      </c>
      <c r="E24" s="1334">
        <v>1</v>
      </c>
      <c r="F24" s="1335">
        <v>223.5</v>
      </c>
      <c r="G24" s="1334" t="s">
        <v>2940</v>
      </c>
      <c r="H24" s="1334">
        <v>655</v>
      </c>
      <c r="I24" s="1334" t="s">
        <v>2859</v>
      </c>
      <c r="J24" s="1334"/>
      <c r="K24" s="1334"/>
      <c r="L24" s="1334">
        <v>150</v>
      </c>
      <c r="M24" s="1334" t="s">
        <v>1647</v>
      </c>
      <c r="N24" s="1331" t="s">
        <v>1652</v>
      </c>
    </row>
    <row r="25" spans="1:14" ht="12" customHeight="1">
      <c r="A25" s="1339"/>
      <c r="B25" s="1343"/>
      <c r="C25" s="1334"/>
      <c r="D25" s="1334"/>
      <c r="E25" s="1334"/>
      <c r="F25" s="1335"/>
      <c r="G25" s="1334"/>
      <c r="H25" s="1334"/>
      <c r="I25" s="1334"/>
      <c r="J25" s="1334"/>
      <c r="K25" s="1334"/>
      <c r="L25" s="1334"/>
      <c r="M25" s="1334"/>
      <c r="N25" s="1331"/>
    </row>
    <row r="26" spans="1:14">
      <c r="A26" s="1339"/>
      <c r="B26" s="1336"/>
      <c r="C26" s="1334"/>
      <c r="D26" s="1334"/>
      <c r="E26" s="1334"/>
      <c r="F26" s="1335"/>
      <c r="G26" s="1334"/>
      <c r="H26" s="1334"/>
      <c r="I26" s="1334"/>
      <c r="J26" s="1334"/>
      <c r="K26" s="1334"/>
      <c r="L26" s="1334"/>
      <c r="M26" s="1334"/>
      <c r="N26" s="1331"/>
    </row>
    <row r="27" spans="1:14">
      <c r="A27" s="1320"/>
      <c r="B27" s="1337" t="s">
        <v>2861</v>
      </c>
      <c r="C27" s="1334"/>
      <c r="D27" s="1334"/>
      <c r="E27" s="1334"/>
      <c r="F27" s="1335"/>
      <c r="G27" s="1334"/>
      <c r="H27" s="1334"/>
      <c r="I27" s="1334"/>
      <c r="J27" s="1334"/>
      <c r="K27" s="1334"/>
      <c r="L27" s="1334"/>
      <c r="M27" s="1334"/>
      <c r="N27" s="1331"/>
    </row>
    <row r="28" spans="1:14">
      <c r="A28" s="1320">
        <v>19</v>
      </c>
      <c r="B28" s="1338" t="s">
        <v>2862</v>
      </c>
      <c r="C28" s="1334" t="s">
        <v>2939</v>
      </c>
      <c r="D28" s="1334">
        <v>1954</v>
      </c>
      <c r="E28" s="1334">
        <v>1</v>
      </c>
      <c r="F28" s="1335">
        <v>278.7</v>
      </c>
      <c r="G28" s="1334" t="s">
        <v>2940</v>
      </c>
      <c r="H28" s="1334">
        <v>477</v>
      </c>
      <c r="I28" s="1334" t="s">
        <v>2863</v>
      </c>
      <c r="J28" s="1334"/>
      <c r="K28" s="1334"/>
      <c r="L28" s="1334">
        <v>165</v>
      </c>
      <c r="M28" s="1334" t="s">
        <v>2947</v>
      </c>
      <c r="N28" s="1331" t="s">
        <v>1652</v>
      </c>
    </row>
    <row r="29" spans="1:14">
      <c r="A29" s="1339">
        <v>21</v>
      </c>
      <c r="B29" s="1338" t="s">
        <v>2864</v>
      </c>
      <c r="C29" s="1334" t="s">
        <v>2939</v>
      </c>
      <c r="D29" s="1334">
        <v>1954</v>
      </c>
      <c r="E29" s="1334">
        <v>1</v>
      </c>
      <c r="F29" s="1335">
        <v>294.3</v>
      </c>
      <c r="G29" s="1334" t="s">
        <v>2940</v>
      </c>
      <c r="H29" s="1334">
        <v>601</v>
      </c>
      <c r="I29" s="1334">
        <v>8</v>
      </c>
      <c r="J29" s="1334"/>
      <c r="K29" s="1334"/>
      <c r="L29" s="1334">
        <v>150</v>
      </c>
      <c r="M29" s="1334" t="s">
        <v>2947</v>
      </c>
      <c r="N29" s="1950">
        <v>74</v>
      </c>
    </row>
    <row r="30" spans="1:14">
      <c r="A30" s="1340">
        <v>13</v>
      </c>
      <c r="B30" s="1338" t="s">
        <v>2865</v>
      </c>
      <c r="C30" s="1334" t="s">
        <v>2939</v>
      </c>
      <c r="D30" s="1334">
        <v>1943</v>
      </c>
      <c r="E30" s="1334">
        <v>1</v>
      </c>
      <c r="F30" s="1335">
        <v>262</v>
      </c>
      <c r="G30" s="1334" t="s">
        <v>2940</v>
      </c>
      <c r="H30" s="1334">
        <v>325</v>
      </c>
      <c r="I30" s="1334" t="s">
        <v>2859</v>
      </c>
      <c r="J30" s="1334"/>
      <c r="K30" s="1334"/>
      <c r="L30" s="1334">
        <v>440</v>
      </c>
      <c r="M30" s="1334" t="s">
        <v>1647</v>
      </c>
      <c r="N30" s="1950">
        <v>132</v>
      </c>
    </row>
    <row r="31" spans="1:14">
      <c r="A31" s="1340">
        <v>14</v>
      </c>
      <c r="B31" s="1338" t="s">
        <v>2865</v>
      </c>
      <c r="C31" s="1334" t="s">
        <v>2939</v>
      </c>
      <c r="D31" s="1334">
        <v>1943</v>
      </c>
      <c r="E31" s="1334">
        <v>1</v>
      </c>
      <c r="F31" s="1335">
        <v>275</v>
      </c>
      <c r="G31" s="1334" t="s">
        <v>2940</v>
      </c>
      <c r="H31" s="1334">
        <v>375</v>
      </c>
      <c r="I31" s="1334" t="s">
        <v>2946</v>
      </c>
      <c r="J31" s="1334"/>
      <c r="K31" s="1334"/>
      <c r="L31" s="1334">
        <v>440</v>
      </c>
      <c r="M31" s="1334" t="s">
        <v>1647</v>
      </c>
      <c r="N31" s="1950">
        <v>118</v>
      </c>
    </row>
    <row r="32" spans="1:14">
      <c r="A32" s="1340">
        <v>32</v>
      </c>
      <c r="B32" s="1338" t="s">
        <v>3469</v>
      </c>
      <c r="C32" s="1334" t="s">
        <v>2939</v>
      </c>
      <c r="D32" s="1334">
        <v>1964</v>
      </c>
      <c r="E32" s="1334">
        <v>1</v>
      </c>
      <c r="F32" s="1335">
        <v>307.5</v>
      </c>
      <c r="G32" s="1334" t="s">
        <v>2940</v>
      </c>
      <c r="H32" s="1334">
        <v>308</v>
      </c>
      <c r="I32" s="1334" t="s">
        <v>2866</v>
      </c>
      <c r="J32" s="1334"/>
      <c r="K32" s="1334"/>
      <c r="L32" s="1334">
        <v>300</v>
      </c>
      <c r="M32" s="1334" t="s">
        <v>1647</v>
      </c>
      <c r="N32" s="1950">
        <v>89</v>
      </c>
    </row>
    <row r="33" spans="1:14">
      <c r="A33" s="1340">
        <v>23</v>
      </c>
      <c r="B33" s="1338" t="s">
        <v>2867</v>
      </c>
      <c r="C33" s="1334" t="s">
        <v>2939</v>
      </c>
      <c r="D33" s="1334">
        <v>1954</v>
      </c>
      <c r="E33" s="1334">
        <v>1</v>
      </c>
      <c r="F33" s="1335">
        <v>206.7</v>
      </c>
      <c r="G33" s="1334" t="s">
        <v>2940</v>
      </c>
      <c r="H33" s="1334">
        <v>430</v>
      </c>
      <c r="I33" s="1334" t="s">
        <v>2863</v>
      </c>
      <c r="J33" s="1334"/>
      <c r="K33" s="1334"/>
      <c r="L33" s="1334">
        <v>300</v>
      </c>
      <c r="M33" s="1334" t="s">
        <v>1647</v>
      </c>
      <c r="N33" s="1331" t="s">
        <v>1652</v>
      </c>
    </row>
    <row r="34" spans="1:14">
      <c r="A34" s="1339">
        <v>64</v>
      </c>
      <c r="B34" s="1338" t="s">
        <v>2868</v>
      </c>
      <c r="C34" s="1334" t="s">
        <v>2939</v>
      </c>
      <c r="D34" s="1334">
        <v>1971</v>
      </c>
      <c r="E34" s="1334">
        <v>1</v>
      </c>
      <c r="F34" s="1335">
        <v>296</v>
      </c>
      <c r="G34" s="1334" t="s">
        <v>2940</v>
      </c>
      <c r="H34" s="1334">
        <v>352</v>
      </c>
      <c r="I34" s="1334" t="s">
        <v>2859</v>
      </c>
      <c r="J34" s="1334"/>
      <c r="K34" s="1334"/>
      <c r="L34" s="1334">
        <v>400</v>
      </c>
      <c r="M34" s="1334" t="s">
        <v>2947</v>
      </c>
      <c r="N34" s="1949">
        <v>144</v>
      </c>
    </row>
    <row r="35" spans="1:14">
      <c r="A35" s="1339">
        <v>65</v>
      </c>
      <c r="B35" s="1338" t="s">
        <v>2869</v>
      </c>
      <c r="C35" s="1334" t="s">
        <v>2939</v>
      </c>
      <c r="D35" s="1334">
        <v>1972</v>
      </c>
      <c r="E35" s="1334">
        <v>1</v>
      </c>
      <c r="F35" s="1335">
        <v>379.5</v>
      </c>
      <c r="G35" s="1334" t="s">
        <v>2940</v>
      </c>
      <c r="H35" s="1334">
        <v>404</v>
      </c>
      <c r="I35" s="1334" t="s">
        <v>2863</v>
      </c>
      <c r="J35" s="1334"/>
      <c r="K35" s="1334"/>
      <c r="L35" s="1334">
        <v>650</v>
      </c>
      <c r="M35" s="1334" t="s">
        <v>1647</v>
      </c>
      <c r="N35" s="1950">
        <v>189</v>
      </c>
    </row>
    <row r="36" spans="1:14">
      <c r="A36" s="1320">
        <v>66</v>
      </c>
      <c r="B36" s="1338" t="s">
        <v>2870</v>
      </c>
      <c r="C36" s="1334" t="s">
        <v>2939</v>
      </c>
      <c r="D36" s="1334">
        <v>1972</v>
      </c>
      <c r="E36" s="1334">
        <v>1</v>
      </c>
      <c r="F36" s="1335">
        <v>140</v>
      </c>
      <c r="G36" s="1334" t="s">
        <v>2940</v>
      </c>
      <c r="H36" s="1334">
        <v>401</v>
      </c>
      <c r="I36" s="1334" t="s">
        <v>2857</v>
      </c>
      <c r="J36" s="1334"/>
      <c r="K36" s="1334"/>
      <c r="L36" s="1334">
        <v>350</v>
      </c>
      <c r="M36" s="1334" t="s">
        <v>1647</v>
      </c>
      <c r="N36" s="1344">
        <v>27</v>
      </c>
    </row>
    <row r="37" spans="1:14" ht="13.5" customHeight="1">
      <c r="A37" s="1320">
        <v>70</v>
      </c>
      <c r="B37" s="1338" t="s">
        <v>2871</v>
      </c>
      <c r="C37" s="1334" t="s">
        <v>2939</v>
      </c>
      <c r="D37" s="1334">
        <v>1971</v>
      </c>
      <c r="E37" s="1334">
        <v>1</v>
      </c>
      <c r="F37" s="1335">
        <v>346.5</v>
      </c>
      <c r="G37" s="1334" t="s">
        <v>2940</v>
      </c>
      <c r="H37" s="1334">
        <v>450</v>
      </c>
      <c r="I37" s="1334" t="s">
        <v>2941</v>
      </c>
      <c r="J37" s="1334"/>
      <c r="K37" s="1334"/>
      <c r="L37" s="1334">
        <v>200</v>
      </c>
      <c r="M37" s="1334" t="s">
        <v>2947</v>
      </c>
      <c r="N37" s="1344">
        <v>43</v>
      </c>
    </row>
    <row r="38" spans="1:14" ht="15" customHeight="1">
      <c r="A38" s="1320">
        <v>73</v>
      </c>
      <c r="B38" s="1338" t="s">
        <v>3468</v>
      </c>
      <c r="C38" s="1334" t="s">
        <v>2939</v>
      </c>
      <c r="D38" s="1334">
        <v>1972</v>
      </c>
      <c r="E38" s="1334">
        <v>1</v>
      </c>
      <c r="F38" s="1335">
        <v>302</v>
      </c>
      <c r="G38" s="1334" t="s">
        <v>2940</v>
      </c>
      <c r="H38" s="1334">
        <v>363</v>
      </c>
      <c r="I38" s="1334" t="s">
        <v>2859</v>
      </c>
      <c r="J38" s="1334"/>
      <c r="K38" s="1334"/>
      <c r="L38" s="1334">
        <v>700</v>
      </c>
      <c r="M38" s="1334" t="s">
        <v>1647</v>
      </c>
      <c r="N38" s="1950">
        <v>203</v>
      </c>
    </row>
    <row r="39" spans="1:14">
      <c r="A39" s="1320">
        <v>79</v>
      </c>
      <c r="B39" s="1338" t="s">
        <v>4467</v>
      </c>
      <c r="C39" s="1334" t="s">
        <v>2939</v>
      </c>
      <c r="D39" s="1334">
        <v>1976</v>
      </c>
      <c r="E39" s="1334">
        <v>1</v>
      </c>
      <c r="F39" s="1335">
        <v>131</v>
      </c>
      <c r="G39" s="1334" t="s">
        <v>2940</v>
      </c>
      <c r="H39" s="1334">
        <v>400</v>
      </c>
      <c r="I39" s="1334" t="s">
        <v>2859</v>
      </c>
      <c r="J39" s="1334"/>
      <c r="K39" s="1334"/>
      <c r="L39" s="1334">
        <v>150</v>
      </c>
      <c r="M39" s="1334" t="s">
        <v>2947</v>
      </c>
      <c r="N39" s="1950">
        <v>51</v>
      </c>
    </row>
    <row r="40" spans="1:14">
      <c r="A40" s="83"/>
      <c r="B40" s="1338"/>
      <c r="C40" s="238"/>
      <c r="D40" s="1334"/>
      <c r="E40" s="1334"/>
      <c r="F40" s="1335"/>
      <c r="G40" s="1334"/>
      <c r="H40" s="1334"/>
      <c r="I40" s="1334"/>
      <c r="J40" s="1334"/>
      <c r="K40" s="1334"/>
      <c r="L40" s="238"/>
      <c r="M40" s="238"/>
      <c r="N40" s="2232"/>
    </row>
    <row r="41" spans="1:14">
      <c r="A41" s="1320"/>
      <c r="B41" s="1338"/>
      <c r="C41" s="1334"/>
      <c r="D41" s="1334"/>
      <c r="E41" s="1334"/>
      <c r="F41" s="1335"/>
      <c r="G41" s="1334"/>
      <c r="H41" s="1334"/>
      <c r="I41" s="1334"/>
      <c r="J41" s="1334"/>
      <c r="K41" s="1334"/>
      <c r="L41" s="1334"/>
      <c r="M41" s="1334"/>
      <c r="N41" s="1331"/>
    </row>
    <row r="42" spans="1:14">
      <c r="A42" s="1320"/>
      <c r="B42" s="1337" t="s">
        <v>2872</v>
      </c>
      <c r="C42" s="1334"/>
      <c r="D42" s="1334"/>
      <c r="E42" s="1334"/>
      <c r="F42" s="1335"/>
      <c r="G42" s="1334"/>
      <c r="H42" s="1334"/>
      <c r="I42" s="1334"/>
      <c r="J42" s="1334"/>
      <c r="K42" s="1334"/>
      <c r="L42" s="1341"/>
      <c r="M42" s="1334"/>
      <c r="N42" s="1344"/>
    </row>
    <row r="43" spans="1:14">
      <c r="A43" s="1320">
        <v>30</v>
      </c>
      <c r="B43" s="1338" t="s">
        <v>2873</v>
      </c>
      <c r="C43" s="1334" t="s">
        <v>2939</v>
      </c>
      <c r="D43" s="1334">
        <v>1929</v>
      </c>
      <c r="E43" s="1334">
        <v>1</v>
      </c>
      <c r="F43" s="1335">
        <v>619.6</v>
      </c>
      <c r="G43" s="1334" t="s">
        <v>2940</v>
      </c>
      <c r="H43" s="1334">
        <v>420</v>
      </c>
      <c r="I43" s="1334" t="s">
        <v>2874</v>
      </c>
      <c r="J43" s="1334"/>
      <c r="K43" s="1334"/>
      <c r="L43" s="1334">
        <v>250</v>
      </c>
      <c r="M43" s="1334" t="s">
        <v>2947</v>
      </c>
      <c r="N43" s="1344">
        <v>187</v>
      </c>
    </row>
    <row r="44" spans="1:14">
      <c r="A44" s="1320">
        <v>31</v>
      </c>
      <c r="B44" s="1338" t="s">
        <v>4468</v>
      </c>
      <c r="C44" s="1334" t="s">
        <v>2939</v>
      </c>
      <c r="D44" s="1334">
        <v>1946</v>
      </c>
      <c r="E44" s="1334">
        <v>1</v>
      </c>
      <c r="F44" s="1335">
        <v>509.5</v>
      </c>
      <c r="G44" s="1334" t="s">
        <v>2940</v>
      </c>
      <c r="H44" s="1334">
        <v>357</v>
      </c>
      <c r="I44" s="1334" t="s">
        <v>4469</v>
      </c>
      <c r="J44" s="1334"/>
      <c r="K44" s="1334"/>
      <c r="L44" s="1334">
        <v>200</v>
      </c>
      <c r="M44" s="1334" t="s">
        <v>1647</v>
      </c>
      <c r="N44" s="1344" t="s">
        <v>4411</v>
      </c>
    </row>
    <row r="45" spans="1:14">
      <c r="A45" s="1320" t="s">
        <v>2875</v>
      </c>
      <c r="B45" s="1338" t="s">
        <v>2873</v>
      </c>
      <c r="C45" s="1334" t="s">
        <v>2939</v>
      </c>
      <c r="D45" s="1334">
        <v>1996</v>
      </c>
      <c r="E45" s="1334">
        <v>1</v>
      </c>
      <c r="F45" s="1335">
        <v>510</v>
      </c>
      <c r="G45" s="1334" t="s">
        <v>2940</v>
      </c>
      <c r="H45" s="1334">
        <v>250</v>
      </c>
      <c r="I45" s="1334" t="s">
        <v>2859</v>
      </c>
      <c r="J45" s="1334"/>
      <c r="K45" s="1334"/>
      <c r="L45" s="1334">
        <v>225</v>
      </c>
      <c r="M45" s="1334" t="s">
        <v>2947</v>
      </c>
      <c r="N45" s="1344">
        <v>63</v>
      </c>
    </row>
    <row r="46" spans="1:14">
      <c r="A46" s="1320">
        <v>37</v>
      </c>
      <c r="B46" s="1338" t="s">
        <v>2876</v>
      </c>
      <c r="C46" s="1334" t="s">
        <v>2939</v>
      </c>
      <c r="D46" s="1334">
        <v>1965</v>
      </c>
      <c r="E46" s="1334">
        <v>1</v>
      </c>
      <c r="F46" s="1335">
        <v>410</v>
      </c>
      <c r="G46" s="1334" t="s">
        <v>2940</v>
      </c>
      <c r="H46" s="1334">
        <v>411</v>
      </c>
      <c r="I46" s="1334">
        <v>8</v>
      </c>
      <c r="J46" s="1334"/>
      <c r="K46" s="1334"/>
      <c r="L46" s="1334">
        <v>250</v>
      </c>
      <c r="M46" s="1334" t="s">
        <v>2947</v>
      </c>
      <c r="N46" s="1344" t="s">
        <v>4411</v>
      </c>
    </row>
    <row r="47" spans="1:14">
      <c r="A47" s="1320">
        <v>38</v>
      </c>
      <c r="B47" s="1338" t="s">
        <v>2876</v>
      </c>
      <c r="C47" s="1334" t="s">
        <v>2939</v>
      </c>
      <c r="D47" s="1334">
        <v>1965</v>
      </c>
      <c r="E47" s="1334">
        <v>1</v>
      </c>
      <c r="F47" s="1335">
        <v>410</v>
      </c>
      <c r="G47" s="1334" t="s">
        <v>2940</v>
      </c>
      <c r="H47" s="1334">
        <v>399</v>
      </c>
      <c r="I47" s="1334">
        <v>8</v>
      </c>
      <c r="J47" s="1334"/>
      <c r="K47" s="1334"/>
      <c r="L47" s="1334">
        <v>500</v>
      </c>
      <c r="M47" s="1334" t="s">
        <v>1647</v>
      </c>
      <c r="N47" s="1344">
        <v>308</v>
      </c>
    </row>
    <row r="48" spans="1:14">
      <c r="A48" s="1320">
        <v>53</v>
      </c>
      <c r="B48" s="1338" t="s">
        <v>1601</v>
      </c>
      <c r="C48" s="1334" t="s">
        <v>2939</v>
      </c>
      <c r="D48" s="1334">
        <v>1969</v>
      </c>
      <c r="E48" s="1334">
        <v>1</v>
      </c>
      <c r="F48" s="1335">
        <v>296</v>
      </c>
      <c r="G48" s="1334" t="s">
        <v>2940</v>
      </c>
      <c r="H48" s="1334">
        <v>351</v>
      </c>
      <c r="I48" s="1334" t="s">
        <v>2857</v>
      </c>
      <c r="J48" s="1334"/>
      <c r="K48" s="1334"/>
      <c r="L48" s="1334">
        <v>500</v>
      </c>
      <c r="M48" s="1334" t="s">
        <v>1647</v>
      </c>
      <c r="N48" s="1344">
        <v>216</v>
      </c>
    </row>
    <row r="49" spans="1:14">
      <c r="A49" s="1320">
        <v>26</v>
      </c>
      <c r="B49" s="1338" t="s">
        <v>1983</v>
      </c>
      <c r="C49" s="1334" t="s">
        <v>2939</v>
      </c>
      <c r="D49" s="1334">
        <v>1960</v>
      </c>
      <c r="E49" s="1334">
        <v>1</v>
      </c>
      <c r="F49" s="1335">
        <v>434</v>
      </c>
      <c r="G49" s="1334" t="s">
        <v>2940</v>
      </c>
      <c r="H49" s="1334">
        <v>437</v>
      </c>
      <c r="I49" s="1334" t="s">
        <v>2863</v>
      </c>
      <c r="J49" s="1334"/>
      <c r="K49" s="1334"/>
      <c r="L49" s="1334">
        <v>400</v>
      </c>
      <c r="M49" s="1334" t="s">
        <v>2947</v>
      </c>
      <c r="N49" s="1344">
        <v>143</v>
      </c>
    </row>
    <row r="50" spans="1:14">
      <c r="A50" s="1320">
        <v>28</v>
      </c>
      <c r="B50" s="1338" t="s">
        <v>1984</v>
      </c>
      <c r="C50" s="1334" t="s">
        <v>2939</v>
      </c>
      <c r="D50" s="1334">
        <v>1928</v>
      </c>
      <c r="E50" s="1334">
        <v>1</v>
      </c>
      <c r="F50" s="1335">
        <v>594</v>
      </c>
      <c r="G50" s="1334" t="s">
        <v>2940</v>
      </c>
      <c r="H50" s="1334">
        <v>215</v>
      </c>
      <c r="I50" s="1334" t="s">
        <v>1985</v>
      </c>
      <c r="J50" s="1334"/>
      <c r="K50" s="1334"/>
      <c r="L50" s="1334">
        <v>700</v>
      </c>
      <c r="M50" s="1334" t="s">
        <v>1647</v>
      </c>
      <c r="N50" s="1344">
        <v>232</v>
      </c>
    </row>
    <row r="51" spans="1:14">
      <c r="A51" s="1339">
        <v>106</v>
      </c>
      <c r="B51" s="1338" t="s">
        <v>1984</v>
      </c>
      <c r="C51" s="1334" t="s">
        <v>2939</v>
      </c>
      <c r="D51" s="1334">
        <v>1995</v>
      </c>
      <c r="E51" s="1334">
        <v>1</v>
      </c>
      <c r="F51" s="1335">
        <v>594</v>
      </c>
      <c r="G51" s="1334" t="s">
        <v>2940</v>
      </c>
      <c r="H51" s="1334">
        <v>440</v>
      </c>
      <c r="I51" s="1334" t="s">
        <v>2168</v>
      </c>
      <c r="J51" s="1334"/>
      <c r="K51" s="1334"/>
      <c r="L51" s="1334">
        <v>700</v>
      </c>
      <c r="M51" s="1334" t="s">
        <v>2947</v>
      </c>
      <c r="N51" s="1344">
        <v>156</v>
      </c>
    </row>
    <row r="52" spans="1:14" ht="13.5" customHeight="1">
      <c r="A52" s="1320" t="s">
        <v>1986</v>
      </c>
      <c r="B52" s="1338" t="s">
        <v>1987</v>
      </c>
      <c r="C52" s="1334" t="s">
        <v>2939</v>
      </c>
      <c r="D52" s="1341">
        <v>1985</v>
      </c>
      <c r="E52" s="1334">
        <v>1</v>
      </c>
      <c r="F52" s="1335">
        <v>398</v>
      </c>
      <c r="G52" s="1334" t="s">
        <v>2940</v>
      </c>
      <c r="H52" s="1334">
        <v>66.5</v>
      </c>
      <c r="I52" s="1334">
        <v>12</v>
      </c>
      <c r="J52" s="1334"/>
      <c r="K52" s="1334"/>
      <c r="L52" s="1334">
        <v>150</v>
      </c>
      <c r="M52" s="1334" t="s">
        <v>2947</v>
      </c>
      <c r="N52" s="1344">
        <v>74</v>
      </c>
    </row>
    <row r="53" spans="1:14" ht="13.5" customHeight="1">
      <c r="A53" s="1320" t="s">
        <v>1988</v>
      </c>
      <c r="B53" s="1338" t="s">
        <v>1987</v>
      </c>
      <c r="C53" s="1334" t="s">
        <v>2939</v>
      </c>
      <c r="D53" s="1334">
        <v>1985</v>
      </c>
      <c r="E53" s="1334">
        <v>1</v>
      </c>
      <c r="F53" s="1335">
        <v>398</v>
      </c>
      <c r="G53" s="1334" t="s">
        <v>2940</v>
      </c>
      <c r="H53" s="1334">
        <v>107</v>
      </c>
      <c r="I53" s="1334" t="s">
        <v>2857</v>
      </c>
      <c r="J53" s="1334"/>
      <c r="K53" s="1329"/>
      <c r="L53" s="1334">
        <v>350</v>
      </c>
      <c r="M53" s="1334" t="s">
        <v>2947</v>
      </c>
      <c r="N53" s="1344">
        <v>180</v>
      </c>
    </row>
    <row r="54" spans="1:14" ht="12.75" customHeight="1">
      <c r="A54" s="1320">
        <v>68</v>
      </c>
      <c r="B54" s="1338" t="s">
        <v>1989</v>
      </c>
      <c r="C54" s="1334" t="s">
        <v>2939</v>
      </c>
      <c r="D54" s="1334">
        <v>1972</v>
      </c>
      <c r="E54" s="1334">
        <v>1</v>
      </c>
      <c r="F54" s="1335">
        <v>378</v>
      </c>
      <c r="G54" s="1334" t="s">
        <v>2940</v>
      </c>
      <c r="H54" s="1334">
        <v>455</v>
      </c>
      <c r="I54" s="1334" t="s">
        <v>2857</v>
      </c>
      <c r="J54" s="1334"/>
      <c r="K54" s="1329"/>
      <c r="L54" s="1334">
        <v>350</v>
      </c>
      <c r="M54" s="1334" t="s">
        <v>2947</v>
      </c>
      <c r="N54" s="1950">
        <v>50</v>
      </c>
    </row>
    <row r="55" spans="1:14" ht="12.75" customHeight="1">
      <c r="A55" s="1320">
        <v>71</v>
      </c>
      <c r="B55" s="1338" t="s">
        <v>1990</v>
      </c>
      <c r="C55" s="1334" t="s">
        <v>2939</v>
      </c>
      <c r="D55" s="1334">
        <v>1972</v>
      </c>
      <c r="E55" s="1334">
        <v>1</v>
      </c>
      <c r="F55" s="1335">
        <v>447.5</v>
      </c>
      <c r="G55" s="1334" t="s">
        <v>2940</v>
      </c>
      <c r="H55" s="1334">
        <v>406</v>
      </c>
      <c r="I55" s="1334" t="s">
        <v>1991</v>
      </c>
      <c r="J55" s="1334"/>
      <c r="K55" s="1329"/>
      <c r="L55" s="1341">
        <v>300</v>
      </c>
      <c r="M55" s="1334" t="s">
        <v>1647</v>
      </c>
      <c r="N55" s="1950">
        <v>185</v>
      </c>
    </row>
    <row r="56" spans="1:14" ht="12.75" customHeight="1" thickBot="1">
      <c r="A56" s="1347">
        <v>72</v>
      </c>
      <c r="B56" s="1348" t="s">
        <v>1992</v>
      </c>
      <c r="C56" s="1349" t="s">
        <v>2939</v>
      </c>
      <c r="D56" s="1349">
        <v>1972</v>
      </c>
      <c r="E56" s="1349">
        <v>1</v>
      </c>
      <c r="F56" s="1350">
        <v>418</v>
      </c>
      <c r="G56" s="1349" t="s">
        <v>2940</v>
      </c>
      <c r="H56" s="1349">
        <v>401</v>
      </c>
      <c r="I56" s="1349" t="s">
        <v>1991</v>
      </c>
      <c r="J56" s="1349"/>
      <c r="K56" s="1351"/>
      <c r="L56" s="1349">
        <v>560</v>
      </c>
      <c r="M56" s="1349" t="s">
        <v>1647</v>
      </c>
      <c r="N56" s="1951">
        <v>227</v>
      </c>
    </row>
    <row r="57" spans="1:14" ht="11.25" customHeight="1">
      <c r="A57" s="1352" t="s">
        <v>1993</v>
      </c>
      <c r="B57" s="1357" t="s">
        <v>1994</v>
      </c>
      <c r="C57" s="1353"/>
      <c r="D57" s="1353"/>
      <c r="E57" s="1353"/>
      <c r="F57" s="1354"/>
      <c r="G57" s="1353"/>
      <c r="H57" s="1353"/>
      <c r="I57" s="1353"/>
      <c r="J57" s="1353"/>
      <c r="K57" s="1355"/>
      <c r="L57" s="1353"/>
      <c r="M57" s="1353"/>
      <c r="N57" s="1356"/>
    </row>
    <row r="58" spans="1:14" ht="12.75" customHeight="1">
      <c r="A58" s="1352"/>
      <c r="B58" s="1358" t="s">
        <v>3686</v>
      </c>
      <c r="C58" s="1353"/>
      <c r="D58" s="1353"/>
      <c r="E58" s="1353"/>
      <c r="F58" s="1354"/>
      <c r="G58" s="1353"/>
      <c r="H58" s="1353"/>
      <c r="I58" s="1353"/>
      <c r="J58" s="1353"/>
      <c r="K58" s="1355"/>
      <c r="L58" s="1353"/>
      <c r="M58" s="1353"/>
      <c r="N58" s="1356"/>
    </row>
    <row r="59" spans="1:14" ht="12.75" customHeight="1">
      <c r="A59" s="1352"/>
      <c r="B59" s="1358" t="s">
        <v>3687</v>
      </c>
      <c r="C59" s="1353"/>
      <c r="D59" s="1353"/>
      <c r="E59" s="1353"/>
      <c r="F59" s="1354"/>
      <c r="G59" s="1353"/>
      <c r="H59" s="1353"/>
      <c r="I59" s="1353"/>
      <c r="J59" s="1353"/>
      <c r="K59" s="1355"/>
      <c r="L59" s="1353"/>
      <c r="M59" s="1353"/>
      <c r="N59" s="1356"/>
    </row>
    <row r="60" spans="1:14" ht="12.75" customHeight="1">
      <c r="A60" s="1352"/>
      <c r="B60" s="1358" t="s">
        <v>4470</v>
      </c>
      <c r="C60" s="1353"/>
      <c r="D60" s="1353"/>
      <c r="E60" s="1353"/>
      <c r="F60" s="1354"/>
      <c r="G60" s="1353"/>
      <c r="H60" s="1353"/>
      <c r="I60" s="1353"/>
      <c r="J60" s="1353"/>
      <c r="K60" s="1355"/>
      <c r="L60" s="1353"/>
      <c r="M60" s="1353"/>
      <c r="N60" s="1356"/>
    </row>
    <row r="61" spans="1:14">
      <c r="A61" s="1352"/>
      <c r="B61" s="1358" t="s">
        <v>2290</v>
      </c>
      <c r="C61" s="1353"/>
      <c r="D61" s="1353"/>
      <c r="E61" s="1353"/>
      <c r="F61" s="1354"/>
      <c r="G61" s="1353"/>
      <c r="H61" s="1353"/>
      <c r="I61" s="1353"/>
      <c r="J61" s="1353"/>
      <c r="K61" s="1355"/>
      <c r="L61" s="1353"/>
      <c r="M61" s="1353"/>
      <c r="N61" s="1356"/>
    </row>
    <row r="62" spans="1:14">
      <c r="A62" s="1352"/>
      <c r="B62" s="1358" t="s">
        <v>2291</v>
      </c>
      <c r="C62" s="1353"/>
      <c r="D62" s="1353"/>
      <c r="E62" s="1353"/>
      <c r="F62" s="1354"/>
      <c r="G62" s="1353"/>
      <c r="H62" s="1353"/>
      <c r="I62" s="1353"/>
      <c r="J62" s="1353"/>
      <c r="K62" s="1355"/>
      <c r="L62" s="1353"/>
      <c r="M62" s="1353"/>
      <c r="N62" s="1356"/>
    </row>
    <row r="63" spans="1:14">
      <c r="A63" s="1352"/>
      <c r="B63" s="1358" t="s">
        <v>2292</v>
      </c>
      <c r="F63" s="979"/>
      <c r="N63" s="1359"/>
    </row>
    <row r="64" spans="1:14" ht="4.5" customHeight="1" thickBot="1">
      <c r="A64" s="1360"/>
      <c r="B64" s="1361"/>
      <c r="C64" s="125"/>
      <c r="D64" s="125"/>
      <c r="E64" s="125"/>
      <c r="F64" s="1362"/>
      <c r="G64" s="125"/>
      <c r="H64" s="125"/>
      <c r="I64" s="125"/>
      <c r="J64" s="125"/>
      <c r="K64" s="125"/>
      <c r="L64" s="125"/>
      <c r="M64" s="125"/>
      <c r="N64" s="1363"/>
    </row>
    <row r="65" spans="1:15">
      <c r="A65" s="432" t="s">
        <v>544</v>
      </c>
      <c r="B65" s="432"/>
      <c r="C65" s="432"/>
      <c r="D65" s="432"/>
      <c r="E65" s="432"/>
      <c r="F65" s="432"/>
      <c r="G65" s="432"/>
      <c r="H65" s="432"/>
      <c r="I65" s="432"/>
      <c r="J65" s="432"/>
      <c r="K65" s="432"/>
      <c r="L65" s="432"/>
      <c r="M65" s="432"/>
      <c r="N65" s="432"/>
      <c r="O65" s="931"/>
    </row>
    <row r="66" spans="1:15">
      <c r="A66" s="1365" t="s">
        <v>2293</v>
      </c>
      <c r="B66" s="1365"/>
      <c r="C66" s="1365"/>
      <c r="D66" s="1365"/>
      <c r="E66" s="1365"/>
      <c r="F66" s="1366"/>
      <c r="G66" s="1365"/>
      <c r="H66" s="1365"/>
      <c r="I66" s="1365"/>
      <c r="J66" s="1367"/>
      <c r="K66" s="1365"/>
      <c r="L66" s="1365"/>
      <c r="M66" s="1365"/>
      <c r="N66" s="1931"/>
      <c r="O66" s="1368"/>
    </row>
    <row r="67" spans="1:15">
      <c r="N67" s="954">
        <f>COUNT(N6:N15,N21:N22,N29:N32,N34:N39,N45,N43,N47:N56)</f>
        <v>29</v>
      </c>
    </row>
  </sheetData>
  <phoneticPr fontId="0" type="noConversion"/>
  <pageMargins left="0.4" right="0.15" top="0.3" bottom="0.05" header="0" footer="0"/>
  <pageSetup scale="62"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N71"/>
  <sheetViews>
    <sheetView zoomScaleNormal="100" workbookViewId="0">
      <pane xSplit="2" ySplit="7" topLeftCell="C8" activePane="bottomRight" state="frozen"/>
      <selection activeCell="S32" sqref="S32"/>
      <selection pane="topRight" activeCell="S32" sqref="S32"/>
      <selection pane="bottomLeft" activeCell="S32" sqref="S32"/>
      <selection pane="bottomRight" activeCell="C65" sqref="C65"/>
    </sheetView>
  </sheetViews>
  <sheetFormatPr defaultRowHeight="15"/>
  <cols>
    <col min="1" max="1" width="12" customWidth="1"/>
    <col min="2" max="2" width="22.33203125" customWidth="1"/>
    <col min="3" max="3" width="9.5546875" customWidth="1"/>
    <col min="4" max="4" width="9.21875" customWidth="1"/>
    <col min="9" max="9" width="10.21875" customWidth="1"/>
    <col min="10" max="10" width="9.21875" customWidth="1"/>
    <col min="13" max="13" width="13.77734375" customWidth="1"/>
    <col min="14" max="14" width="15.33203125" customWidth="1"/>
  </cols>
  <sheetData>
    <row r="1" spans="1:14" ht="15.75" thickBot="1">
      <c r="A1" s="86" t="str">
        <f>'Data sheet'!A69</f>
        <v>Annual Report of Veolia Water New York, Inc.                                                                                                                   Year Ended  December 31, 2023</v>
      </c>
      <c r="B1" s="86"/>
      <c r="C1" s="86"/>
      <c r="D1" s="86"/>
      <c r="E1" s="86"/>
      <c r="F1" s="86"/>
      <c r="G1" s="86"/>
      <c r="H1" s="86"/>
      <c r="I1" s="86"/>
      <c r="J1" s="86"/>
      <c r="K1" s="86"/>
      <c r="L1" s="86"/>
      <c r="M1" s="86"/>
      <c r="N1" s="86"/>
    </row>
    <row r="2" spans="1:14" ht="12" customHeight="1">
      <c r="A2" s="1369"/>
      <c r="B2" s="1370"/>
      <c r="C2" s="1371"/>
      <c r="D2" s="1370"/>
      <c r="E2" s="1370"/>
      <c r="F2" s="1370"/>
      <c r="G2" s="1372" t="s">
        <v>2179</v>
      </c>
      <c r="H2" s="1372"/>
      <c r="I2" s="1372"/>
      <c r="J2" s="1372"/>
      <c r="K2" s="1372"/>
      <c r="L2" s="1372"/>
      <c r="M2" s="1372"/>
      <c r="N2" s="1373"/>
    </row>
    <row r="3" spans="1:14">
      <c r="A3" s="1339"/>
      <c r="B3" s="1374" t="s">
        <v>3055</v>
      </c>
      <c r="C3" s="1375" t="s">
        <v>2180</v>
      </c>
      <c r="D3" s="1374" t="s">
        <v>1387</v>
      </c>
      <c r="E3" s="1374" t="s">
        <v>2181</v>
      </c>
      <c r="F3" s="1374" t="s">
        <v>2182</v>
      </c>
      <c r="G3" s="1374" t="s">
        <v>2570</v>
      </c>
      <c r="H3" s="1374"/>
      <c r="I3" s="1374" t="s">
        <v>2079</v>
      </c>
      <c r="J3" s="1374" t="s">
        <v>2183</v>
      </c>
      <c r="K3" s="1376" t="s">
        <v>2184</v>
      </c>
      <c r="L3" s="1377"/>
      <c r="M3" s="1374"/>
      <c r="N3" s="1378"/>
    </row>
    <row r="4" spans="1:14">
      <c r="A4" s="1339"/>
      <c r="B4" s="1374" t="s">
        <v>2185</v>
      </c>
      <c r="C4" s="1374" t="s">
        <v>2186</v>
      </c>
      <c r="D4" s="1374" t="s">
        <v>4236</v>
      </c>
      <c r="E4" s="1374" t="s">
        <v>2086</v>
      </c>
      <c r="F4" s="1374" t="s">
        <v>2187</v>
      </c>
      <c r="G4" s="1374" t="s">
        <v>2188</v>
      </c>
      <c r="H4" s="1374" t="s">
        <v>993</v>
      </c>
      <c r="I4" s="1374" t="s">
        <v>2189</v>
      </c>
      <c r="J4" s="1374" t="s">
        <v>3063</v>
      </c>
      <c r="K4" s="1374" t="s">
        <v>2190</v>
      </c>
      <c r="L4" s="1374" t="s">
        <v>122</v>
      </c>
      <c r="M4" s="1374" t="s">
        <v>2191</v>
      </c>
      <c r="N4" s="1378"/>
    </row>
    <row r="5" spans="1:14">
      <c r="A5" s="1339" t="s">
        <v>931</v>
      </c>
      <c r="B5" s="1374" t="s">
        <v>2193</v>
      </c>
      <c r="C5" s="1374" t="s">
        <v>2194</v>
      </c>
      <c r="D5" s="1374" t="s">
        <v>2195</v>
      </c>
      <c r="E5" s="1374" t="s">
        <v>2196</v>
      </c>
      <c r="F5" s="1374" t="s">
        <v>2197</v>
      </c>
      <c r="G5" s="1374" t="s">
        <v>2198</v>
      </c>
      <c r="H5" s="1374" t="s">
        <v>3068</v>
      </c>
      <c r="I5" s="1374" t="s">
        <v>2199</v>
      </c>
      <c r="J5" s="1374" t="s">
        <v>2200</v>
      </c>
      <c r="K5" s="1374" t="s">
        <v>2201</v>
      </c>
      <c r="L5" s="1374" t="s">
        <v>2202</v>
      </c>
      <c r="M5" s="1374" t="s">
        <v>852</v>
      </c>
      <c r="N5" s="1378" t="s">
        <v>932</v>
      </c>
    </row>
    <row r="6" spans="1:14">
      <c r="A6" s="1339" t="s">
        <v>2051</v>
      </c>
      <c r="B6" s="1374" t="s">
        <v>2204</v>
      </c>
      <c r="C6" s="1374"/>
      <c r="D6" s="1379"/>
      <c r="E6" s="1374" t="s">
        <v>2205</v>
      </c>
      <c r="F6" s="1374" t="s">
        <v>2206</v>
      </c>
      <c r="G6" s="1374" t="s">
        <v>2207</v>
      </c>
      <c r="H6" s="1379"/>
      <c r="I6" s="1374" t="s">
        <v>3071</v>
      </c>
      <c r="J6" s="1374" t="s">
        <v>2208</v>
      </c>
      <c r="K6" s="1374" t="s">
        <v>3068</v>
      </c>
      <c r="L6" s="1374"/>
      <c r="M6" s="1374"/>
      <c r="N6" s="1378" t="s">
        <v>933</v>
      </c>
    </row>
    <row r="7" spans="1:14">
      <c r="A7" s="1380"/>
      <c r="B7" s="1334" t="s">
        <v>2209</v>
      </c>
      <c r="C7" s="1381" t="s">
        <v>1611</v>
      </c>
      <c r="D7" s="1381" t="s">
        <v>3281</v>
      </c>
      <c r="E7" s="1381" t="s">
        <v>1613</v>
      </c>
      <c r="F7" s="1381" t="s">
        <v>721</v>
      </c>
      <c r="G7" s="1381" t="s">
        <v>722</v>
      </c>
      <c r="H7" s="1381" t="s">
        <v>723</v>
      </c>
      <c r="I7" s="1381" t="s">
        <v>335</v>
      </c>
      <c r="J7" s="1381" t="s">
        <v>336</v>
      </c>
      <c r="K7" s="1381" t="s">
        <v>337</v>
      </c>
      <c r="L7" s="1381" t="s">
        <v>338</v>
      </c>
      <c r="M7" s="1381" t="s">
        <v>339</v>
      </c>
      <c r="N7" s="1790" t="s">
        <v>778</v>
      </c>
    </row>
    <row r="8" spans="1:14">
      <c r="A8" s="1339"/>
      <c r="B8" s="1957" t="s">
        <v>2294</v>
      </c>
      <c r="C8" s="1374"/>
      <c r="D8" s="1374"/>
      <c r="E8" s="1374"/>
      <c r="F8" s="1374"/>
      <c r="G8" s="1374"/>
      <c r="H8" s="1374"/>
      <c r="I8" s="2439"/>
      <c r="J8" s="2440"/>
      <c r="K8" s="2439"/>
      <c r="L8" s="2439"/>
      <c r="M8" s="2439"/>
      <c r="N8" s="2441"/>
    </row>
    <row r="9" spans="1:14">
      <c r="A9" s="1339">
        <v>84</v>
      </c>
      <c r="B9" s="1383" t="s">
        <v>3884</v>
      </c>
      <c r="C9" s="1334" t="s">
        <v>2939</v>
      </c>
      <c r="D9" s="1334">
        <v>1971</v>
      </c>
      <c r="E9" s="1334">
        <v>1</v>
      </c>
      <c r="F9" s="1335">
        <v>289</v>
      </c>
      <c r="G9" s="1334" t="s">
        <v>2940</v>
      </c>
      <c r="H9" s="1334">
        <v>89</v>
      </c>
      <c r="I9" s="2442" t="s">
        <v>2857</v>
      </c>
      <c r="J9" s="2443" t="s">
        <v>2942</v>
      </c>
      <c r="K9" s="2443"/>
      <c r="L9" s="2444">
        <v>1400</v>
      </c>
      <c r="M9" s="2443" t="s">
        <v>1647</v>
      </c>
      <c r="N9" s="2445">
        <v>821</v>
      </c>
    </row>
    <row r="10" spans="1:14">
      <c r="A10" s="1339">
        <v>85</v>
      </c>
      <c r="B10" s="1383" t="s">
        <v>3885</v>
      </c>
      <c r="C10" s="1334" t="s">
        <v>2939</v>
      </c>
      <c r="D10" s="1334">
        <v>1974</v>
      </c>
      <c r="E10" s="1334">
        <v>1</v>
      </c>
      <c r="F10" s="1335">
        <v>290</v>
      </c>
      <c r="G10" s="1334" t="s">
        <v>2940</v>
      </c>
      <c r="H10" s="1334">
        <v>74</v>
      </c>
      <c r="I10" s="2442" t="s">
        <v>2857</v>
      </c>
      <c r="J10" s="2443"/>
      <c r="K10" s="2443"/>
      <c r="L10" s="2444">
        <v>1000</v>
      </c>
      <c r="M10" s="2443" t="s">
        <v>1647</v>
      </c>
      <c r="N10" s="2445">
        <v>474</v>
      </c>
    </row>
    <row r="11" spans="1:14">
      <c r="A11" s="1339">
        <v>93</v>
      </c>
      <c r="B11" s="1383" t="s">
        <v>3886</v>
      </c>
      <c r="C11" s="1334" t="s">
        <v>2939</v>
      </c>
      <c r="D11" s="1334">
        <v>1978</v>
      </c>
      <c r="E11" s="1334">
        <v>1</v>
      </c>
      <c r="F11" s="1334">
        <v>304.75</v>
      </c>
      <c r="G11" s="1334" t="s">
        <v>2940</v>
      </c>
      <c r="H11" s="1334">
        <v>94.5</v>
      </c>
      <c r="I11" s="2443" t="s">
        <v>2863</v>
      </c>
      <c r="J11" s="2443"/>
      <c r="K11" s="2443"/>
      <c r="L11" s="2444">
        <v>600</v>
      </c>
      <c r="M11" s="2443" t="s">
        <v>1647</v>
      </c>
      <c r="N11" s="2445">
        <v>685</v>
      </c>
    </row>
    <row r="12" spans="1:14">
      <c r="A12" s="1339">
        <v>94</v>
      </c>
      <c r="B12" s="1383" t="s">
        <v>3887</v>
      </c>
      <c r="C12" s="1334" t="s">
        <v>2939</v>
      </c>
      <c r="D12" s="1334">
        <v>1978</v>
      </c>
      <c r="E12" s="1334">
        <v>1</v>
      </c>
      <c r="F12" s="1334">
        <v>302.75</v>
      </c>
      <c r="G12" s="1334" t="s">
        <v>2940</v>
      </c>
      <c r="H12" s="1334">
        <v>99.5</v>
      </c>
      <c r="I12" s="2443" t="s">
        <v>2863</v>
      </c>
      <c r="J12" s="2443"/>
      <c r="K12" s="2443"/>
      <c r="L12" s="2444">
        <v>650</v>
      </c>
      <c r="M12" s="2443" t="s">
        <v>1647</v>
      </c>
      <c r="N12" s="2445">
        <v>729</v>
      </c>
    </row>
    <row r="13" spans="1:14">
      <c r="A13" s="1339">
        <v>95</v>
      </c>
      <c r="B13" s="1383" t="s">
        <v>3888</v>
      </c>
      <c r="C13" s="1334" t="s">
        <v>2939</v>
      </c>
      <c r="D13" s="1334">
        <v>1978</v>
      </c>
      <c r="E13" s="1334">
        <v>1</v>
      </c>
      <c r="F13" s="1334">
        <v>300.75</v>
      </c>
      <c r="G13" s="1334" t="s">
        <v>2940</v>
      </c>
      <c r="H13" s="1334">
        <v>93.5</v>
      </c>
      <c r="I13" s="2443" t="s">
        <v>2863</v>
      </c>
      <c r="J13" s="2443"/>
      <c r="K13" s="2443"/>
      <c r="L13" s="2444">
        <v>250</v>
      </c>
      <c r="M13" s="2443" t="s">
        <v>1647</v>
      </c>
      <c r="N13" s="2445">
        <v>641</v>
      </c>
    </row>
    <row r="14" spans="1:14">
      <c r="A14" s="1339">
        <v>96</v>
      </c>
      <c r="B14" s="1383" t="s">
        <v>2620</v>
      </c>
      <c r="C14" s="1334" t="s">
        <v>2939</v>
      </c>
      <c r="D14" s="1334">
        <v>1978</v>
      </c>
      <c r="E14" s="1334">
        <v>1</v>
      </c>
      <c r="F14" s="1334">
        <v>299.75</v>
      </c>
      <c r="G14" s="1334" t="s">
        <v>2940</v>
      </c>
      <c r="H14" s="1334">
        <v>86</v>
      </c>
      <c r="I14" s="2443" t="s">
        <v>2863</v>
      </c>
      <c r="J14" s="2443"/>
      <c r="K14" s="2443"/>
      <c r="L14" s="2444">
        <v>700</v>
      </c>
      <c r="M14" s="2443" t="s">
        <v>1647</v>
      </c>
      <c r="N14" s="2445">
        <v>865</v>
      </c>
    </row>
    <row r="15" spans="1:14">
      <c r="A15" s="1339">
        <v>97</v>
      </c>
      <c r="B15" s="1383" t="s">
        <v>2621</v>
      </c>
      <c r="C15" s="1334" t="s">
        <v>2939</v>
      </c>
      <c r="D15" s="1334">
        <v>1978</v>
      </c>
      <c r="E15" s="1334">
        <v>1</v>
      </c>
      <c r="F15" s="1334">
        <v>297.25</v>
      </c>
      <c r="G15" s="1334" t="s">
        <v>2940</v>
      </c>
      <c r="H15" s="1334">
        <v>72.5</v>
      </c>
      <c r="I15" s="2443" t="s">
        <v>2863</v>
      </c>
      <c r="J15" s="2443"/>
      <c r="K15" s="2443"/>
      <c r="L15" s="2444">
        <v>800</v>
      </c>
      <c r="M15" s="2443" t="s">
        <v>1647</v>
      </c>
      <c r="N15" s="2445">
        <v>352</v>
      </c>
    </row>
    <row r="16" spans="1:14">
      <c r="A16" s="1339">
        <v>98</v>
      </c>
      <c r="B16" s="1383" t="s">
        <v>2622</v>
      </c>
      <c r="C16" s="1334" t="s">
        <v>2939</v>
      </c>
      <c r="D16" s="1334">
        <v>1978</v>
      </c>
      <c r="E16" s="1334">
        <v>1</v>
      </c>
      <c r="F16" s="1334">
        <v>297.75</v>
      </c>
      <c r="G16" s="1334" t="s">
        <v>2940</v>
      </c>
      <c r="H16" s="1334">
        <v>99</v>
      </c>
      <c r="I16" s="2443" t="s">
        <v>2863</v>
      </c>
      <c r="J16" s="2443"/>
      <c r="K16" s="2443"/>
      <c r="L16" s="2444">
        <v>1200</v>
      </c>
      <c r="M16" s="2443" t="s">
        <v>1647</v>
      </c>
      <c r="N16" s="2445">
        <v>875</v>
      </c>
    </row>
    <row r="17" spans="1:14">
      <c r="A17" s="1339">
        <v>99</v>
      </c>
      <c r="B17" s="1383" t="s">
        <v>1341</v>
      </c>
      <c r="C17" s="1334" t="s">
        <v>2939</v>
      </c>
      <c r="D17" s="1334">
        <v>1980</v>
      </c>
      <c r="E17" s="1334">
        <v>1</v>
      </c>
      <c r="F17" s="1334">
        <v>276.02999999999997</v>
      </c>
      <c r="G17" s="1334" t="s">
        <v>2940</v>
      </c>
      <c r="H17" s="1334">
        <v>107</v>
      </c>
      <c r="I17" s="2443" t="s">
        <v>2863</v>
      </c>
      <c r="J17" s="2443"/>
      <c r="K17" s="2443"/>
      <c r="L17" s="2444">
        <v>1000</v>
      </c>
      <c r="M17" s="2443" t="s">
        <v>1647</v>
      </c>
      <c r="N17" s="2445">
        <v>454</v>
      </c>
    </row>
    <row r="18" spans="1:14">
      <c r="A18" s="1339">
        <v>100</v>
      </c>
      <c r="B18" s="1383" t="s">
        <v>1342</v>
      </c>
      <c r="C18" s="1334" t="s">
        <v>2939</v>
      </c>
      <c r="D18" s="1334">
        <v>1979</v>
      </c>
      <c r="E18" s="1334">
        <v>1</v>
      </c>
      <c r="F18" s="1334">
        <v>276.25</v>
      </c>
      <c r="G18" s="1334" t="s">
        <v>2940</v>
      </c>
      <c r="H18" s="1334">
        <v>125</v>
      </c>
      <c r="I18" s="2443" t="s">
        <v>2863</v>
      </c>
      <c r="J18" s="2443"/>
      <c r="K18" s="2443"/>
      <c r="L18" s="2444">
        <v>1200</v>
      </c>
      <c r="M18" s="2443" t="s">
        <v>1647</v>
      </c>
      <c r="N18" s="2445">
        <v>366</v>
      </c>
    </row>
    <row r="19" spans="1:14">
      <c r="A19" s="1339"/>
      <c r="B19" s="1345" t="s">
        <v>1343</v>
      </c>
      <c r="C19" s="1334"/>
      <c r="D19" s="1334"/>
      <c r="E19" s="1334"/>
      <c r="F19" s="1334"/>
      <c r="G19" s="1334"/>
      <c r="H19" s="1334"/>
      <c r="I19" s="2443"/>
      <c r="J19" s="2443"/>
      <c r="K19" s="2443"/>
      <c r="L19" s="2444"/>
      <c r="M19" s="2443"/>
      <c r="N19" s="2445"/>
    </row>
    <row r="20" spans="1:14">
      <c r="A20" s="1339">
        <v>25</v>
      </c>
      <c r="B20" s="1383" t="s">
        <v>4471</v>
      </c>
      <c r="C20" s="1334" t="s">
        <v>2939</v>
      </c>
      <c r="D20" s="1334">
        <v>1955</v>
      </c>
      <c r="E20" s="1334">
        <v>1</v>
      </c>
      <c r="F20" s="1334">
        <v>29.5</v>
      </c>
      <c r="G20" s="1334" t="s">
        <v>2940</v>
      </c>
      <c r="H20" s="1334">
        <v>72</v>
      </c>
      <c r="I20" s="2443" t="s">
        <v>4472</v>
      </c>
      <c r="J20" s="2443"/>
      <c r="K20" s="2443"/>
      <c r="L20" s="2443" t="s">
        <v>4283</v>
      </c>
      <c r="M20" s="2443" t="s">
        <v>1345</v>
      </c>
      <c r="N20" s="2445" t="s">
        <v>1652</v>
      </c>
    </row>
    <row r="21" spans="1:14" ht="12" customHeight="1">
      <c r="A21" s="1339"/>
      <c r="B21" s="1345" t="s">
        <v>1346</v>
      </c>
      <c r="C21" s="1334"/>
      <c r="D21" s="1334"/>
      <c r="E21" s="1334"/>
      <c r="F21" s="1334"/>
      <c r="G21" s="1334"/>
      <c r="H21" s="1334"/>
      <c r="I21" s="2443"/>
      <c r="J21" s="2443"/>
      <c r="K21" s="2443"/>
      <c r="L21" s="2443"/>
      <c r="M21" s="2443"/>
      <c r="N21" s="2445"/>
    </row>
    <row r="22" spans="1:14">
      <c r="A22" s="1339" t="s">
        <v>1347</v>
      </c>
      <c r="B22" s="1338" t="s">
        <v>4473</v>
      </c>
      <c r="C22" s="1334" t="s">
        <v>1349</v>
      </c>
      <c r="D22" s="1334">
        <v>1901</v>
      </c>
      <c r="E22" s="1334">
        <v>1</v>
      </c>
      <c r="F22" s="1335" t="s">
        <v>1350</v>
      </c>
      <c r="G22" s="1334" t="s">
        <v>2940</v>
      </c>
      <c r="H22" s="1334">
        <v>20</v>
      </c>
      <c r="I22" s="2443">
        <v>5</v>
      </c>
      <c r="J22" s="2443"/>
      <c r="K22" s="2443"/>
      <c r="L22" s="2443" t="s">
        <v>4283</v>
      </c>
      <c r="M22" s="2443" t="s">
        <v>1351</v>
      </c>
      <c r="N22" s="2445" t="s">
        <v>1652</v>
      </c>
    </row>
    <row r="23" spans="1:14">
      <c r="A23" s="1339" t="s">
        <v>1352</v>
      </c>
      <c r="B23" s="1338" t="s">
        <v>4473</v>
      </c>
      <c r="C23" s="1334" t="s">
        <v>1349</v>
      </c>
      <c r="D23" s="1334">
        <v>1901</v>
      </c>
      <c r="E23" s="1334">
        <v>1</v>
      </c>
      <c r="F23" s="1335" t="s">
        <v>1350</v>
      </c>
      <c r="G23" s="1334" t="s">
        <v>2940</v>
      </c>
      <c r="H23" s="1334">
        <v>20</v>
      </c>
      <c r="I23" s="2443">
        <v>5</v>
      </c>
      <c r="J23" s="2443"/>
      <c r="K23" s="2443"/>
      <c r="L23" s="2443" t="s">
        <v>4283</v>
      </c>
      <c r="M23" s="2443" t="s">
        <v>1351</v>
      </c>
      <c r="N23" s="2445" t="s">
        <v>1652</v>
      </c>
    </row>
    <row r="24" spans="1:14">
      <c r="A24" s="1339" t="s">
        <v>1353</v>
      </c>
      <c r="B24" s="1338" t="s">
        <v>4473</v>
      </c>
      <c r="C24" s="1334" t="s">
        <v>1349</v>
      </c>
      <c r="D24" s="1334">
        <v>1896</v>
      </c>
      <c r="E24" s="1334">
        <v>1</v>
      </c>
      <c r="F24" s="1335" t="s">
        <v>1350</v>
      </c>
      <c r="G24" s="1334" t="s">
        <v>2940</v>
      </c>
      <c r="H24" s="1334">
        <v>20</v>
      </c>
      <c r="I24" s="2443">
        <v>5</v>
      </c>
      <c r="J24" s="2443"/>
      <c r="K24" s="2443"/>
      <c r="L24" s="2443" t="s">
        <v>4283</v>
      </c>
      <c r="M24" s="2443" t="s">
        <v>1351</v>
      </c>
      <c r="N24" s="2445" t="s">
        <v>1652</v>
      </c>
    </row>
    <row r="25" spans="1:14">
      <c r="A25" s="1339" t="s">
        <v>1354</v>
      </c>
      <c r="B25" s="1338" t="s">
        <v>4473</v>
      </c>
      <c r="C25" s="1334" t="s">
        <v>1349</v>
      </c>
      <c r="D25" s="1334">
        <v>1900</v>
      </c>
      <c r="E25" s="1334">
        <v>1</v>
      </c>
      <c r="F25" s="1335" t="s">
        <v>1350</v>
      </c>
      <c r="G25" s="1334" t="s">
        <v>2940</v>
      </c>
      <c r="H25" s="1334">
        <v>15</v>
      </c>
      <c r="I25" s="2443">
        <v>8</v>
      </c>
      <c r="J25" s="2443"/>
      <c r="K25" s="2443"/>
      <c r="L25" s="2443" t="s">
        <v>4283</v>
      </c>
      <c r="M25" s="2443" t="s">
        <v>1351</v>
      </c>
      <c r="N25" s="2445" t="s">
        <v>1652</v>
      </c>
    </row>
    <row r="26" spans="1:14">
      <c r="A26" s="1339">
        <v>48</v>
      </c>
      <c r="B26" s="1338" t="s">
        <v>4473</v>
      </c>
      <c r="C26" s="1334" t="s">
        <v>2939</v>
      </c>
      <c r="D26" s="1334">
        <v>1941</v>
      </c>
      <c r="E26" s="1334">
        <v>1</v>
      </c>
      <c r="F26" s="1335" t="s">
        <v>1350</v>
      </c>
      <c r="G26" s="1334" t="s">
        <v>2940</v>
      </c>
      <c r="H26" s="1334">
        <v>72</v>
      </c>
      <c r="I26" s="2443">
        <v>8</v>
      </c>
      <c r="J26" s="2443"/>
      <c r="K26" s="2443"/>
      <c r="L26" s="2443" t="s">
        <v>4283</v>
      </c>
      <c r="M26" s="2443" t="s">
        <v>1351</v>
      </c>
      <c r="N26" s="2445" t="s">
        <v>1652</v>
      </c>
    </row>
    <row r="27" spans="1:14">
      <c r="A27" s="1339">
        <v>49</v>
      </c>
      <c r="B27" s="1338" t="s">
        <v>4473</v>
      </c>
      <c r="C27" s="1334" t="s">
        <v>2939</v>
      </c>
      <c r="D27" s="1334">
        <v>1964</v>
      </c>
      <c r="E27" s="1334">
        <v>1</v>
      </c>
      <c r="F27" s="1335" t="s">
        <v>1355</v>
      </c>
      <c r="G27" s="1334" t="s">
        <v>2940</v>
      </c>
      <c r="H27" s="1334">
        <v>23</v>
      </c>
      <c r="I27" s="2443">
        <v>8</v>
      </c>
      <c r="J27" s="2443"/>
      <c r="K27" s="2443"/>
      <c r="L27" s="2443" t="s">
        <v>4283</v>
      </c>
      <c r="M27" s="2443" t="s">
        <v>1356</v>
      </c>
      <c r="N27" s="2445" t="s">
        <v>1652</v>
      </c>
    </row>
    <row r="28" spans="1:14">
      <c r="A28" s="1339">
        <v>50</v>
      </c>
      <c r="B28" s="1338" t="s">
        <v>1348</v>
      </c>
      <c r="C28" s="1334" t="s">
        <v>2939</v>
      </c>
      <c r="D28" s="1334">
        <v>1965</v>
      </c>
      <c r="E28" s="1334">
        <v>1</v>
      </c>
      <c r="F28" s="1335" t="s">
        <v>1355</v>
      </c>
      <c r="G28" s="1334" t="s">
        <v>2940</v>
      </c>
      <c r="H28" s="1334">
        <v>75</v>
      </c>
      <c r="I28" s="2443">
        <v>12</v>
      </c>
      <c r="J28" s="2443"/>
      <c r="K28" s="2443"/>
      <c r="L28" s="2443">
        <v>80</v>
      </c>
      <c r="M28" s="2443" t="s">
        <v>2947</v>
      </c>
      <c r="N28" s="2445">
        <v>35</v>
      </c>
    </row>
    <row r="29" spans="1:14">
      <c r="A29" s="1339">
        <v>51</v>
      </c>
      <c r="B29" s="1338" t="s">
        <v>1348</v>
      </c>
      <c r="C29" s="1334" t="s">
        <v>2939</v>
      </c>
      <c r="D29" s="1334">
        <v>1965</v>
      </c>
      <c r="E29" s="1334">
        <v>1</v>
      </c>
      <c r="F29" s="1335" t="s">
        <v>1357</v>
      </c>
      <c r="G29" s="1334" t="s">
        <v>2940</v>
      </c>
      <c r="H29" s="1334">
        <v>403</v>
      </c>
      <c r="I29" s="2443" t="s">
        <v>1358</v>
      </c>
      <c r="J29" s="2443"/>
      <c r="K29" s="2443"/>
      <c r="L29" s="2443">
        <v>275</v>
      </c>
      <c r="M29" s="2443" t="s">
        <v>2947</v>
      </c>
      <c r="N29" s="2445">
        <v>156</v>
      </c>
    </row>
    <row r="30" spans="1:14">
      <c r="A30" s="1339">
        <v>46</v>
      </c>
      <c r="B30" s="1338" t="s">
        <v>1360</v>
      </c>
      <c r="C30" s="1334" t="s">
        <v>2939</v>
      </c>
      <c r="D30" s="1334">
        <v>1957</v>
      </c>
      <c r="E30" s="1334">
        <v>1</v>
      </c>
      <c r="F30" s="1335" t="s">
        <v>1361</v>
      </c>
      <c r="G30" s="1334" t="s">
        <v>2940</v>
      </c>
      <c r="H30" s="1334">
        <v>320</v>
      </c>
      <c r="I30" s="1334">
        <v>10</v>
      </c>
      <c r="J30" s="1334"/>
      <c r="K30" s="1334"/>
      <c r="L30" s="1334">
        <v>140</v>
      </c>
      <c r="M30" s="1334" t="s">
        <v>2947</v>
      </c>
      <c r="N30" s="1385" t="s">
        <v>1652</v>
      </c>
    </row>
    <row r="31" spans="1:14">
      <c r="A31" s="1339"/>
      <c r="B31" s="1345" t="s">
        <v>1362</v>
      </c>
      <c r="C31" s="1334"/>
      <c r="D31" s="1334"/>
      <c r="E31" s="1334"/>
      <c r="F31" s="1335"/>
      <c r="G31" s="1334"/>
      <c r="H31" s="1334"/>
      <c r="I31" s="1334"/>
      <c r="J31" s="1334"/>
      <c r="K31" s="1334"/>
      <c r="L31" s="1334"/>
      <c r="M31" s="1334"/>
      <c r="N31" s="1385"/>
    </row>
    <row r="32" spans="1:14">
      <c r="A32" s="1339">
        <v>44</v>
      </c>
      <c r="B32" s="1338" t="s">
        <v>4474</v>
      </c>
      <c r="C32" s="1334" t="s">
        <v>2939</v>
      </c>
      <c r="D32" s="1334">
        <v>1925</v>
      </c>
      <c r="E32" s="1334">
        <v>1</v>
      </c>
      <c r="F32" s="1335" t="s">
        <v>1364</v>
      </c>
      <c r="G32" s="1334" t="s">
        <v>2940</v>
      </c>
      <c r="H32" s="1334">
        <v>450</v>
      </c>
      <c r="I32" s="1334">
        <v>8</v>
      </c>
      <c r="J32" s="1334"/>
      <c r="K32" s="1334"/>
      <c r="L32" s="1334" t="s">
        <v>4283</v>
      </c>
      <c r="M32" s="1334" t="s">
        <v>4475</v>
      </c>
      <c r="N32" s="1385" t="s">
        <v>1652</v>
      </c>
    </row>
    <row r="33" spans="1:14" ht="4.5" customHeight="1">
      <c r="A33" s="1339"/>
      <c r="B33" s="1338"/>
      <c r="C33" s="1334"/>
      <c r="D33" s="1334"/>
      <c r="E33" s="1334"/>
      <c r="F33" s="1335"/>
      <c r="G33" s="1334"/>
      <c r="H33" s="1334"/>
      <c r="I33" s="1334"/>
      <c r="J33" s="1334"/>
      <c r="K33" s="1334"/>
      <c r="L33" s="1334"/>
      <c r="M33" s="1334"/>
      <c r="N33" s="1385"/>
    </row>
    <row r="34" spans="1:14" ht="12" customHeight="1">
      <c r="A34" s="1339"/>
      <c r="B34" s="1386" t="s">
        <v>1331</v>
      </c>
      <c r="C34" s="1334"/>
      <c r="D34" s="1334"/>
      <c r="E34" s="1334"/>
      <c r="F34" s="1335"/>
      <c r="G34" s="1334"/>
      <c r="H34" s="1334"/>
      <c r="I34" s="1334"/>
      <c r="J34" s="1334"/>
      <c r="K34" s="1334"/>
      <c r="L34" s="1334"/>
      <c r="M34" s="1334"/>
      <c r="N34" s="1385"/>
    </row>
    <row r="35" spans="1:14">
      <c r="A35" s="1339">
        <v>69</v>
      </c>
      <c r="B35" s="1338" t="s">
        <v>1332</v>
      </c>
      <c r="C35" s="1334" t="s">
        <v>2939</v>
      </c>
      <c r="D35" s="1334">
        <v>1972</v>
      </c>
      <c r="E35" s="1334">
        <v>1</v>
      </c>
      <c r="F35" s="1335">
        <v>360</v>
      </c>
      <c r="G35" s="1334" t="s">
        <v>2940</v>
      </c>
      <c r="H35" s="1334">
        <v>402</v>
      </c>
      <c r="I35" s="1334" t="s">
        <v>2863</v>
      </c>
      <c r="J35" s="1334"/>
      <c r="K35" s="1334"/>
      <c r="L35" s="1334">
        <v>440</v>
      </c>
      <c r="M35" s="1334" t="s">
        <v>1647</v>
      </c>
      <c r="N35" s="1385">
        <v>265</v>
      </c>
    </row>
    <row r="36" spans="1:14">
      <c r="A36" s="1339">
        <v>83</v>
      </c>
      <c r="B36" s="1338" t="s">
        <v>1333</v>
      </c>
      <c r="C36" s="1334" t="s">
        <v>2939</v>
      </c>
      <c r="D36" s="1334">
        <v>1980</v>
      </c>
      <c r="E36" s="1334">
        <v>1</v>
      </c>
      <c r="F36" s="1335">
        <v>284</v>
      </c>
      <c r="G36" s="1334" t="s">
        <v>2940</v>
      </c>
      <c r="H36" s="1334">
        <v>500</v>
      </c>
      <c r="I36" s="1334" t="s">
        <v>2859</v>
      </c>
      <c r="J36" s="1334"/>
      <c r="K36" s="1334"/>
      <c r="L36" s="1334">
        <v>148</v>
      </c>
      <c r="M36" s="1334" t="s">
        <v>1647</v>
      </c>
      <c r="N36" s="1385">
        <v>12</v>
      </c>
    </row>
    <row r="37" spans="1:14" ht="9" customHeight="1">
      <c r="A37" s="1339"/>
      <c r="B37" s="1343"/>
      <c r="C37" s="1334"/>
      <c r="D37" s="1334"/>
      <c r="E37" s="1334"/>
      <c r="F37" s="1335"/>
      <c r="G37" s="1334"/>
      <c r="H37" s="1334"/>
      <c r="I37" s="1334"/>
      <c r="J37" s="1334"/>
      <c r="K37" s="1334"/>
      <c r="L37" s="1334"/>
      <c r="M37" s="1334"/>
      <c r="N37" s="1385"/>
    </row>
    <row r="38" spans="1:14">
      <c r="A38" s="1339"/>
      <c r="B38" s="1345" t="s">
        <v>1334</v>
      </c>
      <c r="C38" s="1334"/>
      <c r="D38" s="1334"/>
      <c r="E38" s="1334"/>
      <c r="F38" s="1335"/>
      <c r="G38" s="1334"/>
      <c r="H38" s="1334"/>
      <c r="I38" s="1334"/>
      <c r="J38" s="1334"/>
      <c r="K38" s="1334"/>
      <c r="L38" s="1334"/>
      <c r="M38" s="1334"/>
      <c r="N38" s="1385"/>
    </row>
    <row r="39" spans="1:14">
      <c r="A39" s="1339">
        <v>27</v>
      </c>
      <c r="B39" s="1338" t="s">
        <v>1335</v>
      </c>
      <c r="C39" s="1334" t="s">
        <v>2939</v>
      </c>
      <c r="D39" s="1334">
        <v>1959</v>
      </c>
      <c r="E39" s="1334">
        <v>1</v>
      </c>
      <c r="F39" s="1335">
        <v>309.5</v>
      </c>
      <c r="G39" s="1334" t="s">
        <v>2940</v>
      </c>
      <c r="H39" s="1334">
        <v>119</v>
      </c>
      <c r="I39" s="1334" t="s">
        <v>1336</v>
      </c>
      <c r="J39" s="1334"/>
      <c r="K39" s="1334"/>
      <c r="L39" s="1334">
        <v>1000</v>
      </c>
      <c r="M39" s="1334" t="s">
        <v>1647</v>
      </c>
      <c r="N39" s="1385">
        <v>688</v>
      </c>
    </row>
    <row r="40" spans="1:14">
      <c r="A40" s="1339">
        <v>29</v>
      </c>
      <c r="B40" s="1338" t="s">
        <v>4476</v>
      </c>
      <c r="C40" s="1334" t="s">
        <v>2939</v>
      </c>
      <c r="D40" s="1341">
        <v>1966</v>
      </c>
      <c r="E40" s="1334">
        <v>1</v>
      </c>
      <c r="F40" s="1335">
        <v>310</v>
      </c>
      <c r="G40" s="1334" t="s">
        <v>2940</v>
      </c>
      <c r="H40" s="1334">
        <v>82.5</v>
      </c>
      <c r="I40" s="1334">
        <v>20</v>
      </c>
      <c r="J40" s="1334"/>
      <c r="K40" s="1334"/>
      <c r="L40" s="1334" t="s">
        <v>4283</v>
      </c>
      <c r="M40" s="1334"/>
      <c r="N40" s="1385" t="s">
        <v>4411</v>
      </c>
    </row>
    <row r="41" spans="1:14">
      <c r="A41" s="1339" t="s">
        <v>1337</v>
      </c>
      <c r="B41" s="1338" t="s">
        <v>1338</v>
      </c>
      <c r="C41" s="1334" t="s">
        <v>2939</v>
      </c>
      <c r="D41" s="1334">
        <v>1994</v>
      </c>
      <c r="E41" s="1334">
        <v>1</v>
      </c>
      <c r="F41" s="1335">
        <v>310</v>
      </c>
      <c r="G41" s="1334" t="s">
        <v>2940</v>
      </c>
      <c r="H41" s="1334">
        <v>88.5</v>
      </c>
      <c r="I41" s="1334" t="s">
        <v>2162</v>
      </c>
      <c r="J41" s="1334"/>
      <c r="K41" s="1383"/>
      <c r="L41" s="1334">
        <v>1200</v>
      </c>
      <c r="M41" s="1334" t="s">
        <v>1647</v>
      </c>
      <c r="N41" s="1385">
        <v>496</v>
      </c>
    </row>
    <row r="42" spans="1:14">
      <c r="A42" s="1339">
        <v>55</v>
      </c>
      <c r="B42" s="1338" t="s">
        <v>2163</v>
      </c>
      <c r="C42" s="1334" t="s">
        <v>2939</v>
      </c>
      <c r="D42" s="1334">
        <v>1970</v>
      </c>
      <c r="E42" s="1334">
        <v>1</v>
      </c>
      <c r="F42" s="1335">
        <v>321.3</v>
      </c>
      <c r="G42" s="1334" t="s">
        <v>2940</v>
      </c>
      <c r="H42" s="1334">
        <v>354</v>
      </c>
      <c r="I42" s="1341" t="s">
        <v>2857</v>
      </c>
      <c r="J42" s="1334"/>
      <c r="K42" s="1383"/>
      <c r="L42" s="1334">
        <v>500</v>
      </c>
      <c r="M42" s="1334" t="s">
        <v>1647</v>
      </c>
      <c r="N42" s="1385">
        <v>99</v>
      </c>
    </row>
    <row r="43" spans="1:14">
      <c r="A43" s="1339">
        <v>67</v>
      </c>
      <c r="B43" s="1338" t="s">
        <v>2164</v>
      </c>
      <c r="C43" s="1334" t="s">
        <v>2939</v>
      </c>
      <c r="D43" s="1334">
        <v>1971</v>
      </c>
      <c r="E43" s="1334">
        <v>1</v>
      </c>
      <c r="F43" s="1335" t="s">
        <v>2165</v>
      </c>
      <c r="G43" s="1334" t="s">
        <v>2940</v>
      </c>
      <c r="H43" s="1334">
        <v>435</v>
      </c>
      <c r="I43" s="1334">
        <v>8</v>
      </c>
      <c r="J43" s="1334"/>
      <c r="K43" s="1383"/>
      <c r="L43" s="1334">
        <v>200</v>
      </c>
      <c r="M43" s="1334" t="s">
        <v>2947</v>
      </c>
      <c r="N43" s="1385" t="s">
        <v>4411</v>
      </c>
    </row>
    <row r="44" spans="1:14">
      <c r="A44" s="1339">
        <v>78</v>
      </c>
      <c r="B44" s="1338" t="s">
        <v>2164</v>
      </c>
      <c r="C44" s="1334" t="s">
        <v>2939</v>
      </c>
      <c r="D44" s="1334">
        <v>1978</v>
      </c>
      <c r="E44" s="1334">
        <v>1</v>
      </c>
      <c r="F44" s="1335">
        <v>397.5</v>
      </c>
      <c r="G44" s="1334" t="s">
        <v>2940</v>
      </c>
      <c r="H44" s="1334">
        <v>452</v>
      </c>
      <c r="I44" s="1334" t="s">
        <v>1985</v>
      </c>
      <c r="J44" s="1334"/>
      <c r="K44" s="1334"/>
      <c r="L44" s="1334">
        <v>200</v>
      </c>
      <c r="M44" s="1334" t="s">
        <v>2947</v>
      </c>
      <c r="N44" s="1385" t="s">
        <v>4411</v>
      </c>
    </row>
    <row r="45" spans="1:14" ht="6.75" customHeight="1">
      <c r="A45" s="1339"/>
      <c r="B45" s="1382"/>
      <c r="C45" s="1346"/>
      <c r="D45" s="1334"/>
      <c r="E45" s="1334"/>
      <c r="F45" s="1335"/>
      <c r="G45" s="1334"/>
      <c r="H45" s="1334"/>
      <c r="I45" s="1334"/>
      <c r="J45" s="1334"/>
      <c r="K45" s="1334"/>
      <c r="L45" s="1334"/>
      <c r="M45" s="1334"/>
      <c r="N45" s="1385"/>
    </row>
    <row r="46" spans="1:14">
      <c r="A46" s="1339"/>
      <c r="B46" s="1345" t="s">
        <v>2166</v>
      </c>
      <c r="C46" s="1334"/>
      <c r="D46" s="1334"/>
      <c r="E46" s="1334"/>
      <c r="F46" s="1335"/>
      <c r="G46" s="1334"/>
      <c r="H46" s="1334"/>
      <c r="I46" s="1334"/>
      <c r="J46" s="1334"/>
      <c r="K46" s="1334"/>
      <c r="L46" s="1334"/>
      <c r="M46" s="1334"/>
      <c r="N46" s="1385"/>
    </row>
    <row r="47" spans="1:14">
      <c r="A47" s="1339">
        <v>56</v>
      </c>
      <c r="B47" s="1338" t="s">
        <v>2167</v>
      </c>
      <c r="C47" s="1334" t="s">
        <v>2939</v>
      </c>
      <c r="D47" s="1334">
        <v>1970</v>
      </c>
      <c r="E47" s="1334">
        <v>1</v>
      </c>
      <c r="F47" s="1335">
        <v>477.5</v>
      </c>
      <c r="G47" s="1334" t="s">
        <v>2940</v>
      </c>
      <c r="H47" s="1334">
        <v>350</v>
      </c>
      <c r="I47" s="1334" t="s">
        <v>2168</v>
      </c>
      <c r="J47" s="1334"/>
      <c r="K47" s="1334"/>
      <c r="L47" s="1334">
        <v>850</v>
      </c>
      <c r="M47" s="1334" t="s">
        <v>1647</v>
      </c>
      <c r="N47" s="1385">
        <v>250</v>
      </c>
    </row>
    <row r="48" spans="1:14" ht="4.5" customHeight="1">
      <c r="A48" s="1339"/>
      <c r="B48" s="1338"/>
      <c r="C48" s="1334"/>
      <c r="D48" s="1334"/>
      <c r="E48" s="1334"/>
      <c r="F48" s="1335"/>
      <c r="G48" s="1334"/>
      <c r="H48" s="1334"/>
      <c r="I48" s="1334"/>
      <c r="J48" s="1334"/>
      <c r="K48" s="1334"/>
      <c r="L48" s="1334"/>
      <c r="M48" s="1334"/>
      <c r="N48" s="1385"/>
    </row>
    <row r="49" spans="1:14" ht="9.75" customHeight="1">
      <c r="A49" s="1339"/>
      <c r="B49" s="1345" t="s">
        <v>2571</v>
      </c>
      <c r="C49" s="1334"/>
      <c r="D49" s="1334"/>
      <c r="E49" s="1334"/>
      <c r="F49" s="1335"/>
      <c r="G49" s="1334"/>
      <c r="H49" s="1334"/>
      <c r="I49" s="1334"/>
      <c r="J49" s="1334"/>
      <c r="K49" s="1334"/>
      <c r="L49" s="1334"/>
      <c r="M49" s="1334"/>
      <c r="N49" s="1385"/>
    </row>
    <row r="50" spans="1:14">
      <c r="A50" s="1339">
        <v>18</v>
      </c>
      <c r="B50" s="2446" t="s">
        <v>2572</v>
      </c>
      <c r="C50" s="1334" t="s">
        <v>2939</v>
      </c>
      <c r="D50" s="1334">
        <v>1951</v>
      </c>
      <c r="E50" s="1334">
        <v>1</v>
      </c>
      <c r="F50" s="1335">
        <v>482.5</v>
      </c>
      <c r="G50" s="1334" t="s">
        <v>2940</v>
      </c>
      <c r="H50" s="1334">
        <v>300</v>
      </c>
      <c r="I50" s="1334" t="s">
        <v>2573</v>
      </c>
      <c r="J50" s="1334"/>
      <c r="K50" s="1334"/>
      <c r="L50" s="1334">
        <v>700</v>
      </c>
      <c r="M50" s="1334" t="s">
        <v>1647</v>
      </c>
      <c r="N50" s="1385">
        <v>233</v>
      </c>
    </row>
    <row r="51" spans="1:14">
      <c r="A51" s="1339">
        <v>24</v>
      </c>
      <c r="B51" s="2446" t="s">
        <v>2572</v>
      </c>
      <c r="C51" s="1334" t="s">
        <v>2939</v>
      </c>
      <c r="D51" s="1334">
        <v>1954</v>
      </c>
      <c r="E51" s="1334">
        <v>1</v>
      </c>
      <c r="F51" s="1335">
        <v>470.5</v>
      </c>
      <c r="G51" s="1334" t="s">
        <v>2940</v>
      </c>
      <c r="H51" s="1334">
        <v>407</v>
      </c>
      <c r="I51" s="1334" t="s">
        <v>2863</v>
      </c>
      <c r="J51" s="1334"/>
      <c r="K51" s="1334"/>
      <c r="L51" s="1334">
        <v>1000</v>
      </c>
      <c r="M51" s="1334" t="s">
        <v>1647</v>
      </c>
      <c r="N51" s="1385">
        <v>596</v>
      </c>
    </row>
    <row r="52" spans="1:14">
      <c r="A52" s="1339">
        <v>82</v>
      </c>
      <c r="B52" s="2446" t="s">
        <v>2574</v>
      </c>
      <c r="C52" s="1334" t="s">
        <v>2939</v>
      </c>
      <c r="D52" s="1334">
        <v>1977</v>
      </c>
      <c r="E52" s="1334">
        <v>1</v>
      </c>
      <c r="F52" s="1335">
        <v>471</v>
      </c>
      <c r="G52" s="1334" t="s">
        <v>2940</v>
      </c>
      <c r="H52" s="1334">
        <v>454</v>
      </c>
      <c r="I52" s="1334" t="s">
        <v>2859</v>
      </c>
      <c r="J52" s="1334"/>
      <c r="K52" s="1334"/>
      <c r="L52" s="1334">
        <v>251</v>
      </c>
      <c r="M52" s="1334" t="s">
        <v>1647</v>
      </c>
      <c r="N52" s="1385">
        <v>190</v>
      </c>
    </row>
    <row r="53" spans="1:14">
      <c r="A53" s="1339"/>
      <c r="B53" s="1381" t="s">
        <v>4388</v>
      </c>
      <c r="C53" s="1374"/>
      <c r="D53" s="1334"/>
      <c r="E53" s="1334"/>
      <c r="F53" s="1335"/>
      <c r="G53" s="1334"/>
      <c r="H53" s="1334"/>
      <c r="I53" s="1334"/>
      <c r="J53" s="1334"/>
      <c r="K53" s="1334"/>
      <c r="L53" s="1334"/>
      <c r="M53" s="1334"/>
      <c r="N53" s="1385"/>
    </row>
    <row r="54" spans="1:14">
      <c r="A54" s="1339"/>
      <c r="B54" s="1383" t="s">
        <v>4477</v>
      </c>
      <c r="C54" s="1334" t="s">
        <v>2939</v>
      </c>
      <c r="D54" s="1334">
        <v>1959</v>
      </c>
      <c r="E54" s="1334">
        <v>1</v>
      </c>
      <c r="F54" s="1335"/>
      <c r="G54" s="1334" t="s">
        <v>2940</v>
      </c>
      <c r="H54" s="1334">
        <v>360</v>
      </c>
      <c r="I54" s="1334">
        <v>6</v>
      </c>
      <c r="J54" s="1334"/>
      <c r="K54" s="1334"/>
      <c r="L54" s="1384" t="s">
        <v>4283</v>
      </c>
      <c r="M54" s="1334" t="s">
        <v>2947</v>
      </c>
      <c r="N54" s="1953" t="s">
        <v>1652</v>
      </c>
    </row>
    <row r="55" spans="1:14">
      <c r="A55" s="1339"/>
      <c r="B55" s="1383" t="s">
        <v>4372</v>
      </c>
      <c r="C55" s="1334" t="s">
        <v>2939</v>
      </c>
      <c r="D55" s="1334">
        <v>1963</v>
      </c>
      <c r="E55" s="1334">
        <v>1</v>
      </c>
      <c r="F55" s="1335"/>
      <c r="G55" s="1334" t="s">
        <v>2940</v>
      </c>
      <c r="H55" s="1334">
        <v>225</v>
      </c>
      <c r="I55" s="1334">
        <v>6</v>
      </c>
      <c r="J55" s="1334"/>
      <c r="K55" s="1334"/>
      <c r="L55" s="1384">
        <v>25</v>
      </c>
      <c r="M55" s="1334" t="s">
        <v>2947</v>
      </c>
      <c r="N55" s="1953">
        <v>25</v>
      </c>
    </row>
    <row r="56" spans="1:14">
      <c r="A56" s="1339"/>
      <c r="B56" s="1383"/>
      <c r="C56" s="1334"/>
      <c r="D56" s="1334"/>
      <c r="E56" s="1334"/>
      <c r="F56" s="1335"/>
      <c r="G56" s="1334"/>
      <c r="H56" s="1334"/>
      <c r="I56" s="1341"/>
      <c r="J56" s="1334"/>
      <c r="K56" s="1334"/>
      <c r="L56" s="1384"/>
      <c r="M56" s="1334"/>
      <c r="N56" s="1954"/>
    </row>
    <row r="57" spans="1:14" hidden="1">
      <c r="A57" s="1339"/>
      <c r="B57" s="1338"/>
      <c r="C57" s="1334"/>
      <c r="D57" s="1334"/>
      <c r="E57" s="1334"/>
      <c r="F57" s="1335"/>
      <c r="G57" s="1334"/>
      <c r="H57" s="1334"/>
      <c r="I57" s="1334"/>
      <c r="J57" s="1334"/>
      <c r="K57" s="1383"/>
      <c r="L57" s="1334"/>
      <c r="M57" s="1334"/>
      <c r="N57" s="1954"/>
    </row>
    <row r="58" spans="1:14" ht="6" customHeight="1" thickBot="1">
      <c r="A58" s="1388"/>
      <c r="B58" s="1348"/>
      <c r="C58" s="1349"/>
      <c r="D58" s="1349"/>
      <c r="E58" s="1349"/>
      <c r="F58" s="1349"/>
      <c r="G58" s="1349"/>
      <c r="H58" s="1349"/>
      <c r="I58" s="1349"/>
      <c r="J58" s="1349"/>
      <c r="K58" s="1349"/>
      <c r="L58" s="1389"/>
      <c r="M58" s="1349"/>
      <c r="N58" s="1955"/>
    </row>
    <row r="59" spans="1:14" ht="6" customHeight="1">
      <c r="A59" s="1390"/>
      <c r="B59" s="1391"/>
      <c r="C59" s="1353"/>
      <c r="D59" s="1353"/>
      <c r="E59" s="1353"/>
      <c r="F59" s="1353"/>
      <c r="G59" s="1353"/>
      <c r="H59" s="1353"/>
      <c r="I59" s="1353"/>
      <c r="J59" s="1353"/>
      <c r="K59" s="1353"/>
      <c r="L59" s="1392"/>
      <c r="M59" s="1353"/>
      <c r="N59" s="1956"/>
    </row>
    <row r="60" spans="1:14">
      <c r="A60" s="1390"/>
      <c r="B60" s="1358"/>
      <c r="C60" s="1353"/>
      <c r="D60" s="1393"/>
      <c r="E60" s="1353"/>
      <c r="F60" s="1353"/>
      <c r="G60" s="1353"/>
      <c r="H60" s="1353"/>
      <c r="I60" s="1353"/>
      <c r="J60" s="1353"/>
      <c r="K60" s="1353"/>
      <c r="L60" s="1353"/>
      <c r="M60" s="1353"/>
      <c r="N60" s="1356"/>
    </row>
    <row r="61" spans="1:14" ht="12.75" customHeight="1">
      <c r="A61" s="1390" t="s">
        <v>1993</v>
      </c>
      <c r="B61" s="1358" t="s">
        <v>651</v>
      </c>
      <c r="C61" s="1353"/>
      <c r="D61" s="1353"/>
      <c r="E61" s="1353"/>
      <c r="F61" s="1353"/>
      <c r="G61" s="1353"/>
      <c r="H61" s="1353"/>
      <c r="I61" s="1353"/>
      <c r="J61" s="1353"/>
      <c r="K61" s="1394"/>
      <c r="L61" s="1394"/>
      <c r="M61" s="1353"/>
      <c r="N61" s="1356"/>
    </row>
    <row r="62" spans="1:14" ht="12.75" customHeight="1">
      <c r="A62" s="1390"/>
      <c r="B62" s="1358" t="s">
        <v>3687</v>
      </c>
      <c r="C62" s="1353"/>
      <c r="D62" s="1353"/>
      <c r="E62" s="1353"/>
      <c r="F62" s="1353"/>
      <c r="G62" s="1353"/>
      <c r="H62" s="1391"/>
      <c r="I62" s="1353"/>
      <c r="J62" s="1353"/>
      <c r="K62" s="1394"/>
      <c r="L62" s="1392"/>
      <c r="M62" s="1353"/>
      <c r="N62" s="1356"/>
    </row>
    <row r="63" spans="1:14" ht="12" customHeight="1">
      <c r="A63" s="1390"/>
      <c r="B63" s="1358" t="s">
        <v>4478</v>
      </c>
      <c r="C63" s="1353"/>
      <c r="D63" s="1353"/>
      <c r="E63" s="1353"/>
      <c r="F63" s="1353"/>
      <c r="G63" s="1353"/>
      <c r="H63" s="1353"/>
      <c r="I63" s="1353"/>
      <c r="J63" s="1353"/>
      <c r="K63" s="1394"/>
      <c r="L63" s="1353"/>
      <c r="M63" s="1353"/>
      <c r="N63" s="1356"/>
    </row>
    <row r="64" spans="1:14" ht="11.25" customHeight="1">
      <c r="A64" s="1390"/>
      <c r="B64" s="1358" t="s">
        <v>2290</v>
      </c>
      <c r="C64" s="1353"/>
      <c r="D64" s="1353"/>
      <c r="E64" s="1353"/>
      <c r="F64" s="1353"/>
      <c r="G64" s="1353"/>
      <c r="H64" s="1353"/>
      <c r="I64" s="1353"/>
      <c r="J64" s="1353"/>
      <c r="K64" s="1394"/>
      <c r="L64" s="1353"/>
      <c r="M64" s="1353"/>
      <c r="N64" s="1356"/>
    </row>
    <row r="65" spans="1:14">
      <c r="A65" s="1390"/>
      <c r="B65" s="1358" t="s">
        <v>2291</v>
      </c>
      <c r="C65" s="1353"/>
      <c r="D65" s="1353"/>
      <c r="E65" s="1353"/>
      <c r="F65" s="1353"/>
      <c r="G65" s="1353"/>
      <c r="H65" s="1353"/>
      <c r="I65" s="1353"/>
      <c r="J65" s="1353"/>
      <c r="K65" s="1394"/>
      <c r="L65" s="1353"/>
      <c r="M65" s="1353"/>
      <c r="N65" s="1356"/>
    </row>
    <row r="66" spans="1:14" ht="15.75" thickBot="1">
      <c r="A66" s="1395"/>
      <c r="B66" s="2551" t="s">
        <v>2292</v>
      </c>
      <c r="C66" s="1396"/>
      <c r="D66" s="1396"/>
      <c r="E66" s="1396"/>
      <c r="F66" s="1396"/>
      <c r="G66" s="1396"/>
      <c r="H66" s="1396"/>
      <c r="I66" s="1396"/>
      <c r="J66" s="1396"/>
      <c r="K66" s="1396"/>
      <c r="L66" s="1396"/>
      <c r="M66" s="1396"/>
      <c r="N66" s="1363"/>
    </row>
    <row r="67" spans="1:14" ht="5.25" customHeight="1">
      <c r="A67" s="2029"/>
      <c r="B67" s="2029"/>
      <c r="C67" s="2029"/>
      <c r="D67" s="2029"/>
      <c r="E67" s="2029"/>
      <c r="F67" s="2029"/>
      <c r="G67" s="2029"/>
      <c r="H67" s="2029"/>
      <c r="I67" s="2029"/>
      <c r="J67" s="2029"/>
      <c r="K67" s="2029"/>
      <c r="L67" s="2029"/>
      <c r="M67" s="2029"/>
      <c r="N67" s="2029"/>
    </row>
    <row r="68" spans="1:14">
      <c r="A68" s="1397" t="s">
        <v>544</v>
      </c>
      <c r="B68" s="1394"/>
      <c r="C68" s="1394"/>
      <c r="D68" s="1394"/>
      <c r="E68" s="1394"/>
      <c r="F68" s="1394"/>
      <c r="G68" s="1394"/>
      <c r="H68" s="1394"/>
      <c r="I68" s="1394"/>
      <c r="J68" s="1394"/>
      <c r="K68" s="1394"/>
      <c r="L68" s="1394"/>
      <c r="M68" s="1394"/>
      <c r="N68" s="1394"/>
    </row>
    <row r="69" spans="1:14">
      <c r="A69" s="1398" t="s">
        <v>652</v>
      </c>
      <c r="B69" s="954"/>
      <c r="C69" s="954"/>
      <c r="D69" s="954"/>
      <c r="E69" s="954"/>
      <c r="F69" s="954"/>
      <c r="G69" s="954"/>
      <c r="H69" s="954"/>
      <c r="I69" s="954"/>
      <c r="J69" s="954"/>
      <c r="K69" s="954"/>
      <c r="L69" s="954"/>
      <c r="M69" s="954"/>
    </row>
    <row r="71" spans="1:14">
      <c r="N71" s="954">
        <f>COUNT(N9:N18,N28:N29,N35:N36,N39,N41:N42,N47,N50:N52,N55)</f>
        <v>22</v>
      </c>
    </row>
  </sheetData>
  <pageMargins left="0.45" right="0.45" top="0.4" bottom="0" header="0.3" footer="0.05"/>
  <pageSetup scale="63" orientation="landscape" horizontalDpi="240" verticalDpi="24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92"/>
  <dimension ref="A1:N71"/>
  <sheetViews>
    <sheetView zoomScaleNormal="100" workbookViewId="0">
      <pane xSplit="2" ySplit="7" topLeftCell="C8" activePane="bottomRight" state="frozen"/>
      <selection activeCell="S32" sqref="S32"/>
      <selection pane="topRight" activeCell="S32" sqref="S32"/>
      <selection pane="bottomLeft" activeCell="S32" sqref="S32"/>
      <selection pane="bottomRight" activeCell="F53" sqref="F53"/>
    </sheetView>
  </sheetViews>
  <sheetFormatPr defaultRowHeight="15"/>
  <cols>
    <col min="1" max="1" width="12" customWidth="1"/>
    <col min="2" max="2" width="22.33203125" customWidth="1"/>
    <col min="3" max="3" width="9.5546875" customWidth="1"/>
    <col min="4" max="4" width="9.21875" customWidth="1"/>
    <col min="7" max="7" width="10.109375" bestFit="1" customWidth="1"/>
    <col min="9" max="9" width="10.21875" customWidth="1"/>
    <col min="10" max="10" width="9.21875" customWidth="1"/>
    <col min="13" max="13" width="13.77734375" customWidth="1"/>
    <col min="14" max="14" width="15.33203125" customWidth="1"/>
  </cols>
  <sheetData>
    <row r="1" spans="1:14" ht="15.75" thickBot="1">
      <c r="A1" s="86" t="str">
        <f>'Data sheet'!A69</f>
        <v>Annual Report of Veolia Water New York, Inc.                                                                                                                   Year Ended  December 31, 2023</v>
      </c>
      <c r="B1" s="86"/>
      <c r="C1" s="86"/>
      <c r="D1" s="86"/>
      <c r="E1" s="86"/>
      <c r="F1" s="86"/>
      <c r="G1" s="86"/>
      <c r="H1" s="86"/>
      <c r="I1" s="86"/>
      <c r="J1" s="86"/>
      <c r="K1" s="86"/>
      <c r="L1" s="86"/>
      <c r="M1" s="86"/>
      <c r="N1" s="86"/>
    </row>
    <row r="2" spans="1:14" ht="12" customHeight="1">
      <c r="A2" s="1369"/>
      <c r="B2" s="1370"/>
      <c r="C2" s="1370"/>
      <c r="D2" s="1370"/>
      <c r="E2" s="1370"/>
      <c r="F2" s="1370"/>
      <c r="G2" s="1372" t="s">
        <v>2179</v>
      </c>
      <c r="H2" s="1372"/>
      <c r="I2" s="1372"/>
      <c r="J2" s="1372"/>
      <c r="K2" s="1372"/>
      <c r="L2" s="1372"/>
      <c r="M2" s="1372"/>
      <c r="N2" s="1373"/>
    </row>
    <row r="3" spans="1:14">
      <c r="A3" s="1339"/>
      <c r="B3" s="1374" t="s">
        <v>3055</v>
      </c>
      <c r="C3" s="1374" t="s">
        <v>2180</v>
      </c>
      <c r="D3" s="1374" t="s">
        <v>1387</v>
      </c>
      <c r="E3" s="1374" t="s">
        <v>2181</v>
      </c>
      <c r="F3" s="1374" t="s">
        <v>2182</v>
      </c>
      <c r="G3" s="1374" t="s">
        <v>2570</v>
      </c>
      <c r="H3" s="1374"/>
      <c r="I3" s="1374" t="s">
        <v>2079</v>
      </c>
      <c r="J3" s="1374" t="s">
        <v>2183</v>
      </c>
      <c r="K3" s="1376" t="s">
        <v>2184</v>
      </c>
      <c r="L3" s="1377"/>
      <c r="M3" s="1374"/>
      <c r="N3" s="1378"/>
    </row>
    <row r="4" spans="1:14">
      <c r="A4" s="1339"/>
      <c r="B4" s="1374" t="s">
        <v>2185</v>
      </c>
      <c r="C4" s="1374" t="s">
        <v>2186</v>
      </c>
      <c r="D4" s="1374" t="s">
        <v>4236</v>
      </c>
      <c r="E4" s="1374" t="s">
        <v>2086</v>
      </c>
      <c r="F4" s="1374" t="s">
        <v>2187</v>
      </c>
      <c r="G4" s="1374" t="s">
        <v>2188</v>
      </c>
      <c r="H4" s="1374" t="s">
        <v>993</v>
      </c>
      <c r="I4" s="1374" t="s">
        <v>2189</v>
      </c>
      <c r="J4" s="1374" t="s">
        <v>3063</v>
      </c>
      <c r="K4" s="1374" t="s">
        <v>2190</v>
      </c>
      <c r="L4" s="1374" t="s">
        <v>122</v>
      </c>
      <c r="M4" s="1374" t="s">
        <v>2191</v>
      </c>
      <c r="N4" s="1378"/>
    </row>
    <row r="5" spans="1:14">
      <c r="A5" s="1339" t="s">
        <v>931</v>
      </c>
      <c r="B5" s="1374" t="s">
        <v>2193</v>
      </c>
      <c r="C5" s="1374" t="s">
        <v>2194</v>
      </c>
      <c r="D5" s="1374" t="s">
        <v>2195</v>
      </c>
      <c r="E5" s="1374" t="s">
        <v>2196</v>
      </c>
      <c r="F5" s="1374" t="s">
        <v>2197</v>
      </c>
      <c r="G5" s="1374" t="s">
        <v>2198</v>
      </c>
      <c r="H5" s="1374" t="s">
        <v>3068</v>
      </c>
      <c r="I5" s="1374" t="s">
        <v>2199</v>
      </c>
      <c r="J5" s="1374" t="s">
        <v>2200</v>
      </c>
      <c r="K5" s="1374" t="s">
        <v>2201</v>
      </c>
      <c r="L5" s="1374" t="s">
        <v>2202</v>
      </c>
      <c r="M5" s="1374" t="s">
        <v>852</v>
      </c>
      <c r="N5" s="1378" t="s">
        <v>932</v>
      </c>
    </row>
    <row r="6" spans="1:14">
      <c r="A6" s="1339" t="s">
        <v>2051</v>
      </c>
      <c r="B6" s="1374" t="s">
        <v>2204</v>
      </c>
      <c r="C6" s="1379"/>
      <c r="D6" s="1379"/>
      <c r="E6" s="1374" t="s">
        <v>2205</v>
      </c>
      <c r="F6" s="1374" t="s">
        <v>2206</v>
      </c>
      <c r="G6" s="1374" t="s">
        <v>2207</v>
      </c>
      <c r="H6" s="1379"/>
      <c r="I6" s="1374" t="s">
        <v>3071</v>
      </c>
      <c r="J6" s="1374" t="s">
        <v>2208</v>
      </c>
      <c r="K6" s="1374" t="s">
        <v>3068</v>
      </c>
      <c r="L6" s="1374"/>
      <c r="M6" s="1374"/>
      <c r="N6" s="1378" t="s">
        <v>933</v>
      </c>
    </row>
    <row r="7" spans="1:14">
      <c r="A7" s="1380"/>
      <c r="B7" s="1334" t="s">
        <v>2209</v>
      </c>
      <c r="C7" s="1381" t="s">
        <v>1611</v>
      </c>
      <c r="D7" s="1381" t="s">
        <v>3281</v>
      </c>
      <c r="E7" s="1381" t="s">
        <v>1613</v>
      </c>
      <c r="F7" s="1381" t="s">
        <v>721</v>
      </c>
      <c r="G7" s="1381" t="s">
        <v>722</v>
      </c>
      <c r="H7" s="1381" t="s">
        <v>723</v>
      </c>
      <c r="I7" s="1381" t="s">
        <v>335</v>
      </c>
      <c r="J7" s="1381" t="s">
        <v>336</v>
      </c>
      <c r="K7" s="1381" t="s">
        <v>337</v>
      </c>
      <c r="L7" s="1381" t="s">
        <v>338</v>
      </c>
      <c r="M7" s="1381" t="s">
        <v>339</v>
      </c>
      <c r="N7" s="1790" t="s">
        <v>778</v>
      </c>
    </row>
    <row r="8" spans="1:14">
      <c r="A8" s="1339"/>
      <c r="B8" s="1957" t="s">
        <v>4810</v>
      </c>
      <c r="C8" s="1374"/>
      <c r="D8" s="1374"/>
      <c r="E8" s="1374"/>
      <c r="F8" s="1374"/>
      <c r="G8" s="1374"/>
      <c r="H8" s="1374"/>
      <c r="I8" s="1374"/>
      <c r="J8" s="1382"/>
      <c r="K8" s="1374"/>
      <c r="L8" s="1374"/>
      <c r="M8" s="1374"/>
      <c r="N8" s="1378"/>
    </row>
    <row r="9" spans="1:14">
      <c r="A9" s="1339">
        <v>1</v>
      </c>
      <c r="B9" s="1383" t="s">
        <v>4939</v>
      </c>
      <c r="C9" s="1334" t="s">
        <v>2939</v>
      </c>
      <c r="D9" s="1334" t="s">
        <v>4840</v>
      </c>
      <c r="E9" s="1334">
        <v>1</v>
      </c>
      <c r="F9" s="1335">
        <v>538</v>
      </c>
      <c r="G9" s="1334" t="s">
        <v>2940</v>
      </c>
      <c r="H9" s="1334">
        <v>270</v>
      </c>
      <c r="I9" s="1341">
        <v>6</v>
      </c>
      <c r="J9" s="1334"/>
      <c r="K9" s="1334"/>
      <c r="L9" s="1384">
        <v>35</v>
      </c>
      <c r="M9" s="1334" t="s">
        <v>2947</v>
      </c>
      <c r="N9" s="2893">
        <v>10</v>
      </c>
    </row>
    <row r="10" spans="1:14">
      <c r="A10" s="1339">
        <v>2</v>
      </c>
      <c r="B10" s="1383" t="s">
        <v>4939</v>
      </c>
      <c r="C10" s="1334" t="s">
        <v>2939</v>
      </c>
      <c r="D10" s="1334"/>
      <c r="E10" s="1334">
        <v>1</v>
      </c>
      <c r="F10" s="1334">
        <v>534</v>
      </c>
      <c r="G10" s="1334" t="s">
        <v>2940</v>
      </c>
      <c r="H10" s="1334">
        <v>234</v>
      </c>
      <c r="I10" s="1334">
        <v>6</v>
      </c>
      <c r="J10" s="1334"/>
      <c r="K10" s="1334"/>
      <c r="L10" s="1384">
        <v>18</v>
      </c>
      <c r="M10" s="1334" t="s">
        <v>2947</v>
      </c>
      <c r="N10" s="2894"/>
    </row>
    <row r="11" spans="1:14">
      <c r="A11" s="1339">
        <v>1</v>
      </c>
      <c r="B11" s="1383" t="s">
        <v>4940</v>
      </c>
      <c r="C11" s="1334" t="s">
        <v>2939</v>
      </c>
      <c r="D11" s="1334" t="s">
        <v>4841</v>
      </c>
      <c r="E11" s="1334">
        <v>1</v>
      </c>
      <c r="F11" s="1334">
        <v>595</v>
      </c>
      <c r="G11" s="1334" t="s">
        <v>2940</v>
      </c>
      <c r="H11" s="1334">
        <v>573</v>
      </c>
      <c r="I11" s="1334">
        <v>6</v>
      </c>
      <c r="J11" s="1334"/>
      <c r="K11" s="1334"/>
      <c r="L11" s="1384">
        <v>26</v>
      </c>
      <c r="M11" s="1334" t="s">
        <v>2947</v>
      </c>
      <c r="N11" s="2893">
        <v>13</v>
      </c>
    </row>
    <row r="12" spans="1:14">
      <c r="A12" s="1339">
        <v>2</v>
      </c>
      <c r="B12" s="1383" t="s">
        <v>4940</v>
      </c>
      <c r="C12" s="1334" t="s">
        <v>2939</v>
      </c>
      <c r="D12" s="1334" t="s">
        <v>4842</v>
      </c>
      <c r="E12" s="1334">
        <v>1</v>
      </c>
      <c r="F12" s="1334">
        <v>588</v>
      </c>
      <c r="G12" s="1334" t="s">
        <v>2940</v>
      </c>
      <c r="H12" s="1334">
        <v>136</v>
      </c>
      <c r="I12" s="1334">
        <v>6</v>
      </c>
      <c r="J12" s="1334"/>
      <c r="K12" s="1334"/>
      <c r="L12" s="1384">
        <v>17</v>
      </c>
      <c r="M12" s="1334" t="s">
        <v>2947</v>
      </c>
      <c r="N12" s="2894"/>
    </row>
    <row r="13" spans="1:14">
      <c r="A13" s="1339">
        <v>1</v>
      </c>
      <c r="B13" s="1383" t="s">
        <v>4941</v>
      </c>
      <c r="C13" s="1334" t="s">
        <v>2939</v>
      </c>
      <c r="D13" s="1334" t="s">
        <v>4843</v>
      </c>
      <c r="E13" s="1334">
        <v>1</v>
      </c>
      <c r="F13" s="1334">
        <v>578</v>
      </c>
      <c r="G13" s="1334" t="s">
        <v>2940</v>
      </c>
      <c r="H13" s="1334">
        <v>194</v>
      </c>
      <c r="I13" s="1334">
        <v>6</v>
      </c>
      <c r="J13" s="1334"/>
      <c r="K13" s="1334"/>
      <c r="L13" s="1384">
        <v>40</v>
      </c>
      <c r="M13" s="1334" t="s">
        <v>2947</v>
      </c>
      <c r="N13" s="2893">
        <v>40</v>
      </c>
    </row>
    <row r="14" spans="1:14">
      <c r="A14" s="1339">
        <v>2</v>
      </c>
      <c r="B14" s="1383" t="s">
        <v>4941</v>
      </c>
      <c r="C14" s="1334" t="s">
        <v>2939</v>
      </c>
      <c r="D14" s="1334" t="s">
        <v>4843</v>
      </c>
      <c r="E14" s="1334">
        <v>1</v>
      </c>
      <c r="F14" s="1334">
        <v>578</v>
      </c>
      <c r="G14" s="1334" t="s">
        <v>2940</v>
      </c>
      <c r="H14" s="1334">
        <v>200</v>
      </c>
      <c r="I14" s="1334">
        <v>6</v>
      </c>
      <c r="J14" s="1334"/>
      <c r="K14" s="1334"/>
      <c r="L14" s="1384">
        <v>45</v>
      </c>
      <c r="M14" s="1334" t="s">
        <v>2947</v>
      </c>
      <c r="N14" s="2894"/>
    </row>
    <row r="15" spans="1:14">
      <c r="A15" s="1339">
        <v>3</v>
      </c>
      <c r="B15" s="1383" t="s">
        <v>4941</v>
      </c>
      <c r="C15" s="1334" t="s">
        <v>2939</v>
      </c>
      <c r="D15" s="1334" t="s">
        <v>4844</v>
      </c>
      <c r="E15" s="1334">
        <v>1</v>
      </c>
      <c r="F15" s="1334">
        <v>578</v>
      </c>
      <c r="G15" s="1334" t="s">
        <v>2940</v>
      </c>
      <c r="H15" s="1334">
        <v>268</v>
      </c>
      <c r="I15" s="1334">
        <v>6</v>
      </c>
      <c r="J15" s="1334"/>
      <c r="K15" s="1334"/>
      <c r="L15" s="1384"/>
      <c r="M15" s="1334" t="s">
        <v>2947</v>
      </c>
      <c r="N15" s="2724" t="s">
        <v>4475</v>
      </c>
    </row>
    <row r="16" spans="1:14">
      <c r="A16" s="1339">
        <v>4</v>
      </c>
      <c r="B16" s="1383" t="s">
        <v>4941</v>
      </c>
      <c r="C16" s="1334" t="s">
        <v>2939</v>
      </c>
      <c r="D16" s="1334" t="s">
        <v>4844</v>
      </c>
      <c r="E16" s="1334">
        <v>1</v>
      </c>
      <c r="F16" s="1334">
        <v>580</v>
      </c>
      <c r="G16" s="1334" t="s">
        <v>2940</v>
      </c>
      <c r="H16" s="1334">
        <v>225</v>
      </c>
      <c r="I16" s="1334">
        <v>6</v>
      </c>
      <c r="J16" s="1334"/>
      <c r="K16" s="1334"/>
      <c r="L16" s="1384"/>
      <c r="M16" s="1334" t="s">
        <v>2947</v>
      </c>
      <c r="N16" s="2724" t="s">
        <v>4475</v>
      </c>
    </row>
    <row r="17" spans="1:14">
      <c r="A17" s="1339">
        <v>1</v>
      </c>
      <c r="B17" s="1383" t="s">
        <v>4942</v>
      </c>
      <c r="C17" s="1334" t="s">
        <v>2939</v>
      </c>
      <c r="D17" s="1334"/>
      <c r="E17" s="1334">
        <v>1</v>
      </c>
      <c r="F17" s="1334">
        <v>518</v>
      </c>
      <c r="G17" s="1334" t="s">
        <v>2940</v>
      </c>
      <c r="H17" s="1334">
        <v>605</v>
      </c>
      <c r="I17" s="1334">
        <v>6</v>
      </c>
      <c r="J17" s="1334"/>
      <c r="K17" s="1334"/>
      <c r="L17" s="1384">
        <v>13</v>
      </c>
      <c r="M17" s="1334" t="s">
        <v>2947</v>
      </c>
      <c r="N17" s="2893">
        <v>10</v>
      </c>
    </row>
    <row r="18" spans="1:14">
      <c r="A18" s="1339">
        <v>2</v>
      </c>
      <c r="B18" s="1383" t="s">
        <v>4942</v>
      </c>
      <c r="C18" s="1334" t="s">
        <v>2939</v>
      </c>
      <c r="D18" s="1334"/>
      <c r="E18" s="1334">
        <v>1</v>
      </c>
      <c r="F18" s="1334">
        <v>515</v>
      </c>
      <c r="G18" s="1334" t="s">
        <v>2940</v>
      </c>
      <c r="H18" s="1334">
        <v>293</v>
      </c>
      <c r="I18" s="1334">
        <v>6</v>
      </c>
      <c r="J18" s="1334"/>
      <c r="K18" s="1334"/>
      <c r="L18" s="1384">
        <v>7</v>
      </c>
      <c r="M18" s="1334" t="s">
        <v>2947</v>
      </c>
      <c r="N18" s="2894"/>
    </row>
    <row r="19" spans="1:14">
      <c r="A19" s="1339">
        <v>3</v>
      </c>
      <c r="B19" s="1383" t="s">
        <v>4942</v>
      </c>
      <c r="C19" s="1334" t="s">
        <v>2939</v>
      </c>
      <c r="D19" s="1334"/>
      <c r="E19" s="1334">
        <v>1</v>
      </c>
      <c r="F19" s="1334">
        <v>513</v>
      </c>
      <c r="G19" s="1334" t="s">
        <v>2940</v>
      </c>
      <c r="H19" s="1334">
        <v>500</v>
      </c>
      <c r="I19" s="1334">
        <v>6</v>
      </c>
      <c r="J19" s="1334"/>
      <c r="K19" s="1334"/>
      <c r="L19" s="1384"/>
      <c r="M19" s="1334" t="s">
        <v>2947</v>
      </c>
      <c r="N19" s="2724" t="s">
        <v>4475</v>
      </c>
    </row>
    <row r="20" spans="1:14">
      <c r="A20" s="1339">
        <v>1</v>
      </c>
      <c r="B20" s="1383" t="s">
        <v>4943</v>
      </c>
      <c r="C20" s="1334" t="s">
        <v>2939</v>
      </c>
      <c r="D20" s="1334"/>
      <c r="E20" s="1334">
        <v>1</v>
      </c>
      <c r="F20" s="1334">
        <v>510</v>
      </c>
      <c r="G20" s="1334" t="s">
        <v>2940</v>
      </c>
      <c r="H20" s="1334">
        <v>205</v>
      </c>
      <c r="I20" s="1334">
        <v>6</v>
      </c>
      <c r="J20" s="1334"/>
      <c r="K20" s="1334"/>
      <c r="L20" s="1334">
        <v>0</v>
      </c>
      <c r="M20" s="1334" t="s">
        <v>2947</v>
      </c>
      <c r="N20" s="2724">
        <v>0</v>
      </c>
    </row>
    <row r="21" spans="1:14" ht="12" customHeight="1">
      <c r="A21" s="1339">
        <v>1</v>
      </c>
      <c r="B21" s="1383" t="s">
        <v>4944</v>
      </c>
      <c r="C21" s="1334" t="s">
        <v>2939</v>
      </c>
      <c r="D21" s="1334" t="s">
        <v>4846</v>
      </c>
      <c r="E21" s="1334">
        <v>1</v>
      </c>
      <c r="F21" s="1334">
        <v>522</v>
      </c>
      <c r="G21" s="1334" t="s">
        <v>2940</v>
      </c>
      <c r="H21" s="1334">
        <v>195</v>
      </c>
      <c r="I21" s="1334">
        <v>6</v>
      </c>
      <c r="J21" s="1334"/>
      <c r="K21" s="1334"/>
      <c r="L21" s="1334">
        <v>46</v>
      </c>
      <c r="M21" s="1334" t="s">
        <v>2947</v>
      </c>
      <c r="N21" s="2893">
        <v>7</v>
      </c>
    </row>
    <row r="22" spans="1:14">
      <c r="A22" s="1339">
        <v>2</v>
      </c>
      <c r="B22" s="1383" t="s">
        <v>4944</v>
      </c>
      <c r="C22" s="1334" t="s">
        <v>2939</v>
      </c>
      <c r="D22" s="1334" t="s">
        <v>4847</v>
      </c>
      <c r="E22" s="1334">
        <v>1</v>
      </c>
      <c r="F22" s="1335">
        <v>520</v>
      </c>
      <c r="G22" s="1334" t="s">
        <v>2940</v>
      </c>
      <c r="H22" s="1334">
        <v>300</v>
      </c>
      <c r="I22" s="1334">
        <v>6</v>
      </c>
      <c r="J22" s="1334"/>
      <c r="K22" s="1334"/>
      <c r="L22" s="1334">
        <v>45</v>
      </c>
      <c r="M22" s="1334" t="s">
        <v>2947</v>
      </c>
      <c r="N22" s="2894"/>
    </row>
    <row r="23" spans="1:14">
      <c r="A23" s="1339">
        <v>1</v>
      </c>
      <c r="B23" s="1383" t="s">
        <v>4945</v>
      </c>
      <c r="C23" s="1334" t="s">
        <v>2939</v>
      </c>
      <c r="D23" s="1334" t="s">
        <v>4848</v>
      </c>
      <c r="E23" s="1334">
        <v>1</v>
      </c>
      <c r="F23" s="1334">
        <v>475</v>
      </c>
      <c r="G23" s="1334" t="s">
        <v>2940</v>
      </c>
      <c r="H23" s="1334">
        <v>400</v>
      </c>
      <c r="I23" s="1334">
        <v>6</v>
      </c>
      <c r="J23" s="1334"/>
      <c r="K23" s="1334"/>
      <c r="L23" s="1384">
        <v>25</v>
      </c>
      <c r="M23" s="1334" t="s">
        <v>2947</v>
      </c>
      <c r="N23" s="2893">
        <v>17</v>
      </c>
    </row>
    <row r="24" spans="1:14">
      <c r="A24" s="1339">
        <v>2</v>
      </c>
      <c r="B24" s="1383" t="s">
        <v>4945</v>
      </c>
      <c r="C24" s="1334" t="s">
        <v>2939</v>
      </c>
      <c r="D24" s="1334" t="s">
        <v>4849</v>
      </c>
      <c r="E24" s="1334">
        <v>1</v>
      </c>
      <c r="F24" s="1334">
        <v>478</v>
      </c>
      <c r="G24" s="1334" t="s">
        <v>2940</v>
      </c>
      <c r="H24" s="1334">
        <v>185</v>
      </c>
      <c r="I24" s="1334">
        <v>6</v>
      </c>
      <c r="J24" s="1334"/>
      <c r="K24" s="1334"/>
      <c r="L24" s="1384">
        <v>27</v>
      </c>
      <c r="M24" s="1334" t="s">
        <v>2947</v>
      </c>
      <c r="N24" s="2894"/>
    </row>
    <row r="25" spans="1:14">
      <c r="A25" s="1339">
        <v>1</v>
      </c>
      <c r="B25" s="1383" t="s">
        <v>4946</v>
      </c>
      <c r="C25" s="1334" t="s">
        <v>2939</v>
      </c>
      <c r="D25" s="1334">
        <v>1977</v>
      </c>
      <c r="E25" s="1334">
        <v>1</v>
      </c>
      <c r="F25" s="1334">
        <v>409</v>
      </c>
      <c r="G25" s="1334" t="s">
        <v>2940</v>
      </c>
      <c r="H25" s="1334">
        <v>160</v>
      </c>
      <c r="I25" s="1334">
        <v>6</v>
      </c>
      <c r="J25" s="1334"/>
      <c r="K25" s="1334"/>
      <c r="L25" s="1384">
        <v>34</v>
      </c>
      <c r="M25" s="1334" t="s">
        <v>2947</v>
      </c>
      <c r="N25" s="2893">
        <v>9</v>
      </c>
    </row>
    <row r="26" spans="1:14">
      <c r="A26" s="1339">
        <v>2</v>
      </c>
      <c r="B26" s="1383" t="s">
        <v>4946</v>
      </c>
      <c r="C26" s="1334" t="s">
        <v>2939</v>
      </c>
      <c r="D26" s="1334">
        <v>1977</v>
      </c>
      <c r="E26" s="1334">
        <v>1</v>
      </c>
      <c r="F26" s="1334">
        <v>407</v>
      </c>
      <c r="G26" s="1334" t="s">
        <v>2940</v>
      </c>
      <c r="H26" s="1334">
        <v>430</v>
      </c>
      <c r="I26" s="1334">
        <v>6</v>
      </c>
      <c r="J26" s="1334"/>
      <c r="K26" s="1334"/>
      <c r="L26" s="1384">
        <v>35</v>
      </c>
      <c r="M26" s="1334" t="s">
        <v>2947</v>
      </c>
      <c r="N26" s="2894"/>
    </row>
    <row r="27" spans="1:14">
      <c r="A27" s="1339">
        <v>1</v>
      </c>
      <c r="B27" s="1383" t="s">
        <v>4947</v>
      </c>
      <c r="C27" s="1334" t="s">
        <v>2939</v>
      </c>
      <c r="D27" s="1334"/>
      <c r="E27" s="1334">
        <v>1</v>
      </c>
      <c r="F27" s="1334">
        <v>596</v>
      </c>
      <c r="G27" s="1334" t="s">
        <v>2940</v>
      </c>
      <c r="H27" s="1334">
        <v>368</v>
      </c>
      <c r="I27" s="1334">
        <v>6</v>
      </c>
      <c r="J27" s="1334"/>
      <c r="K27" s="1334"/>
      <c r="L27" s="1384">
        <v>23</v>
      </c>
      <c r="M27" s="1334" t="s">
        <v>2947</v>
      </c>
      <c r="N27" s="2893">
        <v>10</v>
      </c>
    </row>
    <row r="28" spans="1:14">
      <c r="A28" s="1339">
        <v>2</v>
      </c>
      <c r="B28" s="1383" t="s">
        <v>4947</v>
      </c>
      <c r="C28" s="1334" t="s">
        <v>2939</v>
      </c>
      <c r="D28" s="1334" t="s">
        <v>4850</v>
      </c>
      <c r="E28" s="1334">
        <v>1</v>
      </c>
      <c r="F28" s="1334">
        <v>607</v>
      </c>
      <c r="G28" s="1334" t="s">
        <v>2940</v>
      </c>
      <c r="H28" s="1334">
        <v>169</v>
      </c>
      <c r="I28" s="1334">
        <v>6</v>
      </c>
      <c r="J28" s="1334"/>
      <c r="K28" s="1334"/>
      <c r="L28" s="1384">
        <v>22</v>
      </c>
      <c r="M28" s="1334" t="s">
        <v>2947</v>
      </c>
      <c r="N28" s="2894"/>
    </row>
    <row r="29" spans="1:14">
      <c r="A29" s="1339">
        <v>1</v>
      </c>
      <c r="B29" s="1383" t="s">
        <v>4948</v>
      </c>
      <c r="C29" s="1334" t="s">
        <v>2939</v>
      </c>
      <c r="D29" s="1334" t="s">
        <v>4851</v>
      </c>
      <c r="E29" s="1334">
        <v>1</v>
      </c>
      <c r="F29" s="1334">
        <v>582</v>
      </c>
      <c r="G29" s="1334" t="s">
        <v>2940</v>
      </c>
      <c r="H29" s="1334">
        <v>185</v>
      </c>
      <c r="I29" s="1334">
        <v>6</v>
      </c>
      <c r="J29" s="1334"/>
      <c r="K29" s="1334"/>
      <c r="L29" s="1384">
        <v>19</v>
      </c>
      <c r="M29" s="1334" t="s">
        <v>2947</v>
      </c>
      <c r="N29" s="2893">
        <v>53</v>
      </c>
    </row>
    <row r="30" spans="1:14">
      <c r="A30" s="1339">
        <v>2</v>
      </c>
      <c r="B30" s="1383" t="s">
        <v>4948</v>
      </c>
      <c r="C30" s="1334" t="s">
        <v>2939</v>
      </c>
      <c r="D30" s="1334" t="s">
        <v>4851</v>
      </c>
      <c r="E30" s="1334">
        <v>1</v>
      </c>
      <c r="F30" s="1334">
        <v>582</v>
      </c>
      <c r="G30" s="1334" t="s">
        <v>2940</v>
      </c>
      <c r="H30" s="1334">
        <v>305</v>
      </c>
      <c r="I30" s="1334">
        <v>6</v>
      </c>
      <c r="J30" s="1334"/>
      <c r="K30" s="1334"/>
      <c r="L30" s="1384">
        <v>17</v>
      </c>
      <c r="M30" s="1334" t="s">
        <v>2947</v>
      </c>
      <c r="N30" s="2895"/>
    </row>
    <row r="31" spans="1:14">
      <c r="A31" s="1339">
        <v>3</v>
      </c>
      <c r="B31" s="1383" t="s">
        <v>4948</v>
      </c>
      <c r="C31" s="1334" t="s">
        <v>2939</v>
      </c>
      <c r="D31" s="1334"/>
      <c r="E31" s="1334">
        <v>1</v>
      </c>
      <c r="F31" s="1334">
        <v>587</v>
      </c>
      <c r="G31" s="1334" t="s">
        <v>2940</v>
      </c>
      <c r="H31" s="1334">
        <v>219</v>
      </c>
      <c r="I31" s="1334">
        <v>6</v>
      </c>
      <c r="J31" s="1334"/>
      <c r="K31" s="1334"/>
      <c r="L31" s="1334">
        <v>41</v>
      </c>
      <c r="M31" s="1334" t="s">
        <v>2947</v>
      </c>
      <c r="N31" s="2894"/>
    </row>
    <row r="32" spans="1:14">
      <c r="A32" s="1339">
        <v>1</v>
      </c>
      <c r="B32" s="1383" t="s">
        <v>4949</v>
      </c>
      <c r="C32" s="1334" t="s">
        <v>2939</v>
      </c>
      <c r="D32" s="1334">
        <v>1984</v>
      </c>
      <c r="E32" s="1334">
        <v>1</v>
      </c>
      <c r="F32" s="1335">
        <v>676</v>
      </c>
      <c r="G32" s="1334" t="s">
        <v>2940</v>
      </c>
      <c r="H32" s="1334">
        <v>405</v>
      </c>
      <c r="I32" s="1334">
        <v>6</v>
      </c>
      <c r="J32" s="1334"/>
      <c r="K32" s="1334"/>
      <c r="L32" s="1341">
        <v>13</v>
      </c>
      <c r="M32" s="1334" t="s">
        <v>2947</v>
      </c>
      <c r="N32" s="2893">
        <v>5</v>
      </c>
    </row>
    <row r="33" spans="1:14">
      <c r="A33" s="1339">
        <v>3</v>
      </c>
      <c r="B33" s="1383" t="s">
        <v>4949</v>
      </c>
      <c r="C33" s="1334" t="s">
        <v>2939</v>
      </c>
      <c r="D33" s="1334">
        <v>1984</v>
      </c>
      <c r="E33" s="1334">
        <v>1</v>
      </c>
      <c r="F33" s="1334">
        <v>669</v>
      </c>
      <c r="G33" s="1334" t="s">
        <v>2940</v>
      </c>
      <c r="H33" s="1334">
        <v>505</v>
      </c>
      <c r="I33" s="1334">
        <v>6</v>
      </c>
      <c r="J33" s="1334"/>
      <c r="K33" s="1334"/>
      <c r="L33" s="1384">
        <v>14</v>
      </c>
      <c r="M33" s="1334" t="s">
        <v>2947</v>
      </c>
      <c r="N33" s="2894"/>
    </row>
    <row r="34" spans="1:14" ht="12" customHeight="1">
      <c r="A34" s="1340">
        <v>2</v>
      </c>
      <c r="B34" s="1383" t="s">
        <v>4949</v>
      </c>
      <c r="C34" s="1334" t="s">
        <v>2939</v>
      </c>
      <c r="D34" s="1341">
        <v>1984</v>
      </c>
      <c r="E34" s="1341">
        <v>1</v>
      </c>
      <c r="F34" s="1342">
        <v>672</v>
      </c>
      <c r="G34" s="1334" t="s">
        <v>2940</v>
      </c>
      <c r="H34" s="1341">
        <v>400</v>
      </c>
      <c r="I34" s="1341">
        <v>6</v>
      </c>
      <c r="J34" s="1341"/>
      <c r="K34" s="1341"/>
      <c r="L34" s="1334"/>
      <c r="M34" s="1334" t="s">
        <v>2947</v>
      </c>
      <c r="N34" s="2724" t="s">
        <v>4475</v>
      </c>
    </row>
    <row r="35" spans="1:14">
      <c r="A35" s="1339">
        <v>1</v>
      </c>
      <c r="B35" s="1383" t="s">
        <v>4950</v>
      </c>
      <c r="C35" s="1334" t="s">
        <v>2939</v>
      </c>
      <c r="D35" s="1334"/>
      <c r="E35" s="1334">
        <v>1</v>
      </c>
      <c r="F35" s="1334">
        <v>393</v>
      </c>
      <c r="G35" s="1334" t="s">
        <v>2940</v>
      </c>
      <c r="H35" s="1334">
        <v>180</v>
      </c>
      <c r="I35" s="1334">
        <v>6</v>
      </c>
      <c r="J35" s="1334"/>
      <c r="K35" s="1334"/>
      <c r="L35" s="1384">
        <v>10</v>
      </c>
      <c r="M35" s="1334" t="s">
        <v>2947</v>
      </c>
      <c r="N35" s="2893">
        <v>4</v>
      </c>
    </row>
    <row r="36" spans="1:14">
      <c r="A36" s="1339">
        <v>2</v>
      </c>
      <c r="B36" s="1383" t="s">
        <v>4950</v>
      </c>
      <c r="C36" s="1334" t="s">
        <v>2939</v>
      </c>
      <c r="D36" s="1334"/>
      <c r="E36" s="1334">
        <v>1</v>
      </c>
      <c r="F36" s="1334">
        <v>393</v>
      </c>
      <c r="G36" s="1334" t="s">
        <v>2940</v>
      </c>
      <c r="H36" s="1334">
        <v>185</v>
      </c>
      <c r="I36" s="1334">
        <v>6</v>
      </c>
      <c r="J36" s="1334"/>
      <c r="K36" s="1334"/>
      <c r="L36" s="1384">
        <v>11</v>
      </c>
      <c r="M36" s="1334" t="s">
        <v>2947</v>
      </c>
      <c r="N36" s="2894"/>
    </row>
    <row r="37" spans="1:14">
      <c r="A37" s="1339">
        <v>1</v>
      </c>
      <c r="B37" s="1383" t="s">
        <v>4951</v>
      </c>
      <c r="C37" s="1334" t="s">
        <v>2939</v>
      </c>
      <c r="D37" s="1334"/>
      <c r="E37" s="1334">
        <v>1</v>
      </c>
      <c r="F37" s="1334">
        <v>449</v>
      </c>
      <c r="G37" s="1334" t="s">
        <v>2940</v>
      </c>
      <c r="H37" s="1334" t="s">
        <v>5219</v>
      </c>
      <c r="I37" s="1334">
        <v>6</v>
      </c>
      <c r="J37" s="1334"/>
      <c r="K37" s="1334"/>
      <c r="L37" s="1384">
        <v>17</v>
      </c>
      <c r="M37" s="1334" t="s">
        <v>2947</v>
      </c>
      <c r="N37" s="2893">
        <v>4</v>
      </c>
    </row>
    <row r="38" spans="1:14">
      <c r="A38" s="1339">
        <v>2</v>
      </c>
      <c r="B38" s="1383" t="s">
        <v>4951</v>
      </c>
      <c r="C38" s="1334" t="s">
        <v>2939</v>
      </c>
      <c r="D38" s="1334"/>
      <c r="E38" s="1334">
        <v>1</v>
      </c>
      <c r="F38" s="1334">
        <v>450</v>
      </c>
      <c r="G38" s="1334" t="s">
        <v>2940</v>
      </c>
      <c r="H38" s="1334" t="s">
        <v>5219</v>
      </c>
      <c r="I38" s="1334">
        <v>6</v>
      </c>
      <c r="J38" s="1334"/>
      <c r="K38" s="1334"/>
      <c r="L38" s="1341">
        <v>8</v>
      </c>
      <c r="M38" s="1334" t="s">
        <v>2947</v>
      </c>
      <c r="N38" s="2894"/>
    </row>
    <row r="39" spans="1:14">
      <c r="A39" s="1339">
        <v>1</v>
      </c>
      <c r="B39" s="1383" t="s">
        <v>4952</v>
      </c>
      <c r="C39" s="1334" t="s">
        <v>2939</v>
      </c>
      <c r="D39" s="1334" t="s">
        <v>4852</v>
      </c>
      <c r="E39" s="1334">
        <v>1</v>
      </c>
      <c r="F39" s="1335">
        <v>386</v>
      </c>
      <c r="G39" s="1334" t="s">
        <v>2940</v>
      </c>
      <c r="H39" s="1334">
        <v>150</v>
      </c>
      <c r="I39" s="1334">
        <v>6</v>
      </c>
      <c r="J39" s="1334"/>
      <c r="K39" s="1334"/>
      <c r="L39" s="1334">
        <v>46</v>
      </c>
      <c r="M39" s="1334" t="s">
        <v>2947</v>
      </c>
      <c r="N39" s="2893">
        <v>16</v>
      </c>
    </row>
    <row r="40" spans="1:14">
      <c r="A40" s="1339" t="s">
        <v>4853</v>
      </c>
      <c r="B40" s="1383" t="s">
        <v>4952</v>
      </c>
      <c r="C40" s="1334" t="s">
        <v>2939</v>
      </c>
      <c r="D40" s="1341" t="s">
        <v>4854</v>
      </c>
      <c r="E40" s="1334">
        <v>1</v>
      </c>
      <c r="F40" s="1335">
        <v>386</v>
      </c>
      <c r="G40" s="1334" t="s">
        <v>2940</v>
      </c>
      <c r="H40" s="1334">
        <v>145</v>
      </c>
      <c r="I40" s="1334">
        <v>6</v>
      </c>
      <c r="J40" s="1334"/>
      <c r="K40" s="1334"/>
      <c r="L40" s="1334">
        <v>38</v>
      </c>
      <c r="M40" s="1334" t="s">
        <v>2947</v>
      </c>
      <c r="N40" s="2894"/>
    </row>
    <row r="41" spans="1:14">
      <c r="A41" s="1339">
        <v>3</v>
      </c>
      <c r="B41" s="1383" t="s">
        <v>4952</v>
      </c>
      <c r="C41" s="1334" t="s">
        <v>2939</v>
      </c>
      <c r="D41" s="1334" t="s">
        <v>4855</v>
      </c>
      <c r="E41" s="1334">
        <v>1</v>
      </c>
      <c r="F41" s="1335">
        <v>386</v>
      </c>
      <c r="G41" s="1334" t="s">
        <v>2940</v>
      </c>
      <c r="H41" s="1334"/>
      <c r="I41" s="1334">
        <v>6</v>
      </c>
      <c r="J41" s="1334"/>
      <c r="K41" s="1383"/>
      <c r="L41" s="1334"/>
      <c r="M41" s="1334" t="s">
        <v>2947</v>
      </c>
      <c r="N41" s="2724" t="s">
        <v>4475</v>
      </c>
    </row>
    <row r="42" spans="1:14">
      <c r="A42" s="1339" t="s">
        <v>4856</v>
      </c>
      <c r="B42" s="1383" t="s">
        <v>4952</v>
      </c>
      <c r="C42" s="1334" t="s">
        <v>2939</v>
      </c>
      <c r="D42" s="1334"/>
      <c r="E42" s="1334">
        <v>1</v>
      </c>
      <c r="F42" s="1335">
        <v>386</v>
      </c>
      <c r="G42" s="1334" t="s">
        <v>2940</v>
      </c>
      <c r="H42" s="1334"/>
      <c r="I42" s="1341">
        <v>6</v>
      </c>
      <c r="J42" s="1334"/>
      <c r="K42" s="1383"/>
      <c r="L42" s="1334"/>
      <c r="M42" s="1334" t="s">
        <v>2947</v>
      </c>
      <c r="N42" s="2724" t="s">
        <v>4475</v>
      </c>
    </row>
    <row r="43" spans="1:14">
      <c r="A43" s="1339">
        <v>1</v>
      </c>
      <c r="B43" s="1383" t="s">
        <v>4953</v>
      </c>
      <c r="C43" s="1334" t="s">
        <v>2939</v>
      </c>
      <c r="D43" s="1334">
        <v>1967</v>
      </c>
      <c r="E43" s="1334">
        <v>1</v>
      </c>
      <c r="F43" s="1335">
        <v>703</v>
      </c>
      <c r="G43" s="1334" t="s">
        <v>2940</v>
      </c>
      <c r="H43" s="1334">
        <v>270</v>
      </c>
      <c r="I43" s="1334">
        <v>6</v>
      </c>
      <c r="J43" s="1334"/>
      <c r="K43" s="1383"/>
      <c r="L43" s="1334">
        <v>12</v>
      </c>
      <c r="M43" s="1334" t="s">
        <v>2947</v>
      </c>
      <c r="N43" s="2893">
        <v>6</v>
      </c>
    </row>
    <row r="44" spans="1:14">
      <c r="A44" s="1339">
        <v>2</v>
      </c>
      <c r="B44" s="1383" t="s">
        <v>4953</v>
      </c>
      <c r="C44" s="1334" t="s">
        <v>2939</v>
      </c>
      <c r="D44" s="1334">
        <v>1980</v>
      </c>
      <c r="E44" s="1334">
        <v>1</v>
      </c>
      <c r="F44" s="1335">
        <v>706</v>
      </c>
      <c r="G44" s="1334" t="s">
        <v>2940</v>
      </c>
      <c r="H44" s="1334">
        <v>295</v>
      </c>
      <c r="I44" s="1334">
        <v>6</v>
      </c>
      <c r="J44" s="1334"/>
      <c r="K44" s="1383"/>
      <c r="L44" s="1334">
        <v>21</v>
      </c>
      <c r="M44" s="1334" t="s">
        <v>2947</v>
      </c>
      <c r="N44" s="2894"/>
    </row>
    <row r="45" spans="1:14">
      <c r="A45" s="1339"/>
      <c r="B45" s="1383"/>
      <c r="C45" s="1334"/>
      <c r="D45" s="1334"/>
      <c r="E45" s="1334"/>
      <c r="F45" s="1335"/>
      <c r="G45" s="1334"/>
      <c r="H45" s="1334"/>
      <c r="I45" s="1334"/>
      <c r="J45" s="1334"/>
      <c r="K45" s="1383"/>
      <c r="L45" s="1334"/>
      <c r="M45" s="1334"/>
      <c r="N45" s="1385"/>
    </row>
    <row r="46" spans="1:14">
      <c r="A46" s="1339"/>
      <c r="B46" s="1345" t="s">
        <v>4859</v>
      </c>
      <c r="C46" s="1334"/>
      <c r="D46" s="1334"/>
      <c r="E46" s="1334"/>
      <c r="F46" s="1335"/>
      <c r="G46" s="1334"/>
      <c r="H46" s="1334"/>
      <c r="I46" s="1334"/>
      <c r="J46" s="1334"/>
      <c r="K46" s="1383"/>
      <c r="L46" s="1334"/>
      <c r="M46" s="1334"/>
      <c r="N46" s="1385"/>
    </row>
    <row r="47" spans="1:14">
      <c r="A47" s="1339">
        <v>1</v>
      </c>
      <c r="B47" s="1383" t="s">
        <v>4860</v>
      </c>
      <c r="C47" s="1334" t="s">
        <v>2939</v>
      </c>
      <c r="D47" s="1334">
        <v>1975</v>
      </c>
      <c r="E47" s="1334">
        <v>1</v>
      </c>
      <c r="F47" s="1334">
        <v>222</v>
      </c>
      <c r="G47" s="1334" t="s">
        <v>4861</v>
      </c>
      <c r="H47" s="1334">
        <v>66</v>
      </c>
      <c r="I47" s="1334">
        <v>12</v>
      </c>
      <c r="J47" s="1334"/>
      <c r="K47" s="1334"/>
      <c r="L47" s="1384">
        <v>130</v>
      </c>
      <c r="M47" s="1334" t="s">
        <v>2947</v>
      </c>
      <c r="N47" s="2890">
        <v>375</v>
      </c>
    </row>
    <row r="48" spans="1:14">
      <c r="A48" s="1339">
        <v>2</v>
      </c>
      <c r="B48" s="1383" t="s">
        <v>4860</v>
      </c>
      <c r="C48" s="1334" t="s">
        <v>2939</v>
      </c>
      <c r="D48" s="1334">
        <v>1975</v>
      </c>
      <c r="E48" s="1334">
        <v>1</v>
      </c>
      <c r="F48" s="1334">
        <v>228</v>
      </c>
      <c r="G48" s="1334" t="s">
        <v>4861</v>
      </c>
      <c r="H48" s="1334">
        <v>54</v>
      </c>
      <c r="I48" s="1334">
        <v>12</v>
      </c>
      <c r="J48" s="1334"/>
      <c r="K48" s="1334"/>
      <c r="L48" s="1384">
        <v>80</v>
      </c>
      <c r="M48" s="1334" t="s">
        <v>2947</v>
      </c>
      <c r="N48" s="2891"/>
    </row>
    <row r="49" spans="1:14">
      <c r="A49" s="1339">
        <v>3</v>
      </c>
      <c r="B49" s="1383" t="s">
        <v>4860</v>
      </c>
      <c r="C49" s="1334" t="s">
        <v>2939</v>
      </c>
      <c r="D49" s="1334">
        <v>1984</v>
      </c>
      <c r="E49" s="1334">
        <v>1</v>
      </c>
      <c r="F49" s="1334">
        <v>221</v>
      </c>
      <c r="G49" s="1334" t="s">
        <v>4861</v>
      </c>
      <c r="H49" s="1334">
        <v>60</v>
      </c>
      <c r="I49" s="1334">
        <v>10</v>
      </c>
      <c r="J49" s="1334"/>
      <c r="K49" s="1334"/>
      <c r="L49" s="1384">
        <v>0</v>
      </c>
      <c r="M49" s="1334" t="s">
        <v>4954</v>
      </c>
      <c r="N49" s="2891"/>
    </row>
    <row r="50" spans="1:14">
      <c r="A50" s="1339">
        <v>4</v>
      </c>
      <c r="B50" s="1383" t="s">
        <v>4860</v>
      </c>
      <c r="C50" s="1334" t="s">
        <v>2939</v>
      </c>
      <c r="D50" s="1334">
        <v>1985</v>
      </c>
      <c r="E50" s="1334">
        <v>1</v>
      </c>
      <c r="F50" s="1334">
        <v>224</v>
      </c>
      <c r="G50" s="1334" t="s">
        <v>4861</v>
      </c>
      <c r="H50" s="1334">
        <v>93</v>
      </c>
      <c r="I50" s="1334">
        <v>10</v>
      </c>
      <c r="J50" s="1334"/>
      <c r="K50" s="1334"/>
      <c r="L50" s="1384">
        <v>75</v>
      </c>
      <c r="M50" s="1334" t="s">
        <v>2947</v>
      </c>
      <c r="N50" s="2891"/>
    </row>
    <row r="51" spans="1:14">
      <c r="A51" s="1339">
        <v>5</v>
      </c>
      <c r="B51" s="1383" t="s">
        <v>4860</v>
      </c>
      <c r="C51" s="1334" t="s">
        <v>2939</v>
      </c>
      <c r="D51" s="1334">
        <v>1985</v>
      </c>
      <c r="E51" s="1334">
        <v>1</v>
      </c>
      <c r="F51" s="1334">
        <v>220</v>
      </c>
      <c r="G51" s="1334" t="s">
        <v>4861</v>
      </c>
      <c r="H51" s="1334">
        <v>84</v>
      </c>
      <c r="I51" s="1334">
        <v>10</v>
      </c>
      <c r="J51" s="1334"/>
      <c r="K51" s="1334"/>
      <c r="L51" s="1384">
        <v>25</v>
      </c>
      <c r="M51" s="1334" t="s">
        <v>2947</v>
      </c>
      <c r="N51" s="2892"/>
    </row>
    <row r="52" spans="1:14">
      <c r="A52" s="1339"/>
      <c r="B52" s="1383"/>
      <c r="C52" s="1334"/>
      <c r="D52" s="1334"/>
      <c r="E52" s="1334"/>
      <c r="F52" s="1334"/>
      <c r="G52" s="1334"/>
      <c r="H52" s="1334"/>
      <c r="I52" s="1334"/>
      <c r="J52" s="1334"/>
      <c r="K52" s="1334"/>
      <c r="L52" s="1384"/>
      <c r="M52" s="1334"/>
      <c r="N52" s="1385"/>
    </row>
    <row r="53" spans="1:14">
      <c r="A53" s="1339"/>
      <c r="B53" s="1383"/>
      <c r="C53" s="1334"/>
      <c r="D53" s="1334"/>
      <c r="E53" s="1334"/>
      <c r="F53" s="1334"/>
      <c r="G53" s="1334"/>
      <c r="H53" s="1334"/>
      <c r="I53" s="1334"/>
      <c r="J53" s="1334"/>
      <c r="K53" s="1334"/>
      <c r="L53" s="1384"/>
      <c r="M53" s="1334"/>
      <c r="N53" s="1385"/>
    </row>
    <row r="54" spans="1:14">
      <c r="A54" s="1339"/>
      <c r="B54" s="1383"/>
      <c r="C54" s="1334"/>
      <c r="D54" s="1334"/>
      <c r="E54" s="1334"/>
      <c r="G54" s="1334"/>
      <c r="H54" s="1334"/>
      <c r="I54" s="1334"/>
      <c r="J54" s="1334"/>
      <c r="K54" s="1334"/>
      <c r="L54" s="1384"/>
      <c r="M54" s="1334"/>
      <c r="N54" s="1385"/>
    </row>
    <row r="55" spans="1:14">
      <c r="A55" s="1339"/>
      <c r="B55" s="1383"/>
      <c r="C55" s="1334"/>
      <c r="D55" s="1334"/>
      <c r="E55" s="1334"/>
      <c r="F55" s="1334"/>
      <c r="G55" s="1334"/>
      <c r="H55" s="1334"/>
      <c r="I55" s="1334"/>
      <c r="J55" s="1334"/>
      <c r="K55" s="1334"/>
      <c r="L55" s="1384"/>
      <c r="M55" s="1334"/>
      <c r="N55" s="1952"/>
    </row>
    <row r="56" spans="1:14">
      <c r="A56" s="1339"/>
      <c r="B56" s="1383"/>
      <c r="C56" s="1334"/>
      <c r="D56" s="1334"/>
      <c r="E56" s="1334"/>
      <c r="F56" s="1335"/>
      <c r="G56" s="1334"/>
      <c r="H56" s="1334"/>
      <c r="I56" s="1341"/>
      <c r="J56" s="1334"/>
      <c r="K56" s="1334"/>
      <c r="L56" s="1384"/>
      <c r="M56" s="1334"/>
      <c r="N56" s="1378"/>
    </row>
    <row r="57" spans="1:14" ht="15" hidden="1" customHeight="1">
      <c r="A57" s="1339"/>
      <c r="B57" s="1338"/>
      <c r="C57" s="1334"/>
      <c r="D57" s="1334"/>
      <c r="E57" s="1334"/>
      <c r="F57" s="1335"/>
      <c r="G57" s="1334"/>
      <c r="H57" s="1334"/>
      <c r="I57" s="1334"/>
      <c r="J57" s="1334"/>
      <c r="K57" s="1383"/>
      <c r="L57" s="1334"/>
      <c r="M57" s="1334"/>
      <c r="N57" s="1378"/>
    </row>
    <row r="58" spans="1:14" ht="6" customHeight="1" thickBot="1">
      <c r="A58" s="1388"/>
      <c r="B58" s="1348"/>
      <c r="C58" s="1349"/>
      <c r="D58" s="1349"/>
      <c r="E58" s="1349"/>
      <c r="F58" s="1349"/>
      <c r="G58" s="1349"/>
      <c r="H58" s="1349"/>
      <c r="I58" s="1349"/>
      <c r="J58" s="1349"/>
      <c r="K58" s="1349"/>
      <c r="L58" s="1389"/>
      <c r="M58" s="1349"/>
      <c r="N58" s="2394"/>
    </row>
    <row r="59" spans="1:14" ht="6" customHeight="1">
      <c r="A59" s="1390"/>
      <c r="B59" s="1391"/>
      <c r="C59" s="1353"/>
      <c r="D59" s="1353"/>
      <c r="E59" s="1353"/>
      <c r="F59" s="1353"/>
      <c r="G59" s="1353"/>
      <c r="H59" s="1353"/>
      <c r="I59" s="1353"/>
      <c r="J59" s="1353"/>
      <c r="K59" s="1353"/>
      <c r="L59" s="1392"/>
      <c r="M59" s="1353"/>
      <c r="N59" s="1356"/>
    </row>
    <row r="60" spans="1:14">
      <c r="A60" s="1390" t="s">
        <v>1993</v>
      </c>
      <c r="B60" s="1358"/>
      <c r="C60" s="1353"/>
      <c r="D60" s="1393"/>
      <c r="E60" s="1353"/>
      <c r="F60" s="1353"/>
      <c r="G60" s="1353"/>
      <c r="H60" s="1353"/>
      <c r="I60" s="1353"/>
      <c r="J60" s="1353"/>
      <c r="K60" s="1353"/>
      <c r="L60" s="1353"/>
      <c r="M60" s="1353"/>
      <c r="N60" s="1356"/>
    </row>
    <row r="61" spans="1:14" ht="12.75" customHeight="1">
      <c r="A61" s="1390"/>
      <c r="B61" s="1358"/>
      <c r="C61" s="1353"/>
      <c r="D61" s="1353"/>
      <c r="E61" s="1353"/>
      <c r="F61" s="1353"/>
      <c r="G61" s="1353"/>
      <c r="H61" s="1353"/>
      <c r="I61" s="1353"/>
      <c r="J61" s="1353"/>
      <c r="K61" s="1353"/>
      <c r="L61" s="1353"/>
      <c r="M61" s="1353"/>
      <c r="N61" s="1356"/>
    </row>
    <row r="62" spans="1:14" ht="12.75" customHeight="1">
      <c r="A62" s="1390"/>
      <c r="B62" s="1358"/>
      <c r="C62" s="1353"/>
      <c r="D62" s="1353"/>
      <c r="E62" s="1353"/>
      <c r="F62" s="1353"/>
      <c r="G62" s="1353"/>
      <c r="H62" s="1391"/>
      <c r="I62" s="1353"/>
      <c r="J62" s="1353"/>
      <c r="K62" s="1353"/>
      <c r="L62" s="1353"/>
      <c r="M62" s="1353"/>
      <c r="N62" s="1356"/>
    </row>
    <row r="63" spans="1:14" ht="12" customHeight="1">
      <c r="A63" s="1390"/>
      <c r="B63" s="1358"/>
      <c r="C63" s="1353"/>
      <c r="D63" s="1353"/>
      <c r="E63" s="1353"/>
      <c r="F63" s="1353"/>
      <c r="G63" s="1353"/>
      <c r="H63" s="1353"/>
      <c r="I63" s="1353"/>
      <c r="J63" s="1353"/>
      <c r="K63" s="1394"/>
      <c r="L63" s="1353"/>
      <c r="M63" s="1353"/>
      <c r="N63" s="1356"/>
    </row>
    <row r="64" spans="1:14" ht="11.25" customHeight="1">
      <c r="A64" s="1390"/>
      <c r="B64" s="1358"/>
      <c r="C64" s="1353"/>
      <c r="D64" s="1353"/>
      <c r="E64" s="1353"/>
      <c r="F64" s="1353"/>
      <c r="G64" s="1353"/>
      <c r="H64" s="1353"/>
      <c r="I64" s="1353"/>
      <c r="J64" s="1353"/>
      <c r="K64" s="1394"/>
      <c r="L64" s="1353"/>
      <c r="M64" s="1353"/>
      <c r="N64" s="1356"/>
    </row>
    <row r="65" spans="1:14" ht="11.25" customHeight="1">
      <c r="A65" s="1390"/>
      <c r="B65" s="1358"/>
      <c r="C65" s="1353"/>
      <c r="D65" s="1353"/>
      <c r="E65" s="1353"/>
      <c r="F65" s="1353"/>
      <c r="G65" s="1353"/>
      <c r="H65" s="1353"/>
      <c r="I65" s="1353"/>
      <c r="J65" s="1353"/>
      <c r="K65" s="1394"/>
      <c r="L65" s="1353"/>
      <c r="M65" s="1353"/>
      <c r="N65" s="1356"/>
    </row>
    <row r="66" spans="1:14" ht="3" customHeight="1" thickBot="1">
      <c r="A66" s="1395"/>
      <c r="B66" s="1396"/>
      <c r="C66" s="1396"/>
      <c r="D66" s="1396"/>
      <c r="E66" s="1396"/>
      <c r="F66" s="1396"/>
      <c r="G66" s="1396"/>
      <c r="H66" s="1396"/>
      <c r="I66" s="1396"/>
      <c r="J66" s="1396"/>
      <c r="K66" s="1396"/>
      <c r="L66" s="1396"/>
      <c r="M66" s="1396"/>
      <c r="N66" s="1363"/>
    </row>
    <row r="67" spans="1:14" ht="5.25" customHeight="1">
      <c r="A67" s="2029"/>
      <c r="B67" s="2029"/>
      <c r="C67" s="2029"/>
      <c r="D67" s="2029"/>
      <c r="E67" s="2029"/>
      <c r="F67" s="2029"/>
      <c r="G67" s="2029"/>
      <c r="H67" s="2029"/>
      <c r="I67" s="2029"/>
      <c r="J67" s="2029"/>
      <c r="K67" s="2029"/>
      <c r="L67" s="2029"/>
      <c r="M67" s="2029"/>
      <c r="N67" s="2029"/>
    </row>
    <row r="68" spans="1:14">
      <c r="A68" s="1397" t="s">
        <v>544</v>
      </c>
      <c r="B68" s="1394"/>
      <c r="C68" s="1394"/>
      <c r="D68" s="1394"/>
      <c r="E68" s="1394"/>
      <c r="F68" s="1394"/>
      <c r="G68" s="1394"/>
      <c r="H68" s="1394"/>
      <c r="I68" s="1394"/>
      <c r="J68" s="1394"/>
      <c r="K68" s="1394"/>
      <c r="L68" s="1394"/>
      <c r="M68" s="1394"/>
      <c r="N68" s="1394"/>
    </row>
    <row r="69" spans="1:14">
      <c r="A69" s="1398" t="s">
        <v>4858</v>
      </c>
      <c r="B69" s="954"/>
      <c r="C69" s="954"/>
      <c r="D69" s="954"/>
      <c r="E69" s="954"/>
      <c r="F69" s="954"/>
      <c r="G69" s="954"/>
      <c r="H69" s="954"/>
      <c r="I69" s="954"/>
      <c r="J69" s="954"/>
      <c r="K69" s="954"/>
      <c r="L69" s="954"/>
      <c r="M69" s="954"/>
    </row>
    <row r="71" spans="1:14">
      <c r="N71" s="954">
        <f>COUNT(N9:N18,N28:N29,N35:N36,N39,N41:N42,N47,N50:N52,N55)</f>
        <v>8</v>
      </c>
    </row>
  </sheetData>
  <mergeCells count="15">
    <mergeCell ref="N47:N51"/>
    <mergeCell ref="N23:N24"/>
    <mergeCell ref="N9:N10"/>
    <mergeCell ref="N11:N12"/>
    <mergeCell ref="N13:N14"/>
    <mergeCell ref="N17:N18"/>
    <mergeCell ref="N21:N22"/>
    <mergeCell ref="N39:N40"/>
    <mergeCell ref="N43:N44"/>
    <mergeCell ref="N25:N26"/>
    <mergeCell ref="N27:N28"/>
    <mergeCell ref="N29:N31"/>
    <mergeCell ref="N32:N33"/>
    <mergeCell ref="N35:N36"/>
    <mergeCell ref="N37:N38"/>
  </mergeCells>
  <phoneticPr fontId="0" type="noConversion"/>
  <pageMargins left="0.3" right="0.3" top="0.3" bottom="0.05" header="0" footer="0"/>
  <pageSetup scale="62"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O59"/>
  <sheetViews>
    <sheetView zoomScaleNormal="100" workbookViewId="0">
      <pane xSplit="1" ySplit="7" topLeftCell="B8" activePane="bottomRight" state="frozen"/>
      <selection activeCell="S32" sqref="S32"/>
      <selection pane="topRight" activeCell="S32" sqref="S32"/>
      <selection pane="bottomLeft" activeCell="S32" sqref="S32"/>
      <selection pane="bottomRight" activeCell="S32" sqref="S32"/>
    </sheetView>
  </sheetViews>
  <sheetFormatPr defaultRowHeight="15"/>
  <cols>
    <col min="1" max="1" width="8.21875" customWidth="1"/>
    <col min="2" max="2" width="22.33203125" customWidth="1"/>
    <col min="3" max="3" width="9.5546875" customWidth="1"/>
    <col min="4" max="4" width="9.21875" customWidth="1"/>
    <col min="7" max="7" width="10.109375" bestFit="1" customWidth="1"/>
    <col min="9" max="9" width="10.21875" customWidth="1"/>
    <col min="10" max="10" width="9.21875" customWidth="1"/>
    <col min="13" max="13" width="13.77734375" customWidth="1"/>
    <col min="14" max="14" width="14.6640625" customWidth="1"/>
  </cols>
  <sheetData>
    <row r="1" spans="1:15" ht="15.75" thickBot="1">
      <c r="A1" s="86" t="str">
        <f>'Data sheet'!A69</f>
        <v>Annual Report of Veolia Water New York, Inc.                                                                                                                   Year Ended  December 31, 2023</v>
      </c>
      <c r="B1" s="86"/>
      <c r="C1" s="86"/>
      <c r="D1" s="86"/>
      <c r="E1" s="86"/>
      <c r="F1" s="86"/>
      <c r="G1" s="86"/>
      <c r="H1" s="86"/>
      <c r="I1" s="86"/>
      <c r="J1" s="86"/>
      <c r="K1" s="86"/>
      <c r="L1" s="86"/>
      <c r="M1" s="86"/>
      <c r="N1" s="86"/>
    </row>
    <row r="2" spans="1:15" ht="12" customHeight="1">
      <c r="A2" s="1369"/>
      <c r="B2" s="1370"/>
      <c r="C2" s="1370"/>
      <c r="D2" s="1370"/>
      <c r="E2" s="1370"/>
      <c r="F2" s="1370"/>
      <c r="G2" s="1372" t="s">
        <v>2179</v>
      </c>
      <c r="H2" s="1372"/>
      <c r="I2" s="1372"/>
      <c r="J2" s="1372"/>
      <c r="K2" s="1372"/>
      <c r="L2" s="1372"/>
      <c r="M2" s="1372"/>
      <c r="N2" s="1373"/>
    </row>
    <row r="3" spans="1:15">
      <c r="A3" s="1339"/>
      <c r="B3" s="1374" t="s">
        <v>3055</v>
      </c>
      <c r="C3" s="1374" t="s">
        <v>2180</v>
      </c>
      <c r="D3" s="1374" t="s">
        <v>1387</v>
      </c>
      <c r="E3" s="1374" t="s">
        <v>2181</v>
      </c>
      <c r="F3" s="1374" t="s">
        <v>2182</v>
      </c>
      <c r="G3" s="1374" t="s">
        <v>2570</v>
      </c>
      <c r="H3" s="1374"/>
      <c r="I3" s="1374" t="s">
        <v>2079</v>
      </c>
      <c r="J3" s="1374" t="s">
        <v>2183</v>
      </c>
      <c r="K3" s="1376" t="s">
        <v>2184</v>
      </c>
      <c r="L3" s="1377"/>
      <c r="M3" s="1374"/>
      <c r="N3" s="1378"/>
    </row>
    <row r="4" spans="1:15">
      <c r="A4" s="1339"/>
      <c r="B4" s="1374" t="s">
        <v>2185</v>
      </c>
      <c r="C4" s="1374" t="s">
        <v>2186</v>
      </c>
      <c r="D4" s="1374" t="s">
        <v>4236</v>
      </c>
      <c r="E4" s="1374" t="s">
        <v>2086</v>
      </c>
      <c r="F4" s="1374" t="s">
        <v>2187</v>
      </c>
      <c r="G4" s="1374" t="s">
        <v>2188</v>
      </c>
      <c r="H4" s="1374" t="s">
        <v>993</v>
      </c>
      <c r="I4" s="1374" t="s">
        <v>2189</v>
      </c>
      <c r="J4" s="1374" t="s">
        <v>3063</v>
      </c>
      <c r="K4" s="1374" t="s">
        <v>2190</v>
      </c>
      <c r="L4" s="1374" t="s">
        <v>122</v>
      </c>
      <c r="M4" s="1374" t="s">
        <v>2191</v>
      </c>
      <c r="N4" s="1378"/>
    </row>
    <row r="5" spans="1:15">
      <c r="A5" s="1339" t="s">
        <v>931</v>
      </c>
      <c r="B5" s="1374" t="s">
        <v>2193</v>
      </c>
      <c r="C5" s="1374" t="s">
        <v>2194</v>
      </c>
      <c r="D5" s="1374" t="s">
        <v>2195</v>
      </c>
      <c r="E5" s="1374" t="s">
        <v>2196</v>
      </c>
      <c r="F5" s="1374" t="s">
        <v>2197</v>
      </c>
      <c r="G5" s="1374" t="s">
        <v>2198</v>
      </c>
      <c r="H5" s="1374" t="s">
        <v>3068</v>
      </c>
      <c r="I5" s="1374" t="s">
        <v>2199</v>
      </c>
      <c r="J5" s="1374" t="s">
        <v>2200</v>
      </c>
      <c r="K5" s="1374" t="s">
        <v>2201</v>
      </c>
      <c r="L5" s="1374" t="s">
        <v>2202</v>
      </c>
      <c r="M5" s="1374" t="s">
        <v>852</v>
      </c>
      <c r="N5" s="1378" t="s">
        <v>932</v>
      </c>
    </row>
    <row r="6" spans="1:15">
      <c r="A6" s="1339" t="s">
        <v>2051</v>
      </c>
      <c r="B6" s="1374" t="s">
        <v>2204</v>
      </c>
      <c r="C6" s="1379"/>
      <c r="D6" s="1379"/>
      <c r="E6" s="1374" t="s">
        <v>2205</v>
      </c>
      <c r="F6" s="1374" t="s">
        <v>2206</v>
      </c>
      <c r="G6" s="1374" t="s">
        <v>2207</v>
      </c>
      <c r="H6" s="1379"/>
      <c r="I6" s="1374" t="s">
        <v>3071</v>
      </c>
      <c r="J6" s="1374" t="s">
        <v>2208</v>
      </c>
      <c r="K6" s="1374" t="s">
        <v>3068</v>
      </c>
      <c r="L6" s="1374"/>
      <c r="M6" s="1374"/>
      <c r="N6" s="1378" t="s">
        <v>933</v>
      </c>
    </row>
    <row r="7" spans="1:15">
      <c r="A7" s="1380"/>
      <c r="B7" s="1334" t="s">
        <v>2209</v>
      </c>
      <c r="C7" s="1381" t="s">
        <v>1611</v>
      </c>
      <c r="D7" s="1381" t="s">
        <v>3281</v>
      </c>
      <c r="E7" s="1381" t="s">
        <v>1613</v>
      </c>
      <c r="F7" s="1381" t="s">
        <v>721</v>
      </c>
      <c r="G7" s="1381" t="s">
        <v>722</v>
      </c>
      <c r="H7" s="1381" t="s">
        <v>723</v>
      </c>
      <c r="I7" s="1381" t="s">
        <v>335</v>
      </c>
      <c r="J7" s="1381" t="s">
        <v>336</v>
      </c>
      <c r="K7" s="1381" t="s">
        <v>337</v>
      </c>
      <c r="L7" s="1381" t="s">
        <v>338</v>
      </c>
      <c r="M7" s="1381" t="s">
        <v>339</v>
      </c>
      <c r="N7" s="1378" t="s">
        <v>778</v>
      </c>
    </row>
    <row r="8" spans="1:15">
      <c r="A8" s="1339"/>
      <c r="B8" s="2552"/>
      <c r="C8" s="1374"/>
      <c r="D8" s="1374"/>
      <c r="E8" s="1374"/>
      <c r="F8" s="1374"/>
      <c r="G8" s="1374"/>
      <c r="H8" s="1374"/>
      <c r="I8" s="1374"/>
      <c r="J8" s="1382"/>
      <c r="K8" s="1374"/>
      <c r="L8" s="1374"/>
      <c r="M8" s="1374"/>
      <c r="N8" s="1378"/>
    </row>
    <row r="9" spans="1:15">
      <c r="A9" s="1339">
        <v>1</v>
      </c>
      <c r="B9" s="2718" t="s">
        <v>4913</v>
      </c>
      <c r="C9" s="2719" t="s">
        <v>4914</v>
      </c>
      <c r="D9" s="2719">
        <v>1956</v>
      </c>
      <c r="E9" s="2719">
        <v>1</v>
      </c>
      <c r="F9" s="2720">
        <v>812</v>
      </c>
      <c r="G9" s="2719" t="s">
        <v>4915</v>
      </c>
      <c r="H9" s="2719">
        <v>60</v>
      </c>
      <c r="I9" s="2721">
        <v>8</v>
      </c>
      <c r="J9" s="2719">
        <v>12</v>
      </c>
      <c r="K9" s="2719">
        <v>3</v>
      </c>
      <c r="L9" s="2722">
        <v>700</v>
      </c>
      <c r="M9" s="2719" t="s">
        <v>4916</v>
      </c>
      <c r="N9" s="2736">
        <v>1000000</v>
      </c>
    </row>
    <row r="10" spans="1:15">
      <c r="A10" s="1339">
        <v>1</v>
      </c>
      <c r="B10" s="2718" t="s">
        <v>4913</v>
      </c>
      <c r="C10" s="2719" t="s">
        <v>4917</v>
      </c>
      <c r="D10" s="2719">
        <v>1966</v>
      </c>
      <c r="E10" s="2719">
        <v>1</v>
      </c>
      <c r="F10" s="2719">
        <v>812</v>
      </c>
      <c r="G10" s="2719" t="s">
        <v>4915</v>
      </c>
      <c r="H10" s="2719">
        <v>70</v>
      </c>
      <c r="I10" s="2719">
        <v>12</v>
      </c>
      <c r="J10" s="2719">
        <v>14</v>
      </c>
      <c r="K10" s="2719">
        <v>3</v>
      </c>
      <c r="L10" s="2722">
        <v>1000</v>
      </c>
      <c r="M10" s="2719" t="s">
        <v>4916</v>
      </c>
      <c r="N10" s="2736">
        <v>1500000</v>
      </c>
    </row>
    <row r="11" spans="1:15">
      <c r="A11" s="1339">
        <v>1</v>
      </c>
      <c r="B11" s="2718" t="s">
        <v>4913</v>
      </c>
      <c r="C11" s="2719" t="s">
        <v>4918</v>
      </c>
      <c r="D11" s="2719">
        <v>1974</v>
      </c>
      <c r="E11" s="2719">
        <v>1</v>
      </c>
      <c r="F11" s="2723">
        <v>851</v>
      </c>
      <c r="G11" s="2719" t="s">
        <v>4915</v>
      </c>
      <c r="H11" s="2719">
        <v>77</v>
      </c>
      <c r="I11" s="2719">
        <v>14</v>
      </c>
      <c r="J11" s="2719">
        <v>20</v>
      </c>
      <c r="K11" s="2719">
        <v>5</v>
      </c>
      <c r="L11" s="2722">
        <v>700</v>
      </c>
      <c r="M11" s="2719" t="s">
        <v>4916</v>
      </c>
      <c r="N11" s="2736">
        <v>1000000</v>
      </c>
    </row>
    <row r="12" spans="1:15">
      <c r="A12" s="1339">
        <v>1</v>
      </c>
      <c r="B12" s="2718" t="s">
        <v>4919</v>
      </c>
      <c r="C12" s="2719" t="s">
        <v>4920</v>
      </c>
      <c r="D12" s="2719">
        <v>1980</v>
      </c>
      <c r="E12" s="2719">
        <v>1</v>
      </c>
      <c r="F12" s="2719">
        <v>822</v>
      </c>
      <c r="G12" s="2719" t="s">
        <v>4915</v>
      </c>
      <c r="H12" s="2719">
        <v>66</v>
      </c>
      <c r="I12" s="2719">
        <v>8</v>
      </c>
      <c r="J12" s="2719">
        <v>17</v>
      </c>
      <c r="K12" s="2719">
        <v>2</v>
      </c>
      <c r="L12" s="2722">
        <v>125</v>
      </c>
      <c r="M12" s="2719" t="s">
        <v>4916</v>
      </c>
      <c r="N12" s="2736">
        <v>75000</v>
      </c>
    </row>
    <row r="13" spans="1:15">
      <c r="A13" s="1339">
        <v>1</v>
      </c>
      <c r="B13" s="2718" t="s">
        <v>4919</v>
      </c>
      <c r="C13" s="2719" t="s">
        <v>4917</v>
      </c>
      <c r="D13" s="2719">
        <v>2010</v>
      </c>
      <c r="E13" s="2719">
        <v>1</v>
      </c>
      <c r="F13" s="2719">
        <v>782</v>
      </c>
      <c r="G13" s="2719" t="s">
        <v>4915</v>
      </c>
      <c r="H13" s="2719">
        <v>64</v>
      </c>
      <c r="I13" s="2719">
        <v>8</v>
      </c>
      <c r="J13" s="2719">
        <v>21</v>
      </c>
      <c r="K13" s="2719">
        <v>13</v>
      </c>
      <c r="L13" s="2722">
        <v>145</v>
      </c>
      <c r="M13" s="2719" t="s">
        <v>4916</v>
      </c>
      <c r="N13" s="2736">
        <v>99000</v>
      </c>
    </row>
    <row r="14" spans="1:15">
      <c r="A14" s="1339"/>
      <c r="B14" s="1383"/>
      <c r="C14" s="1334"/>
      <c r="D14" s="1334"/>
      <c r="E14" s="1334"/>
      <c r="F14" s="1334"/>
      <c r="G14" s="1334"/>
      <c r="H14" s="1334"/>
      <c r="I14" s="1334"/>
      <c r="J14" s="1334"/>
      <c r="K14" s="1334"/>
      <c r="L14" s="1384"/>
      <c r="M14" s="1334"/>
      <c r="N14" s="2441"/>
    </row>
    <row r="15" spans="1:15" ht="15.75">
      <c r="A15" s="1339"/>
      <c r="B15" s="1383"/>
      <c r="C15" s="1334"/>
      <c r="D15" s="1334"/>
      <c r="E15" s="1334"/>
      <c r="F15" s="1334"/>
      <c r="G15" s="1334"/>
      <c r="H15" s="1334"/>
      <c r="I15" s="1334"/>
      <c r="J15" s="1334"/>
      <c r="K15" s="1334"/>
      <c r="L15" s="1384"/>
      <c r="M15" s="1334"/>
      <c r="N15" s="2441"/>
      <c r="O15" s="2197"/>
    </row>
    <row r="16" spans="1:15">
      <c r="A16" s="1339"/>
      <c r="B16" s="1383"/>
      <c r="C16" s="1334"/>
      <c r="D16" s="1334"/>
      <c r="E16" s="1334"/>
      <c r="F16" s="1334"/>
      <c r="G16" s="1334"/>
      <c r="H16" s="1334"/>
      <c r="I16" s="1334"/>
      <c r="J16" s="1334"/>
      <c r="K16" s="1334"/>
      <c r="L16" s="1384"/>
      <c r="M16" s="1334"/>
      <c r="N16" s="2441"/>
    </row>
    <row r="17" spans="1:14">
      <c r="A17" s="1339"/>
      <c r="B17" s="1383"/>
      <c r="C17" s="1334"/>
      <c r="D17" s="1334"/>
      <c r="E17" s="1334"/>
      <c r="F17" s="1334"/>
      <c r="G17" s="1334"/>
      <c r="H17" s="1334"/>
      <c r="I17" s="1334"/>
      <c r="J17" s="1334"/>
      <c r="K17" s="1334"/>
      <c r="L17" s="1384"/>
      <c r="M17" s="1334"/>
      <c r="N17" s="2896"/>
    </row>
    <row r="18" spans="1:14">
      <c r="A18" s="1339"/>
      <c r="B18" s="1383"/>
      <c r="C18" s="1334"/>
      <c r="D18" s="1334"/>
      <c r="E18" s="1334"/>
      <c r="F18" s="1334"/>
      <c r="G18" s="1334"/>
      <c r="H18" s="1334"/>
      <c r="I18" s="1334"/>
      <c r="J18" s="1334"/>
      <c r="K18" s="1334"/>
      <c r="L18" s="1384"/>
      <c r="M18" s="1334"/>
      <c r="N18" s="2896"/>
    </row>
    <row r="19" spans="1:14">
      <c r="A19" s="1339"/>
      <c r="B19" s="1383"/>
      <c r="C19" s="1334"/>
      <c r="D19" s="1334"/>
      <c r="E19" s="1334"/>
      <c r="F19" s="1334"/>
      <c r="G19" s="1334"/>
      <c r="H19" s="1334"/>
      <c r="I19" s="1334"/>
      <c r="J19" s="1334"/>
      <c r="K19" s="1334"/>
      <c r="L19" s="1334"/>
      <c r="M19" s="1334"/>
      <c r="N19" s="2441"/>
    </row>
    <row r="20" spans="1:14">
      <c r="A20" s="1339"/>
      <c r="B20" s="1383"/>
      <c r="C20" s="1334"/>
      <c r="D20" s="1334"/>
      <c r="E20" s="1334"/>
      <c r="F20" s="1335"/>
      <c r="G20" s="1334"/>
      <c r="H20" s="1334"/>
      <c r="I20" s="1334"/>
      <c r="J20" s="1334"/>
      <c r="K20" s="1334"/>
      <c r="L20" s="1341"/>
      <c r="M20" s="1334"/>
      <c r="N20" s="2896"/>
    </row>
    <row r="21" spans="1:14">
      <c r="A21" s="1339"/>
      <c r="B21" s="1383"/>
      <c r="C21" s="1334"/>
      <c r="D21" s="1334"/>
      <c r="E21" s="1334"/>
      <c r="F21" s="1334"/>
      <c r="G21" s="1334"/>
      <c r="H21" s="1334"/>
      <c r="I21" s="1334"/>
      <c r="J21" s="1334"/>
      <c r="K21" s="1334"/>
      <c r="L21" s="1384"/>
      <c r="M21" s="1334"/>
      <c r="N21" s="2896"/>
    </row>
    <row r="22" spans="1:14" ht="12" customHeight="1">
      <c r="A22" s="1340"/>
      <c r="B22" s="1383"/>
      <c r="C22" s="1334"/>
      <c r="D22" s="1341"/>
      <c r="E22" s="1341"/>
      <c r="F22" s="1342"/>
      <c r="G22" s="1334"/>
      <c r="H22" s="1341"/>
      <c r="I22" s="1341"/>
      <c r="J22" s="1341"/>
      <c r="K22" s="1341"/>
      <c r="L22" s="1334"/>
      <c r="M22" s="1334"/>
      <c r="N22" s="2441"/>
    </row>
    <row r="23" spans="1:14">
      <c r="A23" s="1339"/>
      <c r="B23" s="1383"/>
      <c r="C23" s="1334"/>
      <c r="D23" s="1334"/>
      <c r="E23" s="1334"/>
      <c r="F23" s="1334"/>
      <c r="G23" s="1334"/>
      <c r="H23" s="1334"/>
      <c r="I23" s="1334"/>
      <c r="J23" s="1334"/>
      <c r="K23" s="1334"/>
      <c r="L23" s="1384"/>
      <c r="M23" s="1334"/>
      <c r="N23" s="2896"/>
    </row>
    <row r="24" spans="1:14">
      <c r="A24" s="1339"/>
      <c r="B24" s="1383"/>
      <c r="C24" s="1334"/>
      <c r="D24" s="1334"/>
      <c r="E24" s="1334"/>
      <c r="F24" s="1334"/>
      <c r="G24" s="1334"/>
      <c r="H24" s="1334"/>
      <c r="I24" s="1334"/>
      <c r="J24" s="1334"/>
      <c r="K24" s="1334"/>
      <c r="L24" s="1384"/>
      <c r="M24" s="1334"/>
      <c r="N24" s="2896"/>
    </row>
    <row r="25" spans="1:14">
      <c r="A25" s="1339"/>
      <c r="B25" s="1383"/>
      <c r="C25" s="1334"/>
      <c r="D25" s="1334"/>
      <c r="E25" s="1334"/>
      <c r="F25" s="1334"/>
      <c r="G25" s="1334"/>
      <c r="H25" s="1334"/>
      <c r="I25" s="1334"/>
      <c r="J25" s="1334"/>
      <c r="K25" s="1334"/>
      <c r="L25" s="1384"/>
      <c r="M25" s="1334"/>
      <c r="N25" s="2896"/>
    </row>
    <row r="26" spans="1:14">
      <c r="A26" s="1339"/>
      <c r="B26" s="1383"/>
      <c r="C26" s="1334"/>
      <c r="D26" s="1334"/>
      <c r="E26" s="1334"/>
      <c r="F26" s="1334"/>
      <c r="G26" s="1334"/>
      <c r="H26" s="1334"/>
      <c r="I26" s="1334"/>
      <c r="J26" s="1334"/>
      <c r="K26" s="1334"/>
      <c r="L26" s="1341"/>
      <c r="M26" s="1334"/>
      <c r="N26" s="2896"/>
    </row>
    <row r="27" spans="1:14">
      <c r="A27" s="1339"/>
      <c r="B27" s="1383"/>
      <c r="C27" s="1334"/>
      <c r="D27" s="1334"/>
      <c r="E27" s="1334"/>
      <c r="F27" s="1335"/>
      <c r="G27" s="1334"/>
      <c r="H27" s="1334"/>
      <c r="I27" s="1334"/>
      <c r="J27" s="1334"/>
      <c r="K27" s="1334"/>
      <c r="L27" s="1334"/>
      <c r="M27" s="1334"/>
      <c r="N27" s="2896"/>
    </row>
    <row r="28" spans="1:14">
      <c r="A28" s="1339"/>
      <c r="B28" s="1383"/>
      <c r="C28" s="1334"/>
      <c r="D28" s="1341"/>
      <c r="E28" s="1334"/>
      <c r="F28" s="1335"/>
      <c r="G28" s="1334"/>
      <c r="H28" s="1334"/>
      <c r="I28" s="1334"/>
      <c r="J28" s="1334"/>
      <c r="K28" s="1334"/>
      <c r="L28" s="1334"/>
      <c r="M28" s="1334"/>
      <c r="N28" s="2896"/>
    </row>
    <row r="29" spans="1:14">
      <c r="A29" s="1339"/>
      <c r="B29" s="1383"/>
      <c r="C29" s="1334"/>
      <c r="D29" s="1334"/>
      <c r="E29" s="1334"/>
      <c r="F29" s="1335"/>
      <c r="G29" s="1334"/>
      <c r="H29" s="1334"/>
      <c r="I29" s="1334"/>
      <c r="J29" s="1334"/>
      <c r="K29" s="1383"/>
      <c r="L29" s="1334"/>
      <c r="M29" s="1334"/>
      <c r="N29" s="2441"/>
    </row>
    <row r="30" spans="1:14">
      <c r="A30" s="1339"/>
      <c r="B30" s="1383"/>
      <c r="C30" s="1334"/>
      <c r="D30" s="1334"/>
      <c r="E30" s="1334"/>
      <c r="F30" s="1335"/>
      <c r="G30" s="1334"/>
      <c r="H30" s="1334"/>
      <c r="I30" s="1341"/>
      <c r="J30" s="1334"/>
      <c r="K30" s="1383"/>
      <c r="L30" s="1334"/>
      <c r="M30" s="1334"/>
      <c r="N30" s="2441"/>
    </row>
    <row r="31" spans="1:14">
      <c r="A31" s="1339"/>
      <c r="B31" s="1383"/>
      <c r="C31" s="1334"/>
      <c r="D31" s="1334"/>
      <c r="E31" s="1334"/>
      <c r="F31" s="1335"/>
      <c r="G31" s="1334"/>
      <c r="H31" s="1334"/>
      <c r="I31" s="1334"/>
      <c r="J31" s="1334"/>
      <c r="K31" s="1383"/>
      <c r="L31" s="1334"/>
      <c r="M31" s="1334"/>
      <c r="N31" s="2896"/>
    </row>
    <row r="32" spans="1:14">
      <c r="A32" s="1339"/>
      <c r="B32" s="1383"/>
      <c r="C32" s="1334"/>
      <c r="D32" s="1334"/>
      <c r="E32" s="1334"/>
      <c r="F32" s="1335"/>
      <c r="G32" s="1334"/>
      <c r="H32" s="1334"/>
      <c r="I32" s="1334"/>
      <c r="J32" s="1334"/>
      <c r="K32" s="1383"/>
      <c r="L32" s="1334"/>
      <c r="M32" s="1334"/>
      <c r="N32" s="2896"/>
    </row>
    <row r="33" spans="1:14">
      <c r="A33" s="1339"/>
      <c r="B33" s="1383"/>
      <c r="C33" s="1334"/>
      <c r="D33" s="1334"/>
      <c r="E33" s="1334"/>
      <c r="F33" s="1335"/>
      <c r="G33" s="1334"/>
      <c r="H33" s="1334"/>
      <c r="I33" s="1334"/>
      <c r="J33" s="1334"/>
      <c r="K33" s="1383"/>
      <c r="L33" s="1334"/>
      <c r="M33" s="1334"/>
      <c r="N33" s="1385"/>
    </row>
    <row r="34" spans="1:14">
      <c r="A34" s="1339"/>
      <c r="B34" s="1383"/>
      <c r="C34" s="1334"/>
      <c r="D34" s="1334"/>
      <c r="E34" s="1334"/>
      <c r="F34" s="1335"/>
      <c r="G34" s="1334"/>
      <c r="H34" s="1334"/>
      <c r="I34" s="1334"/>
      <c r="J34" s="1334"/>
      <c r="K34" s="1383"/>
      <c r="L34" s="1334"/>
      <c r="M34" s="1334"/>
      <c r="N34" s="1385"/>
    </row>
    <row r="35" spans="1:14">
      <c r="A35" s="1339"/>
      <c r="B35" s="1383"/>
      <c r="C35" s="1334"/>
      <c r="D35" s="1334"/>
      <c r="E35" s="1334"/>
      <c r="F35" s="1334"/>
      <c r="G35" s="1334"/>
      <c r="H35" s="1334"/>
      <c r="I35" s="1334"/>
      <c r="J35" s="1334"/>
      <c r="K35" s="1334"/>
      <c r="L35" s="1384"/>
      <c r="M35" s="1334"/>
      <c r="N35" s="1385"/>
    </row>
    <row r="36" spans="1:14">
      <c r="A36" s="1339"/>
      <c r="B36" s="1383"/>
      <c r="C36" s="1334"/>
      <c r="D36" s="1334"/>
      <c r="E36" s="1334"/>
      <c r="F36" s="1334"/>
      <c r="G36" s="1334"/>
      <c r="H36" s="1334"/>
      <c r="I36" s="1334"/>
      <c r="J36" s="1334"/>
      <c r="K36" s="1334"/>
      <c r="L36" s="1384"/>
      <c r="M36" s="1334"/>
      <c r="N36" s="1385"/>
    </row>
    <row r="37" spans="1:14">
      <c r="A37" s="1339"/>
      <c r="B37" s="1383"/>
      <c r="C37" s="1334"/>
      <c r="D37" s="1334"/>
      <c r="E37" s="1334"/>
      <c r="F37" s="1334"/>
      <c r="G37" s="1334"/>
      <c r="H37" s="1334"/>
      <c r="I37" s="1334"/>
      <c r="J37" s="1334"/>
      <c r="K37" s="1334"/>
      <c r="L37" s="1384"/>
      <c r="M37" s="1334"/>
      <c r="N37" s="1385"/>
    </row>
    <row r="38" spans="1:14">
      <c r="A38" s="1339"/>
      <c r="B38" s="1383"/>
      <c r="C38" s="1334"/>
      <c r="D38" s="1334"/>
      <c r="E38" s="1334"/>
      <c r="F38" s="1334"/>
      <c r="G38" s="1334"/>
      <c r="H38" s="1334"/>
      <c r="I38" s="1334"/>
      <c r="J38" s="1334"/>
      <c r="K38" s="1334"/>
      <c r="L38" s="1384"/>
      <c r="M38" s="1334"/>
      <c r="N38" s="1385"/>
    </row>
    <row r="39" spans="1:14">
      <c r="A39" s="1339"/>
      <c r="B39" s="1383"/>
      <c r="C39" s="1334"/>
      <c r="D39" s="1334"/>
      <c r="E39" s="1334"/>
      <c r="F39" s="1334"/>
      <c r="G39" s="1334"/>
      <c r="H39" s="1334"/>
      <c r="I39" s="1334"/>
      <c r="J39" s="1334"/>
      <c r="K39" s="1334"/>
      <c r="L39" s="1384"/>
      <c r="M39" s="1334"/>
      <c r="N39" s="1385"/>
    </row>
    <row r="40" spans="1:14">
      <c r="A40" s="1339"/>
      <c r="B40" s="1383"/>
      <c r="C40" s="1334"/>
      <c r="D40" s="1334"/>
      <c r="E40" s="1334"/>
      <c r="F40" s="1334"/>
      <c r="G40" s="1334"/>
      <c r="H40" s="1334"/>
      <c r="I40" s="1334"/>
      <c r="J40" s="1334"/>
      <c r="K40" s="1334"/>
      <c r="L40" s="1384"/>
      <c r="M40" s="1334"/>
      <c r="N40" s="1385"/>
    </row>
    <row r="41" spans="1:14">
      <c r="A41" s="1339"/>
      <c r="B41" s="1383"/>
      <c r="C41" s="1334"/>
      <c r="D41" s="1334"/>
      <c r="E41" s="1334"/>
      <c r="F41" s="1334"/>
      <c r="G41" s="1334"/>
      <c r="H41" s="1334"/>
      <c r="I41" s="1334"/>
      <c r="J41" s="1334"/>
      <c r="K41" s="1334"/>
      <c r="L41" s="1384"/>
      <c r="M41" s="1334"/>
      <c r="N41" s="1385"/>
    </row>
    <row r="42" spans="1:14">
      <c r="A42" s="1339"/>
      <c r="B42" s="1383"/>
      <c r="C42" s="1334"/>
      <c r="D42" s="1334"/>
      <c r="E42" s="1334"/>
      <c r="F42" s="1334"/>
      <c r="G42" s="1334"/>
      <c r="H42" s="1334"/>
      <c r="I42" s="1334"/>
      <c r="J42" s="1334"/>
      <c r="K42" s="1334"/>
      <c r="L42" s="1384"/>
      <c r="M42" s="1334"/>
      <c r="N42" s="1385"/>
    </row>
    <row r="43" spans="1:14">
      <c r="A43" s="1339"/>
      <c r="B43" s="1383"/>
      <c r="C43" s="1334"/>
      <c r="D43" s="1334"/>
      <c r="E43" s="1334"/>
      <c r="F43" s="1334"/>
      <c r="G43" s="1334"/>
      <c r="H43" s="1334"/>
      <c r="I43" s="1334"/>
      <c r="J43" s="1334"/>
      <c r="K43" s="1334"/>
      <c r="L43" s="1384"/>
      <c r="M43" s="1334"/>
      <c r="N43" s="1952"/>
    </row>
    <row r="44" spans="1:14">
      <c r="A44" s="1339"/>
      <c r="B44" s="1383"/>
      <c r="C44" s="1334"/>
      <c r="D44" s="1334"/>
      <c r="E44" s="1334"/>
      <c r="F44" s="1335"/>
      <c r="G44" s="1334"/>
      <c r="H44" s="1334"/>
      <c r="I44" s="1341"/>
      <c r="J44" s="1334"/>
      <c r="K44" s="1334"/>
      <c r="L44" s="1384"/>
      <c r="M44" s="1334"/>
      <c r="N44" s="1378"/>
    </row>
    <row r="45" spans="1:14" hidden="1">
      <c r="A45" s="1339"/>
      <c r="B45" s="1338"/>
      <c r="C45" s="1334"/>
      <c r="D45" s="1334"/>
      <c r="E45" s="1334"/>
      <c r="F45" s="1335"/>
      <c r="G45" s="1334"/>
      <c r="H45" s="1334"/>
      <c r="I45" s="1334"/>
      <c r="J45" s="1334"/>
      <c r="K45" s="1383"/>
      <c r="L45" s="1334"/>
      <c r="M45" s="1334"/>
      <c r="N45" s="1378"/>
    </row>
    <row r="46" spans="1:14" ht="6" customHeight="1" thickBot="1">
      <c r="A46" s="1388"/>
      <c r="B46" s="1348"/>
      <c r="C46" s="1349"/>
      <c r="D46" s="1349"/>
      <c r="E46" s="1349"/>
      <c r="F46" s="1349"/>
      <c r="G46" s="1349"/>
      <c r="H46" s="1349"/>
      <c r="I46" s="1349"/>
      <c r="J46" s="1349"/>
      <c r="K46" s="1349"/>
      <c r="L46" s="1389"/>
      <c r="M46" s="1349"/>
      <c r="N46" s="2394"/>
    </row>
    <row r="47" spans="1:14" ht="6" customHeight="1">
      <c r="A47" s="1390"/>
      <c r="B47" s="1391"/>
      <c r="C47" s="1353"/>
      <c r="D47" s="1353"/>
      <c r="E47" s="1353"/>
      <c r="F47" s="1353"/>
      <c r="G47" s="1353"/>
      <c r="H47" s="1353"/>
      <c r="I47" s="1353"/>
      <c r="J47" s="1353"/>
      <c r="K47" s="1353"/>
      <c r="L47" s="1392"/>
      <c r="M47" s="1353"/>
      <c r="N47" s="1356"/>
    </row>
    <row r="48" spans="1:14">
      <c r="A48" s="1390" t="s">
        <v>1993</v>
      </c>
      <c r="B48" s="1358" t="s">
        <v>4857</v>
      </c>
      <c r="C48" s="1353"/>
      <c r="D48" s="1393"/>
      <c r="E48" s="1353"/>
      <c r="F48" s="1353"/>
      <c r="G48" s="1353"/>
      <c r="H48" s="1353"/>
      <c r="I48" s="1353"/>
      <c r="J48" s="1353"/>
      <c r="K48" s="1353"/>
      <c r="L48" s="1353"/>
      <c r="M48" s="1353"/>
      <c r="N48" s="1356"/>
    </row>
    <row r="49" spans="1:14" ht="12.75" customHeight="1">
      <c r="A49" s="1390"/>
      <c r="B49" s="1358"/>
      <c r="C49" s="1353"/>
      <c r="D49" s="1353"/>
      <c r="E49" s="1353"/>
      <c r="F49" s="1353"/>
      <c r="G49" s="1353"/>
      <c r="H49" s="1353"/>
      <c r="I49" s="1353"/>
      <c r="J49" s="1353"/>
      <c r="K49" s="1353"/>
      <c r="L49" s="1353"/>
      <c r="M49" s="1353"/>
      <c r="N49" s="1356"/>
    </row>
    <row r="50" spans="1:14" ht="12.75" customHeight="1">
      <c r="A50" s="1390"/>
      <c r="B50" s="1358"/>
      <c r="C50" s="1353"/>
      <c r="D50" s="1353"/>
      <c r="E50" s="1353"/>
      <c r="F50" s="1353"/>
      <c r="G50" s="1353"/>
      <c r="H50" s="1391"/>
      <c r="I50" s="1353"/>
      <c r="J50" s="1353"/>
      <c r="K50" s="1353"/>
      <c r="L50" s="1353"/>
      <c r="M50" s="1353"/>
      <c r="N50" s="1356"/>
    </row>
    <row r="51" spans="1:14" ht="12" customHeight="1">
      <c r="A51" s="1390"/>
      <c r="B51" s="1358"/>
      <c r="C51" s="1353"/>
      <c r="D51" s="1353"/>
      <c r="E51" s="1353"/>
      <c r="F51" s="1353"/>
      <c r="G51" s="1353"/>
      <c r="H51" s="1353"/>
      <c r="I51" s="1353"/>
      <c r="J51" s="1353"/>
      <c r="K51" s="1394"/>
      <c r="L51" s="1353"/>
      <c r="M51" s="1353"/>
      <c r="N51" s="1356"/>
    </row>
    <row r="52" spans="1:14" ht="11.25" customHeight="1">
      <c r="A52" s="1390"/>
      <c r="B52" s="1358"/>
      <c r="C52" s="1353"/>
      <c r="D52" s="1353"/>
      <c r="E52" s="1353"/>
      <c r="F52" s="1353"/>
      <c r="G52" s="1353"/>
      <c r="H52" s="1353"/>
      <c r="I52" s="1353"/>
      <c r="J52" s="1353"/>
      <c r="K52" s="1394"/>
      <c r="L52" s="1353"/>
      <c r="M52" s="1353"/>
      <c r="N52" s="1356"/>
    </row>
    <row r="53" spans="1:14" ht="11.25" customHeight="1">
      <c r="A53" s="1390"/>
      <c r="B53" s="1358"/>
      <c r="C53" s="1353"/>
      <c r="D53" s="1353"/>
      <c r="E53" s="1353"/>
      <c r="F53" s="1353"/>
      <c r="G53" s="1353"/>
      <c r="H53" s="1353"/>
      <c r="I53" s="1353"/>
      <c r="J53" s="1353"/>
      <c r="K53" s="1394"/>
      <c r="L53" s="1353"/>
      <c r="M53" s="1353"/>
      <c r="N53" s="1356"/>
    </row>
    <row r="54" spans="1:14" ht="3" customHeight="1" thickBot="1">
      <c r="A54" s="1395"/>
      <c r="B54" s="1396"/>
      <c r="C54" s="1396"/>
      <c r="D54" s="1396"/>
      <c r="E54" s="1396"/>
      <c r="F54" s="1396"/>
      <c r="G54" s="1396"/>
      <c r="H54" s="1396"/>
      <c r="I54" s="1396"/>
      <c r="J54" s="1396"/>
      <c r="K54" s="1396"/>
      <c r="L54" s="1396"/>
      <c r="M54" s="1396"/>
      <c r="N54" s="1363"/>
    </row>
    <row r="55" spans="1:14" ht="5.25" customHeight="1">
      <c r="A55" s="2029"/>
      <c r="B55" s="2029"/>
      <c r="C55" s="2029"/>
      <c r="D55" s="2029"/>
      <c r="E55" s="2029"/>
      <c r="F55" s="2029"/>
      <c r="G55" s="2029"/>
      <c r="H55" s="2029"/>
      <c r="I55" s="2029"/>
      <c r="J55" s="2029"/>
      <c r="K55" s="2029"/>
      <c r="L55" s="2029"/>
      <c r="M55" s="2029"/>
      <c r="N55" s="2029"/>
    </row>
    <row r="56" spans="1:14">
      <c r="A56" s="1397" t="s">
        <v>544</v>
      </c>
      <c r="B56" s="1394"/>
      <c r="C56" s="1394"/>
      <c r="D56" s="1394"/>
      <c r="E56" s="1394"/>
      <c r="F56" s="1394"/>
      <c r="G56" s="1394"/>
      <c r="H56" s="1394"/>
      <c r="I56" s="1394"/>
      <c r="J56" s="1394"/>
      <c r="K56" s="1394"/>
      <c r="L56" s="1394"/>
      <c r="M56" s="1394"/>
      <c r="N56" s="1394"/>
    </row>
    <row r="57" spans="1:14">
      <c r="A57" s="1398" t="s">
        <v>5108</v>
      </c>
      <c r="B57" s="954"/>
      <c r="C57" s="954"/>
      <c r="D57" s="954"/>
      <c r="E57" s="954"/>
      <c r="F57" s="954"/>
      <c r="G57" s="954"/>
      <c r="H57" s="954"/>
      <c r="I57" s="954"/>
      <c r="J57" s="954"/>
      <c r="K57" s="954"/>
      <c r="L57" s="954"/>
      <c r="M57" s="954"/>
    </row>
    <row r="59" spans="1:14">
      <c r="N59" s="954">
        <f>COUNT(N9:N18,#REF!,N23:N24,N27,N29:N30,N35,N38:N40,N43)</f>
        <v>5</v>
      </c>
    </row>
  </sheetData>
  <mergeCells count="6">
    <mergeCell ref="N17:N18"/>
    <mergeCell ref="N27:N28"/>
    <mergeCell ref="N31:N32"/>
    <mergeCell ref="N20:N21"/>
    <mergeCell ref="N23:N24"/>
    <mergeCell ref="N25:N26"/>
  </mergeCells>
  <conditionalFormatting sqref="F11">
    <cfRule type="colorScale" priority="1">
      <colorScale>
        <cfvo type="min"/>
        <cfvo type="max"/>
        <color rgb="FF57BB8A"/>
        <color rgb="FFFFFFFF"/>
      </colorScale>
    </cfRule>
  </conditionalFormatting>
  <pageMargins left="0.5" right="0.45" top="0.5" bottom="0.5" header="0.05" footer="0.05"/>
  <pageSetup scale="70" orientation="landscape" horizontalDpi="240" verticalDpi="24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transitionEvaluation="1" codeName="Sheet93"/>
  <dimension ref="A1:AE1572"/>
  <sheetViews>
    <sheetView defaultGridColor="0" colorId="22" zoomScale="87" zoomScaleNormal="87" workbookViewId="0">
      <selection activeCell="S32" sqref="S32"/>
    </sheetView>
  </sheetViews>
  <sheetFormatPr defaultColWidth="9.77734375" defaultRowHeight="15"/>
  <cols>
    <col min="1" max="1" width="4.77734375" customWidth="1"/>
    <col min="2" max="2" width="41" customWidth="1"/>
    <col min="3" max="3" width="12" customWidth="1"/>
    <col min="4" max="6" width="10.77734375" customWidth="1"/>
    <col min="7" max="7" width="11" customWidth="1"/>
    <col min="8" max="8" width="12.6640625" customWidth="1"/>
    <col min="9" max="9" width="4.77734375" customWidth="1"/>
    <col min="10" max="12" width="10.77734375" customWidth="1"/>
    <col min="13" max="13" width="12.5546875" customWidth="1"/>
    <col min="14" max="14" width="12" customWidth="1"/>
    <col min="15" max="18" width="10.77734375" customWidth="1"/>
  </cols>
  <sheetData>
    <row r="1" spans="1:31" ht="15.75" thickBot="1">
      <c r="A1" s="86" t="str">
        <f>'Data sheet'!A59</f>
        <v>Annual Report of Veolia Water New York, Inc.                                                             Year Ended  December 31, 2023</v>
      </c>
      <c r="B1" s="86"/>
      <c r="C1" s="86"/>
      <c r="D1" s="86"/>
      <c r="E1" s="86"/>
      <c r="F1" s="86"/>
      <c r="G1" s="86"/>
      <c r="H1" s="86"/>
      <c r="I1" s="86" t="str">
        <f>'Data sheet'!A59</f>
        <v>Annual Report of Veolia Water New York, Inc.                                                             Year Ended  December 31, 2023</v>
      </c>
      <c r="J1" s="86"/>
      <c r="K1" s="86"/>
      <c r="L1" s="86"/>
      <c r="M1" s="86"/>
      <c r="N1" s="86"/>
      <c r="O1" s="86"/>
      <c r="P1" s="86"/>
      <c r="Q1" s="86"/>
      <c r="R1" s="86"/>
      <c r="S1" s="86"/>
      <c r="T1" s="86"/>
      <c r="U1" s="86"/>
      <c r="V1" s="86"/>
      <c r="W1" s="86"/>
      <c r="X1" s="86"/>
      <c r="Y1" s="86"/>
      <c r="Z1" s="86"/>
      <c r="AA1" s="86"/>
      <c r="AB1" s="86"/>
      <c r="AC1" s="86"/>
      <c r="AD1" s="86"/>
      <c r="AE1" s="86"/>
    </row>
    <row r="2" spans="1:31">
      <c r="A2" s="677"/>
      <c r="B2" s="678"/>
      <c r="C2" s="678"/>
      <c r="D2" s="678"/>
      <c r="E2" s="678"/>
      <c r="F2" s="678"/>
      <c r="G2" s="678"/>
      <c r="H2" s="679"/>
      <c r="I2" s="677"/>
      <c r="J2" s="678"/>
      <c r="K2" s="678"/>
      <c r="L2" s="678"/>
      <c r="M2" s="678"/>
      <c r="N2" s="678"/>
      <c r="O2" s="678"/>
      <c r="P2" s="678"/>
      <c r="Q2" s="130"/>
      <c r="R2" s="131"/>
      <c r="S2" s="86"/>
      <c r="T2" s="86"/>
      <c r="U2" s="86"/>
      <c r="V2" s="86"/>
      <c r="W2" s="86"/>
      <c r="X2" s="86"/>
      <c r="Y2" s="86"/>
      <c r="Z2" s="86"/>
      <c r="AA2" s="86"/>
      <c r="AB2" s="86"/>
      <c r="AC2" s="86"/>
      <c r="AD2" s="86"/>
      <c r="AE2" s="86"/>
    </row>
    <row r="3" spans="1:31" ht="15.75">
      <c r="A3" s="328" t="s">
        <v>1228</v>
      </c>
      <c r="B3" s="5"/>
      <c r="C3" s="5"/>
      <c r="D3" s="539"/>
      <c r="E3" s="539"/>
      <c r="F3" s="539"/>
      <c r="G3" s="539"/>
      <c r="H3" s="680"/>
      <c r="I3" s="328" t="s">
        <v>1229</v>
      </c>
      <c r="J3" s="5"/>
      <c r="K3" s="5"/>
      <c r="L3" s="785"/>
      <c r="M3" s="539"/>
      <c r="N3" s="539"/>
      <c r="O3" s="539"/>
      <c r="P3" s="539"/>
      <c r="Q3" s="5"/>
      <c r="R3" s="132"/>
      <c r="S3" s="86"/>
      <c r="T3" s="86"/>
      <c r="U3" s="86"/>
      <c r="V3" s="86"/>
      <c r="W3" s="86"/>
      <c r="X3" s="86"/>
      <c r="Y3" s="86"/>
      <c r="Z3" s="86"/>
      <c r="AA3" s="86"/>
      <c r="AB3" s="86"/>
      <c r="AC3" s="86"/>
      <c r="AD3" s="86"/>
      <c r="AE3" s="86"/>
    </row>
    <row r="4" spans="1:31" ht="15.75">
      <c r="A4" s="351"/>
      <c r="B4" s="789"/>
      <c r="C4" s="432"/>
      <c r="D4" s="432"/>
      <c r="E4" s="432"/>
      <c r="F4" s="432"/>
      <c r="G4" s="432"/>
      <c r="H4" s="681"/>
      <c r="I4" s="351"/>
      <c r="J4" s="789"/>
      <c r="K4" s="432"/>
      <c r="L4" s="432"/>
      <c r="M4" s="432"/>
      <c r="N4" s="432"/>
      <c r="O4" s="432"/>
      <c r="P4" s="432"/>
      <c r="Q4" s="86"/>
      <c r="R4" s="87"/>
      <c r="S4" s="86"/>
      <c r="T4" s="86"/>
      <c r="U4" s="86"/>
      <c r="V4" s="86"/>
      <c r="W4" s="86"/>
      <c r="X4" s="86"/>
      <c r="Y4" s="86"/>
      <c r="Z4" s="86"/>
      <c r="AA4" s="86"/>
      <c r="AB4" s="86"/>
      <c r="AC4" s="86"/>
      <c r="AD4" s="86"/>
      <c r="AE4" s="86"/>
    </row>
    <row r="5" spans="1:31">
      <c r="A5" s="351"/>
      <c r="B5" s="432" t="s">
        <v>1230</v>
      </c>
      <c r="C5" s="432"/>
      <c r="D5" s="432" t="s">
        <v>1231</v>
      </c>
      <c r="E5" s="432"/>
      <c r="F5" s="432"/>
      <c r="G5" s="432"/>
      <c r="H5" s="681"/>
      <c r="I5" s="351"/>
      <c r="J5" s="86" t="s">
        <v>2898</v>
      </c>
      <c r="K5" s="432"/>
      <c r="L5" s="432"/>
      <c r="M5" s="432"/>
      <c r="N5" s="86"/>
      <c r="O5" s="432" t="s">
        <v>1232</v>
      </c>
      <c r="P5" s="432"/>
      <c r="Q5" s="86"/>
      <c r="R5" s="87"/>
      <c r="S5" s="86"/>
      <c r="T5" s="86"/>
      <c r="U5" s="86"/>
      <c r="V5" s="86"/>
      <c r="W5" s="86"/>
      <c r="X5" s="86"/>
      <c r="Y5" s="86"/>
      <c r="Z5" s="86"/>
      <c r="AA5" s="86"/>
      <c r="AB5" s="86"/>
      <c r="AC5" s="86"/>
      <c r="AD5" s="86"/>
      <c r="AE5" s="86"/>
    </row>
    <row r="6" spans="1:31">
      <c r="A6" s="351"/>
      <c r="B6" s="432" t="s">
        <v>1233</v>
      </c>
      <c r="C6" s="432"/>
      <c r="D6" s="86"/>
      <c r="E6" s="432"/>
      <c r="F6" s="432"/>
      <c r="G6" s="432"/>
      <c r="H6" s="681"/>
      <c r="I6" s="351"/>
      <c r="J6" s="432" t="s">
        <v>2555</v>
      </c>
      <c r="K6" s="432"/>
      <c r="L6" s="432"/>
      <c r="M6" s="432"/>
      <c r="N6" s="86"/>
      <c r="O6" s="432" t="s">
        <v>2556</v>
      </c>
      <c r="P6" s="432"/>
      <c r="Q6" s="86"/>
      <c r="R6" s="87"/>
      <c r="S6" s="86"/>
      <c r="T6" s="86"/>
      <c r="U6" s="86"/>
      <c r="V6" s="86"/>
      <c r="W6" s="86"/>
      <c r="X6" s="86"/>
      <c r="Y6" s="86"/>
      <c r="Z6" s="86"/>
      <c r="AA6" s="86"/>
      <c r="AB6" s="86"/>
      <c r="AC6" s="86"/>
      <c r="AD6" s="86"/>
      <c r="AE6" s="86"/>
    </row>
    <row r="7" spans="1:31">
      <c r="A7" s="351"/>
      <c r="B7" s="432"/>
      <c r="C7" s="432"/>
      <c r="D7" s="86"/>
      <c r="E7" s="432"/>
      <c r="F7" s="432"/>
      <c r="G7" s="432"/>
      <c r="H7" s="681"/>
      <c r="I7" s="351"/>
      <c r="J7" s="432" t="s">
        <v>2557</v>
      </c>
      <c r="K7" s="432"/>
      <c r="L7" s="432"/>
      <c r="M7" s="432"/>
      <c r="N7" s="86"/>
      <c r="O7" s="432"/>
      <c r="P7" s="432"/>
      <c r="Q7" s="86"/>
      <c r="R7" s="87"/>
      <c r="S7" s="86"/>
      <c r="T7" s="86"/>
      <c r="U7" s="86"/>
      <c r="V7" s="86"/>
      <c r="W7" s="86"/>
      <c r="X7" s="86"/>
      <c r="Y7" s="86"/>
      <c r="Z7" s="86"/>
      <c r="AA7" s="86"/>
      <c r="AB7" s="86"/>
      <c r="AC7" s="86"/>
      <c r="AD7" s="86"/>
      <c r="AE7" s="86"/>
    </row>
    <row r="8" spans="1:31">
      <c r="A8" s="351"/>
      <c r="B8" s="432" t="s">
        <v>2558</v>
      </c>
      <c r="C8" s="432"/>
      <c r="D8" s="432" t="s">
        <v>2559</v>
      </c>
      <c r="E8" s="432"/>
      <c r="F8" s="432"/>
      <c r="G8" s="432"/>
      <c r="H8" s="681"/>
      <c r="I8" s="351"/>
      <c r="J8" s="86"/>
      <c r="K8" s="432"/>
      <c r="L8" s="432"/>
      <c r="M8" s="432"/>
      <c r="N8" s="86"/>
      <c r="O8" s="432"/>
      <c r="P8" s="432"/>
      <c r="Q8" s="86"/>
      <c r="R8" s="87"/>
      <c r="S8" s="86"/>
      <c r="T8" s="86"/>
      <c r="U8" s="86"/>
      <c r="V8" s="86"/>
      <c r="W8" s="86"/>
      <c r="X8" s="86"/>
      <c r="Y8" s="86"/>
      <c r="Z8" s="86"/>
      <c r="AA8" s="86"/>
      <c r="AB8" s="86"/>
      <c r="AC8" s="86"/>
      <c r="AD8" s="86"/>
      <c r="AE8" s="86"/>
    </row>
    <row r="9" spans="1:31">
      <c r="A9" s="351"/>
      <c r="B9" s="432" t="s">
        <v>747</v>
      </c>
      <c r="C9" s="432"/>
      <c r="D9" s="432" t="s">
        <v>748</v>
      </c>
      <c r="E9" s="432"/>
      <c r="F9" s="432"/>
      <c r="G9" s="432"/>
      <c r="H9" s="681"/>
      <c r="I9" s="351"/>
      <c r="J9" s="86" t="s">
        <v>4200</v>
      </c>
      <c r="K9" s="432"/>
      <c r="L9" s="432"/>
      <c r="M9" s="432"/>
      <c r="N9" s="432"/>
      <c r="O9" s="432"/>
      <c r="P9" s="432"/>
      <c r="Q9" s="86"/>
      <c r="R9" s="87"/>
      <c r="S9" s="86"/>
      <c r="T9" s="86"/>
      <c r="U9" s="86"/>
      <c r="V9" s="86"/>
      <c r="W9" s="86"/>
      <c r="X9" s="86"/>
      <c r="Y9" s="86"/>
      <c r="Z9" s="86"/>
      <c r="AA9" s="86"/>
      <c r="AB9" s="86"/>
      <c r="AC9" s="86"/>
      <c r="AD9" s="86"/>
      <c r="AE9" s="86"/>
    </row>
    <row r="10" spans="1:31">
      <c r="A10" s="351"/>
      <c r="B10" s="432" t="s">
        <v>1013</v>
      </c>
      <c r="C10" s="432"/>
      <c r="D10" s="432" t="s">
        <v>1014</v>
      </c>
      <c r="E10" s="432"/>
      <c r="F10" s="432"/>
      <c r="G10" s="432"/>
      <c r="H10" s="681"/>
      <c r="I10" s="351"/>
      <c r="J10" s="432" t="s">
        <v>1015</v>
      </c>
      <c r="K10" s="432"/>
      <c r="L10" s="432"/>
      <c r="M10" s="432"/>
      <c r="N10" s="432"/>
      <c r="O10" s="432"/>
      <c r="P10" s="432"/>
      <c r="Q10" s="86"/>
      <c r="R10" s="87"/>
      <c r="S10" s="86"/>
      <c r="T10" s="86"/>
      <c r="U10" s="86"/>
      <c r="V10" s="86"/>
      <c r="W10" s="86"/>
      <c r="X10" s="86"/>
      <c r="Y10" s="86"/>
      <c r="Z10" s="86"/>
      <c r="AA10" s="86"/>
      <c r="AB10" s="86"/>
      <c r="AC10" s="86"/>
      <c r="AD10" s="86"/>
      <c r="AE10" s="86"/>
    </row>
    <row r="11" spans="1:31">
      <c r="A11" s="351"/>
      <c r="B11" s="432"/>
      <c r="C11" s="432"/>
      <c r="D11" s="432"/>
      <c r="E11" s="432"/>
      <c r="F11" s="432"/>
      <c r="G11" s="432"/>
      <c r="H11" s="681"/>
      <c r="I11" s="351"/>
      <c r="J11" s="86"/>
      <c r="K11" s="432"/>
      <c r="L11" s="432"/>
      <c r="M11" s="432"/>
      <c r="N11" s="432"/>
      <c r="O11" s="432"/>
      <c r="P11" s="432"/>
      <c r="Q11" s="86"/>
      <c r="R11" s="87"/>
      <c r="S11" s="86"/>
      <c r="T11" s="86"/>
      <c r="U11" s="86"/>
      <c r="V11" s="86"/>
      <c r="W11" s="86"/>
      <c r="X11" s="86"/>
      <c r="Y11" s="86"/>
      <c r="Z11" s="86"/>
      <c r="AA11" s="86"/>
      <c r="AB11" s="86"/>
      <c r="AC11" s="86"/>
      <c r="AD11" s="86"/>
      <c r="AE11" s="86"/>
    </row>
    <row r="12" spans="1:31">
      <c r="A12" s="542"/>
      <c r="B12" s="1128" t="s">
        <v>1016</v>
      </c>
      <c r="C12" s="1144"/>
      <c r="D12" s="1144"/>
      <c r="E12" s="1144"/>
      <c r="F12" s="1144"/>
      <c r="G12" s="1144"/>
      <c r="H12" s="685"/>
      <c r="I12" s="542"/>
      <c r="J12" s="1144"/>
      <c r="K12" s="1144"/>
      <c r="L12" s="1144"/>
      <c r="M12" s="1144"/>
      <c r="N12" s="1144"/>
      <c r="O12" s="1144"/>
      <c r="P12" s="1144"/>
      <c r="Q12" s="1144"/>
      <c r="R12" s="685"/>
      <c r="S12" s="432"/>
      <c r="T12" s="432"/>
      <c r="U12" s="432"/>
      <c r="V12" s="432"/>
      <c r="W12" s="546"/>
      <c r="X12" s="546"/>
      <c r="Y12" s="546"/>
      <c r="Z12" s="546"/>
      <c r="AA12" s="408"/>
      <c r="AB12" s="370"/>
      <c r="AC12" s="86"/>
      <c r="AD12" s="86"/>
      <c r="AE12" s="86"/>
    </row>
    <row r="13" spans="1:31">
      <c r="A13" s="330"/>
      <c r="B13" s="1148"/>
      <c r="C13" s="1148"/>
      <c r="D13" s="1148"/>
      <c r="E13" s="1148"/>
      <c r="F13" s="1148"/>
      <c r="G13" s="1148"/>
      <c r="H13" s="683"/>
      <c r="I13" s="330"/>
      <c r="J13" s="1148"/>
      <c r="K13" s="1148"/>
      <c r="L13" s="1148"/>
      <c r="M13" s="1148"/>
      <c r="N13" s="1148"/>
      <c r="O13" s="1148"/>
      <c r="P13" s="1148"/>
      <c r="Q13" s="1146"/>
      <c r="R13" s="352" t="s">
        <v>1738</v>
      </c>
      <c r="S13" s="432"/>
      <c r="T13" s="432"/>
      <c r="U13" s="432"/>
      <c r="V13" s="432"/>
      <c r="W13" s="546"/>
      <c r="X13" s="546"/>
      <c r="Y13" s="546"/>
      <c r="Z13" s="546"/>
      <c r="AA13" s="408"/>
      <c r="AB13" s="370"/>
      <c r="AC13" s="86"/>
      <c r="AD13" s="86"/>
      <c r="AE13" s="86"/>
    </row>
    <row r="14" spans="1:31">
      <c r="A14" s="828" t="s">
        <v>2048</v>
      </c>
      <c r="B14" s="1146" t="s">
        <v>1017</v>
      </c>
      <c r="C14" s="1146"/>
      <c r="D14" s="1146"/>
      <c r="E14" s="1146"/>
      <c r="F14" s="1146"/>
      <c r="G14" s="1146"/>
      <c r="H14" s="352"/>
      <c r="I14" s="828" t="s">
        <v>2048</v>
      </c>
      <c r="J14" s="1146"/>
      <c r="K14" s="1146"/>
      <c r="L14" s="1146"/>
      <c r="M14" s="1146"/>
      <c r="N14" s="1146"/>
      <c r="O14" s="1146"/>
      <c r="P14" s="1146"/>
      <c r="Q14" s="1128"/>
      <c r="R14" s="87"/>
      <c r="S14" s="86"/>
      <c r="T14" s="86"/>
      <c r="U14" s="86"/>
      <c r="V14" s="86"/>
      <c r="W14" s="86"/>
      <c r="X14" s="86"/>
      <c r="Y14" s="86"/>
      <c r="Z14" s="86"/>
      <c r="AA14" s="86"/>
      <c r="AB14" s="86"/>
      <c r="AC14" s="86"/>
      <c r="AD14" s="86"/>
      <c r="AE14" s="86"/>
    </row>
    <row r="15" spans="1:31">
      <c r="A15" s="828" t="s">
        <v>2051</v>
      </c>
      <c r="B15" s="1146" t="s">
        <v>2209</v>
      </c>
      <c r="C15" s="1146" t="s">
        <v>1611</v>
      </c>
      <c r="D15" s="1146" t="s">
        <v>3281</v>
      </c>
      <c r="E15" s="1146" t="s">
        <v>1613</v>
      </c>
      <c r="F15" s="1146" t="s">
        <v>721</v>
      </c>
      <c r="G15" s="1146" t="s">
        <v>722</v>
      </c>
      <c r="H15" s="352" t="s">
        <v>723</v>
      </c>
      <c r="I15" s="828" t="s">
        <v>2051</v>
      </c>
      <c r="J15" s="1146" t="s">
        <v>335</v>
      </c>
      <c r="K15" s="1146" t="s">
        <v>1018</v>
      </c>
      <c r="L15" s="1146" t="s">
        <v>337</v>
      </c>
      <c r="M15" s="1146" t="s">
        <v>1019</v>
      </c>
      <c r="N15" s="1146" t="s">
        <v>339</v>
      </c>
      <c r="O15" s="1146" t="s">
        <v>778</v>
      </c>
      <c r="P15" s="1146" t="s">
        <v>779</v>
      </c>
      <c r="Q15" s="1146" t="s">
        <v>780</v>
      </c>
      <c r="R15" s="428" t="s">
        <v>781</v>
      </c>
      <c r="S15" s="86"/>
      <c r="T15" s="86"/>
      <c r="U15" s="86"/>
      <c r="V15" s="86"/>
      <c r="W15" s="86"/>
      <c r="X15" s="86"/>
      <c r="Y15" s="86"/>
      <c r="Z15" s="86"/>
      <c r="AA15" s="86"/>
      <c r="AB15" s="86"/>
      <c r="AC15" s="86"/>
      <c r="AD15" s="86"/>
      <c r="AE15" s="86"/>
    </row>
    <row r="16" spans="1:31">
      <c r="A16" s="545"/>
      <c r="B16" s="1129"/>
      <c r="C16" s="1129"/>
      <c r="D16" s="1129"/>
      <c r="E16" s="1129"/>
      <c r="F16" s="1129"/>
      <c r="G16" s="1129"/>
      <c r="H16" s="1028"/>
      <c r="I16" s="545"/>
      <c r="J16" s="1129"/>
      <c r="K16" s="1129"/>
      <c r="L16" s="1129"/>
      <c r="M16" s="1129"/>
      <c r="N16" s="1129"/>
      <c r="O16" s="1129"/>
      <c r="P16" s="1129"/>
      <c r="Q16" s="1129"/>
      <c r="R16" s="1028"/>
      <c r="S16" s="86"/>
      <c r="T16" s="86"/>
      <c r="U16" s="86"/>
      <c r="V16" s="86"/>
      <c r="W16" s="86"/>
      <c r="X16" s="86"/>
      <c r="Y16" s="86"/>
      <c r="Z16" s="86"/>
      <c r="AA16" s="86"/>
      <c r="AB16" s="86"/>
      <c r="AC16" s="86"/>
      <c r="AD16" s="86"/>
      <c r="AE16" s="86"/>
    </row>
    <row r="17" spans="1:31">
      <c r="A17" s="828">
        <v>1</v>
      </c>
      <c r="B17" s="763" t="s">
        <v>1020</v>
      </c>
      <c r="C17" s="1147" t="s">
        <v>3055</v>
      </c>
      <c r="D17" s="763"/>
      <c r="E17" s="763"/>
      <c r="F17" s="763"/>
      <c r="G17" s="763"/>
      <c r="H17" s="681"/>
      <c r="I17" s="828">
        <v>1</v>
      </c>
      <c r="J17" s="763"/>
      <c r="K17" s="1147"/>
      <c r="L17" s="763"/>
      <c r="M17" s="763"/>
      <c r="N17" s="763"/>
      <c r="O17" s="763"/>
      <c r="P17" s="763"/>
      <c r="Q17" s="95"/>
      <c r="R17" s="87"/>
      <c r="S17" s="86"/>
      <c r="T17" s="86"/>
      <c r="U17" s="86"/>
      <c r="V17" s="86"/>
      <c r="W17" s="86"/>
      <c r="X17" s="86"/>
      <c r="Y17" s="86"/>
      <c r="Z17" s="86"/>
      <c r="AA17" s="86"/>
      <c r="AB17" s="86"/>
      <c r="AC17" s="86"/>
      <c r="AD17" s="86"/>
      <c r="AE17" s="86"/>
    </row>
    <row r="18" spans="1:31">
      <c r="A18" s="828">
        <v>2</v>
      </c>
      <c r="B18" s="763" t="s">
        <v>478</v>
      </c>
      <c r="C18" s="762"/>
      <c r="D18" s="762"/>
      <c r="E18" s="762"/>
      <c r="F18" s="762"/>
      <c r="G18" s="762"/>
      <c r="H18" s="694"/>
      <c r="I18" s="1157">
        <v>2</v>
      </c>
      <c r="J18" s="762"/>
      <c r="K18" s="762"/>
      <c r="L18" s="762"/>
      <c r="M18" s="762"/>
      <c r="N18" s="762"/>
      <c r="O18" s="762"/>
      <c r="P18" s="762"/>
      <c r="Q18" s="577"/>
      <c r="R18" s="427"/>
      <c r="S18" s="86"/>
      <c r="T18" s="86"/>
      <c r="U18" s="86"/>
      <c r="V18" s="86"/>
      <c r="W18" s="86"/>
      <c r="X18" s="86"/>
      <c r="Y18" s="86"/>
      <c r="Z18" s="86"/>
      <c r="AA18" s="86"/>
      <c r="AB18" s="86"/>
      <c r="AC18" s="86"/>
      <c r="AD18" s="86"/>
      <c r="AE18" s="86"/>
    </row>
    <row r="19" spans="1:31">
      <c r="A19" s="828">
        <v>3</v>
      </c>
      <c r="B19" s="763" t="s">
        <v>479</v>
      </c>
      <c r="C19" s="762"/>
      <c r="D19" s="762"/>
      <c r="E19" s="762"/>
      <c r="F19" s="762"/>
      <c r="G19" s="762"/>
      <c r="H19" s="694"/>
      <c r="I19" s="1157">
        <v>3</v>
      </c>
      <c r="J19" s="762"/>
      <c r="K19" s="762"/>
      <c r="L19" s="762"/>
      <c r="M19" s="762"/>
      <c r="N19" s="762"/>
      <c r="O19" s="762"/>
      <c r="P19" s="762"/>
      <c r="Q19" s="577"/>
      <c r="R19" s="427"/>
      <c r="S19" s="86"/>
      <c r="T19" s="86"/>
      <c r="U19" s="86"/>
      <c r="V19" s="86"/>
      <c r="W19" s="86"/>
      <c r="X19" s="86"/>
      <c r="Y19" s="86"/>
      <c r="Z19" s="86"/>
      <c r="AA19" s="86"/>
      <c r="AB19" s="86"/>
      <c r="AC19" s="86"/>
      <c r="AD19" s="86"/>
      <c r="AE19" s="86"/>
    </row>
    <row r="20" spans="1:31">
      <c r="A20" s="828">
        <v>4</v>
      </c>
      <c r="B20" s="763" t="s">
        <v>3820</v>
      </c>
      <c r="C20" s="762"/>
      <c r="D20" s="762"/>
      <c r="E20" s="762"/>
      <c r="F20" s="762"/>
      <c r="G20" s="762"/>
      <c r="H20" s="694"/>
      <c r="I20" s="1157">
        <v>4</v>
      </c>
      <c r="J20" s="762"/>
      <c r="K20" s="762"/>
      <c r="L20" s="762"/>
      <c r="M20" s="762"/>
      <c r="N20" s="762"/>
      <c r="O20" s="762"/>
      <c r="P20" s="762"/>
      <c r="Q20" s="577"/>
      <c r="R20" s="427"/>
      <c r="S20" s="86"/>
      <c r="T20" s="86"/>
      <c r="U20" s="86"/>
      <c r="V20" s="86"/>
      <c r="W20" s="86"/>
      <c r="X20" s="86"/>
      <c r="Y20" s="86"/>
      <c r="Z20" s="86"/>
      <c r="AA20" s="86"/>
      <c r="AB20" s="86"/>
      <c r="AC20" s="86"/>
      <c r="AD20" s="86"/>
      <c r="AE20" s="86"/>
    </row>
    <row r="21" spans="1:31">
      <c r="A21" s="828">
        <v>5</v>
      </c>
      <c r="B21" s="763" t="s">
        <v>3821</v>
      </c>
      <c r="C21" s="762"/>
      <c r="D21" s="762"/>
      <c r="E21" s="762"/>
      <c r="F21" s="762"/>
      <c r="G21" s="762"/>
      <c r="H21" s="694"/>
      <c r="I21" s="1157">
        <v>5</v>
      </c>
      <c r="J21" s="762"/>
      <c r="K21" s="762"/>
      <c r="L21" s="762"/>
      <c r="M21" s="762"/>
      <c r="N21" s="762"/>
      <c r="O21" s="762"/>
      <c r="P21" s="762"/>
      <c r="Q21" s="577"/>
      <c r="R21" s="427"/>
      <c r="S21" s="86"/>
      <c r="T21" s="86"/>
      <c r="U21" s="86"/>
      <c r="V21" s="86"/>
      <c r="W21" s="86"/>
      <c r="X21" s="86"/>
      <c r="Y21" s="86"/>
      <c r="Z21" s="86"/>
      <c r="AA21" s="86"/>
      <c r="AB21" s="86"/>
      <c r="AC21" s="86"/>
      <c r="AD21" s="86"/>
      <c r="AE21" s="86"/>
    </row>
    <row r="22" spans="1:31">
      <c r="A22" s="828">
        <v>6</v>
      </c>
      <c r="B22" s="763" t="s">
        <v>3822</v>
      </c>
      <c r="C22" s="762"/>
      <c r="D22" s="762"/>
      <c r="E22" s="762"/>
      <c r="F22" s="762"/>
      <c r="G22" s="762"/>
      <c r="H22" s="694"/>
      <c r="I22" s="1157">
        <v>6</v>
      </c>
      <c r="J22" s="762"/>
      <c r="K22" s="762"/>
      <c r="L22" s="762"/>
      <c r="M22" s="762"/>
      <c r="N22" s="762"/>
      <c r="O22" s="762"/>
      <c r="P22" s="762"/>
      <c r="Q22" s="577"/>
      <c r="R22" s="427"/>
      <c r="S22" s="86"/>
      <c r="T22" s="86"/>
      <c r="U22" s="86"/>
      <c r="V22" s="86"/>
      <c r="W22" s="86"/>
      <c r="X22" s="86"/>
      <c r="Y22" s="86"/>
      <c r="Z22" s="86"/>
      <c r="AA22" s="86"/>
      <c r="AB22" s="86"/>
      <c r="AC22" s="86"/>
      <c r="AD22" s="86"/>
      <c r="AE22" s="86"/>
    </row>
    <row r="23" spans="1:31">
      <c r="A23" s="828">
        <v>7</v>
      </c>
      <c r="B23" s="763" t="s">
        <v>3823</v>
      </c>
      <c r="C23" s="762"/>
      <c r="D23" s="762" t="s">
        <v>4811</v>
      </c>
      <c r="E23" s="762"/>
      <c r="F23" s="762"/>
      <c r="G23" s="762"/>
      <c r="H23" s="694"/>
      <c r="I23" s="1157">
        <v>7</v>
      </c>
      <c r="J23" s="762"/>
      <c r="K23" s="762"/>
      <c r="L23" s="762"/>
      <c r="M23" s="762"/>
      <c r="N23" s="762"/>
      <c r="O23" s="762"/>
      <c r="P23" s="762"/>
      <c r="Q23" s="577"/>
      <c r="R23" s="427"/>
      <c r="S23" s="86"/>
      <c r="T23" s="86"/>
      <c r="U23" s="86"/>
      <c r="V23" s="86"/>
      <c r="W23" s="86"/>
      <c r="X23" s="86"/>
      <c r="Y23" s="86"/>
      <c r="Z23" s="86"/>
      <c r="AA23" s="86"/>
      <c r="AB23" s="86"/>
      <c r="AC23" s="86"/>
      <c r="AD23" s="86"/>
      <c r="AE23" s="86"/>
    </row>
    <row r="24" spans="1:31">
      <c r="A24" s="828">
        <v>8</v>
      </c>
      <c r="B24" s="763" t="s">
        <v>3824</v>
      </c>
      <c r="C24" s="762"/>
      <c r="D24" s="762"/>
      <c r="E24" s="762"/>
      <c r="F24" s="762"/>
      <c r="G24" s="762"/>
      <c r="H24" s="694"/>
      <c r="I24" s="1157">
        <v>8</v>
      </c>
      <c r="J24" s="762"/>
      <c r="K24" s="762"/>
      <c r="L24" s="762"/>
      <c r="M24" s="762"/>
      <c r="N24" s="762"/>
      <c r="O24" s="762"/>
      <c r="P24" s="762"/>
      <c r="Q24" s="577"/>
      <c r="R24" s="427"/>
      <c r="S24" s="86"/>
      <c r="T24" s="86"/>
      <c r="U24" s="86"/>
      <c r="V24" s="86"/>
      <c r="W24" s="86"/>
      <c r="X24" s="86"/>
      <c r="Y24" s="86"/>
      <c r="Z24" s="86"/>
      <c r="AA24" s="86"/>
      <c r="AB24" s="86"/>
      <c r="AC24" s="86"/>
      <c r="AD24" s="86"/>
      <c r="AE24" s="86"/>
    </row>
    <row r="25" spans="1:31">
      <c r="A25" s="828">
        <v>9</v>
      </c>
      <c r="B25" s="1147"/>
      <c r="C25" s="762"/>
      <c r="D25" s="762"/>
      <c r="E25" s="762"/>
      <c r="F25" s="762"/>
      <c r="G25" s="762"/>
      <c r="H25" s="694"/>
      <c r="I25" s="1157">
        <v>9</v>
      </c>
      <c r="J25" s="762"/>
      <c r="K25" s="762"/>
      <c r="L25" s="762"/>
      <c r="M25" s="762"/>
      <c r="N25" s="762"/>
      <c r="O25" s="762"/>
      <c r="P25" s="762"/>
      <c r="Q25" s="577"/>
      <c r="R25" s="427"/>
      <c r="S25" s="86"/>
      <c r="T25" s="86"/>
      <c r="U25" s="86"/>
      <c r="V25" s="86"/>
      <c r="W25" s="86"/>
      <c r="X25" s="86"/>
      <c r="Y25" s="86"/>
      <c r="Z25" s="86"/>
      <c r="AA25" s="86"/>
      <c r="AB25" s="86"/>
      <c r="AC25" s="86"/>
      <c r="AD25" s="86"/>
      <c r="AE25" s="86"/>
    </row>
    <row r="26" spans="1:31">
      <c r="A26" s="828">
        <v>10</v>
      </c>
      <c r="B26" s="1147"/>
      <c r="C26" s="762"/>
      <c r="D26" s="762"/>
      <c r="E26" s="762"/>
      <c r="F26" s="762"/>
      <c r="G26" s="762"/>
      <c r="H26" s="694"/>
      <c r="I26" s="1157">
        <v>10</v>
      </c>
      <c r="J26" s="762"/>
      <c r="K26" s="762"/>
      <c r="L26" s="762"/>
      <c r="M26" s="762"/>
      <c r="N26" s="762"/>
      <c r="O26" s="762"/>
      <c r="P26" s="762"/>
      <c r="Q26" s="577"/>
      <c r="R26" s="427"/>
      <c r="S26" s="86"/>
      <c r="T26" s="86"/>
      <c r="U26" s="86"/>
      <c r="V26" s="86"/>
      <c r="W26" s="86"/>
      <c r="X26" s="86"/>
      <c r="Y26" s="86"/>
      <c r="Z26" s="86"/>
      <c r="AA26" s="86"/>
      <c r="AB26" s="86"/>
      <c r="AC26" s="86"/>
      <c r="AD26" s="86"/>
      <c r="AE26" s="86"/>
    </row>
    <row r="27" spans="1:31">
      <c r="A27" s="828">
        <v>11</v>
      </c>
      <c r="B27" s="1147"/>
      <c r="C27" s="762"/>
      <c r="D27" s="762"/>
      <c r="E27" s="762"/>
      <c r="F27" s="762"/>
      <c r="G27" s="762"/>
      <c r="H27" s="694"/>
      <c r="I27" s="1157">
        <v>11</v>
      </c>
      <c r="J27" s="762"/>
      <c r="K27" s="762"/>
      <c r="L27" s="762"/>
      <c r="M27" s="762"/>
      <c r="N27" s="762"/>
      <c r="O27" s="762"/>
      <c r="P27" s="762"/>
      <c r="Q27" s="762"/>
      <c r="R27" s="694"/>
      <c r="S27" s="432"/>
      <c r="T27" s="432"/>
      <c r="U27" s="86"/>
      <c r="V27" s="86"/>
      <c r="W27" s="86"/>
      <c r="X27" s="86"/>
      <c r="Y27" s="86"/>
      <c r="Z27" s="86"/>
      <c r="AA27" s="86"/>
      <c r="AB27" s="86"/>
      <c r="AC27" s="86"/>
      <c r="AD27" s="86"/>
      <c r="AE27" s="86"/>
    </row>
    <row r="28" spans="1:31">
      <c r="A28" s="828">
        <v>12</v>
      </c>
      <c r="B28" s="1147" t="s">
        <v>3825</v>
      </c>
      <c r="C28" s="762"/>
      <c r="D28" s="762"/>
      <c r="E28" s="762"/>
      <c r="F28" s="762"/>
      <c r="G28" s="762"/>
      <c r="H28" s="694"/>
      <c r="I28" s="1157">
        <v>12</v>
      </c>
      <c r="J28" s="762"/>
      <c r="K28" s="762"/>
      <c r="L28" s="762"/>
      <c r="M28" s="762"/>
      <c r="N28" s="762"/>
      <c r="O28" s="762"/>
      <c r="P28" s="762"/>
      <c r="Q28" s="762"/>
      <c r="R28" s="694"/>
      <c r="S28" s="432"/>
      <c r="T28" s="432"/>
      <c r="U28" s="86"/>
      <c r="V28" s="86"/>
      <c r="W28" s="86"/>
      <c r="X28" s="86"/>
      <c r="Y28" s="86"/>
      <c r="Z28" s="86"/>
      <c r="AA28" s="86"/>
      <c r="AB28" s="86"/>
      <c r="AC28" s="86"/>
      <c r="AD28" s="86"/>
      <c r="AE28" s="86"/>
    </row>
    <row r="29" spans="1:31">
      <c r="A29" s="828">
        <v>13</v>
      </c>
      <c r="B29" s="763"/>
      <c r="C29" s="762"/>
      <c r="D29" s="762"/>
      <c r="E29" s="762"/>
      <c r="F29" s="762"/>
      <c r="G29" s="762"/>
      <c r="H29" s="694"/>
      <c r="I29" s="1157">
        <v>13</v>
      </c>
      <c r="J29" s="762"/>
      <c r="K29" s="762"/>
      <c r="L29" s="762"/>
      <c r="M29" s="762"/>
      <c r="N29" s="762"/>
      <c r="O29" s="762"/>
      <c r="P29" s="762"/>
      <c r="Q29" s="577"/>
      <c r="R29" s="427"/>
      <c r="S29" s="86"/>
      <c r="T29" s="86"/>
      <c r="U29" s="86"/>
      <c r="V29" s="86"/>
      <c r="W29" s="86"/>
      <c r="X29" s="86"/>
      <c r="Y29" s="86"/>
      <c r="Z29" s="86"/>
      <c r="AA29" s="86"/>
      <c r="AB29" s="86"/>
      <c r="AC29" s="86"/>
      <c r="AD29" s="86"/>
      <c r="AE29" s="86"/>
    </row>
    <row r="30" spans="1:31">
      <c r="A30" s="828">
        <v>14</v>
      </c>
      <c r="B30" s="763" t="s">
        <v>1409</v>
      </c>
      <c r="C30" s="762"/>
      <c r="D30" s="762"/>
      <c r="E30" s="762"/>
      <c r="F30" s="762"/>
      <c r="G30" s="762"/>
      <c r="H30" s="694"/>
      <c r="I30" s="1157">
        <v>14</v>
      </c>
      <c r="J30" s="762"/>
      <c r="K30" s="762"/>
      <c r="L30" s="762"/>
      <c r="M30" s="762"/>
      <c r="N30" s="762"/>
      <c r="O30" s="762"/>
      <c r="P30" s="762"/>
      <c r="Q30" s="577"/>
      <c r="R30" s="427"/>
      <c r="S30" s="86"/>
      <c r="T30" s="86"/>
      <c r="U30" s="86"/>
      <c r="V30" s="86"/>
      <c r="W30" s="86"/>
      <c r="X30" s="86"/>
      <c r="Y30" s="86"/>
      <c r="Z30" s="86"/>
      <c r="AA30" s="86"/>
      <c r="AB30" s="86"/>
      <c r="AC30" s="86"/>
      <c r="AD30" s="86"/>
      <c r="AE30" s="86"/>
    </row>
    <row r="31" spans="1:31">
      <c r="A31" s="828">
        <v>15</v>
      </c>
      <c r="B31" s="763" t="s">
        <v>1410</v>
      </c>
      <c r="C31" s="762"/>
      <c r="D31" s="762"/>
      <c r="E31" s="762"/>
      <c r="F31" s="762"/>
      <c r="G31" s="762"/>
      <c r="H31" s="694"/>
      <c r="I31" s="1157">
        <v>15</v>
      </c>
      <c r="J31" s="762"/>
      <c r="K31" s="762"/>
      <c r="L31" s="762"/>
      <c r="M31" s="762"/>
      <c r="N31" s="762"/>
      <c r="O31" s="762"/>
      <c r="P31" s="762"/>
      <c r="Q31" s="577"/>
      <c r="R31" s="427"/>
      <c r="S31" s="86"/>
      <c r="T31" s="86"/>
      <c r="U31" s="86"/>
      <c r="V31" s="86"/>
      <c r="W31" s="86"/>
      <c r="X31" s="86"/>
      <c r="Y31" s="86"/>
      <c r="Z31" s="86"/>
      <c r="AA31" s="86"/>
      <c r="AB31" s="86"/>
      <c r="AC31" s="86"/>
      <c r="AD31" s="86"/>
      <c r="AE31" s="86"/>
    </row>
    <row r="32" spans="1:31">
      <c r="A32" s="828">
        <v>16</v>
      </c>
      <c r="B32" s="763" t="s">
        <v>1411</v>
      </c>
      <c r="C32" s="762"/>
      <c r="D32" s="762"/>
      <c r="E32" s="762"/>
      <c r="F32" s="762"/>
      <c r="G32" s="762"/>
      <c r="H32" s="694"/>
      <c r="I32" s="1157">
        <v>16</v>
      </c>
      <c r="J32" s="762"/>
      <c r="K32" s="762"/>
      <c r="L32" s="762"/>
      <c r="M32" s="762"/>
      <c r="N32" s="762"/>
      <c r="O32" s="762"/>
      <c r="P32" s="762"/>
      <c r="Q32" s="577"/>
      <c r="R32" s="427"/>
      <c r="S32" s="86"/>
      <c r="T32" s="86"/>
      <c r="U32" s="86"/>
      <c r="V32" s="86"/>
      <c r="W32" s="86"/>
      <c r="X32" s="86"/>
      <c r="Y32" s="86"/>
      <c r="Z32" s="86"/>
      <c r="AA32" s="86"/>
      <c r="AB32" s="86"/>
      <c r="AC32" s="86"/>
      <c r="AD32" s="86"/>
      <c r="AE32" s="86"/>
    </row>
    <row r="33" spans="1:31">
      <c r="A33" s="828">
        <v>17</v>
      </c>
      <c r="B33" s="763" t="s">
        <v>1412</v>
      </c>
      <c r="C33" s="762"/>
      <c r="D33" s="762"/>
      <c r="E33" s="762"/>
      <c r="F33" s="762"/>
      <c r="G33" s="762"/>
      <c r="H33" s="694"/>
      <c r="I33" s="828">
        <v>17</v>
      </c>
      <c r="J33" s="762"/>
      <c r="K33" s="762"/>
      <c r="L33" s="762"/>
      <c r="M33" s="762"/>
      <c r="N33" s="762"/>
      <c r="O33" s="762"/>
      <c r="P33" s="762"/>
      <c r="Q33" s="577"/>
      <c r="R33" s="681"/>
      <c r="S33" s="432"/>
      <c r="T33" s="432"/>
      <c r="U33" s="432"/>
      <c r="V33" s="432"/>
      <c r="W33" s="1158"/>
      <c r="X33" s="1158"/>
      <c r="Y33" s="1158"/>
      <c r="Z33" s="1158"/>
      <c r="AA33" s="1158"/>
      <c r="AB33" s="1158"/>
      <c r="AC33" s="1158"/>
      <c r="AD33" s="1158"/>
      <c r="AE33" s="1158"/>
    </row>
    <row r="34" spans="1:31">
      <c r="A34" s="828">
        <v>18</v>
      </c>
      <c r="B34" s="763" t="s">
        <v>1411</v>
      </c>
      <c r="C34" s="762"/>
      <c r="D34" s="762"/>
      <c r="E34" s="762"/>
      <c r="F34" s="762"/>
      <c r="G34" s="762"/>
      <c r="H34" s="694"/>
      <c r="I34" s="828">
        <v>18</v>
      </c>
      <c r="J34" s="762"/>
      <c r="K34" s="762"/>
      <c r="L34" s="762"/>
      <c r="M34" s="762"/>
      <c r="N34" s="762"/>
      <c r="O34" s="762"/>
      <c r="P34" s="762"/>
      <c r="Q34" s="577"/>
      <c r="R34" s="87"/>
      <c r="S34" s="86"/>
      <c r="T34" s="86"/>
      <c r="U34" s="86"/>
      <c r="V34" s="86"/>
      <c r="W34" s="90"/>
      <c r="X34" s="90"/>
      <c r="Y34" s="86"/>
      <c r="Z34" s="86"/>
      <c r="AA34" s="86"/>
      <c r="AB34" s="86"/>
      <c r="AC34" s="86"/>
      <c r="AD34" s="86"/>
      <c r="AE34" s="86"/>
    </row>
    <row r="35" spans="1:31">
      <c r="A35" s="828">
        <v>19</v>
      </c>
      <c r="B35" s="763" t="s">
        <v>1413</v>
      </c>
      <c r="C35" s="762"/>
      <c r="D35" s="762"/>
      <c r="E35" s="762"/>
      <c r="F35" s="762"/>
      <c r="G35" s="762"/>
      <c r="H35" s="694"/>
      <c r="I35" s="1157">
        <v>19</v>
      </c>
      <c r="J35" s="762"/>
      <c r="K35" s="762"/>
      <c r="L35" s="762"/>
      <c r="M35" s="762"/>
      <c r="N35" s="762"/>
      <c r="O35" s="762"/>
      <c r="P35" s="762"/>
      <c r="Q35" s="577"/>
      <c r="R35" s="427"/>
      <c r="S35" s="86"/>
      <c r="T35" s="86"/>
      <c r="U35" s="86"/>
      <c r="V35" s="86"/>
      <c r="W35" s="86"/>
      <c r="X35" s="86"/>
      <c r="Y35" s="86"/>
      <c r="Z35" s="86"/>
      <c r="AA35" s="86"/>
      <c r="AB35" s="86"/>
      <c r="AC35" s="86"/>
      <c r="AD35" s="86"/>
      <c r="AE35" s="86"/>
    </row>
    <row r="36" spans="1:31">
      <c r="A36" s="828">
        <v>20</v>
      </c>
      <c r="B36" s="763"/>
      <c r="C36" s="762"/>
      <c r="D36" s="762"/>
      <c r="E36" s="762"/>
      <c r="F36" s="762"/>
      <c r="G36" s="762"/>
      <c r="H36" s="694"/>
      <c r="I36" s="1157">
        <v>20</v>
      </c>
      <c r="J36" s="762"/>
      <c r="K36" s="762"/>
      <c r="L36" s="762"/>
      <c r="M36" s="762"/>
      <c r="N36" s="762"/>
      <c r="O36" s="762"/>
      <c r="P36" s="762"/>
      <c r="Q36" s="577"/>
      <c r="R36" s="427"/>
      <c r="S36" s="86"/>
      <c r="T36" s="86"/>
      <c r="U36" s="86"/>
      <c r="V36" s="86"/>
      <c r="W36" s="86"/>
      <c r="X36" s="86"/>
      <c r="Y36" s="86"/>
      <c r="Z36" s="86"/>
      <c r="AA36" s="86"/>
      <c r="AB36" s="86"/>
      <c r="AC36" s="86"/>
      <c r="AD36" s="86"/>
      <c r="AE36" s="86"/>
    </row>
    <row r="37" spans="1:31">
      <c r="A37" s="828">
        <v>21</v>
      </c>
      <c r="B37" s="763"/>
      <c r="C37" s="762"/>
      <c r="D37" s="762"/>
      <c r="E37" s="762"/>
      <c r="F37" s="762"/>
      <c r="G37" s="762"/>
      <c r="H37" s="694"/>
      <c r="I37" s="1157">
        <v>21</v>
      </c>
      <c r="J37" s="762"/>
      <c r="K37" s="762"/>
      <c r="L37" s="762"/>
      <c r="M37" s="762"/>
      <c r="N37" s="762"/>
      <c r="O37" s="762"/>
      <c r="P37" s="762"/>
      <c r="Q37" s="577"/>
      <c r="R37" s="427"/>
      <c r="S37" s="86"/>
      <c r="T37" s="86"/>
      <c r="U37" s="86"/>
      <c r="V37" s="86"/>
      <c r="W37" s="86"/>
      <c r="X37" s="86"/>
      <c r="Y37" s="86"/>
      <c r="Z37" s="86"/>
      <c r="AA37" s="86"/>
      <c r="AB37" s="86"/>
      <c r="AC37" s="86"/>
      <c r="AD37" s="86"/>
      <c r="AE37" s="86"/>
    </row>
    <row r="38" spans="1:31">
      <c r="A38" s="828">
        <v>22</v>
      </c>
      <c r="B38" s="763" t="s">
        <v>1500</v>
      </c>
      <c r="C38" s="763"/>
      <c r="D38" s="763"/>
      <c r="E38" s="763"/>
      <c r="F38" s="763"/>
      <c r="G38" s="763"/>
      <c r="H38" s="681"/>
      <c r="I38" s="828">
        <v>22</v>
      </c>
      <c r="J38" s="763"/>
      <c r="K38" s="763"/>
      <c r="L38" s="763"/>
      <c r="M38" s="763"/>
      <c r="N38" s="763"/>
      <c r="O38" s="763"/>
      <c r="P38" s="763"/>
      <c r="Q38" s="95"/>
      <c r="R38" s="87"/>
      <c r="S38" s="86"/>
      <c r="T38" s="86"/>
      <c r="U38" s="86"/>
      <c r="V38" s="86"/>
      <c r="W38" s="86"/>
      <c r="X38" s="86"/>
      <c r="Y38" s="86"/>
      <c r="Z38" s="86"/>
      <c r="AA38" s="86"/>
      <c r="AB38" s="86"/>
      <c r="AC38" s="86"/>
      <c r="AD38" s="86"/>
      <c r="AE38" s="86"/>
    </row>
    <row r="39" spans="1:31">
      <c r="A39" s="828">
        <v>23</v>
      </c>
      <c r="B39" s="763" t="s">
        <v>1501</v>
      </c>
      <c r="C39" s="763"/>
      <c r="D39" s="763"/>
      <c r="E39" s="763"/>
      <c r="F39" s="763"/>
      <c r="G39" s="763"/>
      <c r="H39" s="681"/>
      <c r="I39" s="828">
        <v>23</v>
      </c>
      <c r="J39" s="763"/>
      <c r="K39" s="763"/>
      <c r="L39" s="763"/>
      <c r="M39" s="763"/>
      <c r="N39" s="763"/>
      <c r="O39" s="763"/>
      <c r="P39" s="763"/>
      <c r="Q39" s="95"/>
      <c r="R39" s="87"/>
      <c r="S39" s="86"/>
      <c r="T39" s="86"/>
      <c r="U39" s="86"/>
      <c r="V39" s="86"/>
      <c r="W39" s="86"/>
      <c r="X39" s="86"/>
      <c r="Y39" s="86"/>
      <c r="Z39" s="86"/>
      <c r="AA39" s="86"/>
      <c r="AB39" s="86"/>
      <c r="AC39" s="86"/>
      <c r="AD39" s="86"/>
      <c r="AE39" s="86"/>
    </row>
    <row r="40" spans="1:31">
      <c r="A40" s="828">
        <v>24</v>
      </c>
      <c r="B40" s="763" t="s">
        <v>1502</v>
      </c>
      <c r="C40" s="762"/>
      <c r="D40" s="762"/>
      <c r="E40" s="762"/>
      <c r="F40" s="762"/>
      <c r="G40" s="762"/>
      <c r="H40" s="694"/>
      <c r="I40" s="1157">
        <v>24</v>
      </c>
      <c r="J40" s="762"/>
      <c r="K40" s="762"/>
      <c r="L40" s="762"/>
      <c r="M40" s="762"/>
      <c r="N40" s="762"/>
      <c r="O40" s="762"/>
      <c r="P40" s="762"/>
      <c r="Q40" s="577"/>
      <c r="R40" s="427"/>
      <c r="S40" s="86"/>
      <c r="T40" s="86"/>
      <c r="U40" s="86"/>
      <c r="V40" s="86"/>
      <c r="W40" s="86"/>
      <c r="X40" s="86"/>
      <c r="Y40" s="86"/>
      <c r="Z40" s="86"/>
      <c r="AA40" s="86"/>
      <c r="AB40" s="86"/>
      <c r="AC40" s="86"/>
      <c r="AD40" s="86"/>
      <c r="AE40" s="86"/>
    </row>
    <row r="41" spans="1:31">
      <c r="A41" s="828">
        <v>25</v>
      </c>
      <c r="B41" s="763"/>
      <c r="C41" s="762"/>
      <c r="D41" s="762"/>
      <c r="E41" s="762"/>
      <c r="F41" s="762"/>
      <c r="G41" s="762"/>
      <c r="H41" s="694"/>
      <c r="I41" s="1157">
        <v>25</v>
      </c>
      <c r="J41" s="762"/>
      <c r="K41" s="762"/>
      <c r="L41" s="762"/>
      <c r="M41" s="762"/>
      <c r="N41" s="762"/>
      <c r="O41" s="762"/>
      <c r="P41" s="762"/>
      <c r="Q41" s="577"/>
      <c r="R41" s="427"/>
      <c r="S41" s="86"/>
      <c r="T41" s="86"/>
      <c r="U41" s="86"/>
      <c r="V41" s="86"/>
      <c r="W41" s="86"/>
      <c r="X41" s="86"/>
      <c r="Y41" s="86"/>
      <c r="Z41" s="86"/>
      <c r="AA41" s="86"/>
      <c r="AB41" s="86"/>
      <c r="AC41" s="86"/>
      <c r="AD41" s="86"/>
      <c r="AE41" s="86"/>
    </row>
    <row r="42" spans="1:31">
      <c r="A42" s="828">
        <v>26</v>
      </c>
      <c r="B42" s="763" t="s">
        <v>522</v>
      </c>
      <c r="C42" s="762"/>
      <c r="D42" s="762"/>
      <c r="E42" s="762"/>
      <c r="F42" s="762"/>
      <c r="G42" s="762"/>
      <c r="H42" s="694"/>
      <c r="I42" s="1157">
        <v>26</v>
      </c>
      <c r="J42" s="762"/>
      <c r="K42" s="762"/>
      <c r="L42" s="762"/>
      <c r="M42" s="762"/>
      <c r="N42" s="762"/>
      <c r="O42" s="762"/>
      <c r="P42" s="762"/>
      <c r="Q42" s="577"/>
      <c r="R42" s="427"/>
      <c r="S42" s="86"/>
      <c r="T42" s="86"/>
      <c r="U42" s="86"/>
      <c r="V42" s="86"/>
      <c r="W42" s="86"/>
      <c r="X42" s="86"/>
      <c r="Y42" s="86"/>
      <c r="Z42" s="86"/>
      <c r="AA42" s="86"/>
      <c r="AB42" s="86"/>
      <c r="AC42" s="86"/>
      <c r="AD42" s="86"/>
      <c r="AE42" s="86"/>
    </row>
    <row r="43" spans="1:31">
      <c r="A43" s="828">
        <v>27</v>
      </c>
      <c r="B43" s="763"/>
      <c r="C43" s="762"/>
      <c r="D43" s="762"/>
      <c r="E43" s="762"/>
      <c r="F43" s="762"/>
      <c r="G43" s="762"/>
      <c r="H43" s="694"/>
      <c r="I43" s="1157">
        <v>27</v>
      </c>
      <c r="J43" s="762"/>
      <c r="K43" s="762"/>
      <c r="L43" s="762"/>
      <c r="M43" s="762"/>
      <c r="N43" s="762"/>
      <c r="O43" s="762"/>
      <c r="P43" s="762"/>
      <c r="Q43" s="577"/>
      <c r="R43" s="427"/>
      <c r="S43" s="86"/>
      <c r="T43" s="86"/>
      <c r="U43" s="86"/>
      <c r="V43" s="86"/>
      <c r="W43" s="86"/>
      <c r="X43" s="86"/>
      <c r="Y43" s="86"/>
      <c r="Z43" s="86"/>
      <c r="AA43" s="86"/>
      <c r="AB43" s="86"/>
      <c r="AC43" s="86"/>
      <c r="AD43" s="86"/>
      <c r="AE43" s="86"/>
    </row>
    <row r="44" spans="1:31">
      <c r="A44" s="828">
        <v>28</v>
      </c>
      <c r="B44" s="763" t="s">
        <v>523</v>
      </c>
      <c r="C44" s="762"/>
      <c r="D44" s="762"/>
      <c r="E44" s="762"/>
      <c r="F44" s="762"/>
      <c r="G44" s="762"/>
      <c r="H44" s="694"/>
      <c r="I44" s="1157">
        <v>28</v>
      </c>
      <c r="J44" s="762"/>
      <c r="K44" s="762"/>
      <c r="L44" s="762"/>
      <c r="M44" s="762"/>
      <c r="N44" s="762"/>
      <c r="O44" s="762"/>
      <c r="P44" s="762"/>
      <c r="Q44" s="577"/>
      <c r="R44" s="427"/>
      <c r="S44" s="86"/>
      <c r="T44" s="86"/>
      <c r="U44" s="86"/>
      <c r="V44" s="86"/>
      <c r="W44" s="86"/>
      <c r="X44" s="86"/>
      <c r="Y44" s="86"/>
      <c r="Z44" s="86"/>
      <c r="AA44" s="86"/>
      <c r="AB44" s="86"/>
      <c r="AC44" s="86"/>
      <c r="AD44" s="86"/>
      <c r="AE44" s="86"/>
    </row>
    <row r="45" spans="1:31">
      <c r="A45" s="828">
        <v>29</v>
      </c>
      <c r="B45" s="763"/>
      <c r="C45" s="762"/>
      <c r="D45" s="762"/>
      <c r="E45" s="762"/>
      <c r="F45" s="762"/>
      <c r="G45" s="762"/>
      <c r="H45" s="694"/>
      <c r="I45" s="1157">
        <v>29</v>
      </c>
      <c r="J45" s="762"/>
      <c r="K45" s="762"/>
      <c r="L45" s="762"/>
      <c r="M45" s="762"/>
      <c r="N45" s="762"/>
      <c r="O45" s="762"/>
      <c r="P45" s="762"/>
      <c r="Q45" s="577"/>
      <c r="R45" s="427"/>
      <c r="S45" s="86"/>
      <c r="T45" s="86"/>
      <c r="U45" s="86"/>
      <c r="V45" s="86"/>
      <c r="W45" s="86"/>
      <c r="X45" s="86"/>
      <c r="Y45" s="86"/>
      <c r="Z45" s="86"/>
      <c r="AA45" s="86"/>
      <c r="AB45" s="86"/>
      <c r="AC45" s="86"/>
      <c r="AD45" s="86"/>
      <c r="AE45" s="86"/>
    </row>
    <row r="46" spans="1:31">
      <c r="A46" s="828">
        <v>30</v>
      </c>
      <c r="B46" s="763" t="s">
        <v>524</v>
      </c>
      <c r="C46" s="762"/>
      <c r="D46" s="762"/>
      <c r="E46" s="762"/>
      <c r="F46" s="762"/>
      <c r="G46" s="762"/>
      <c r="H46" s="694"/>
      <c r="I46" s="1157">
        <v>30</v>
      </c>
      <c r="J46" s="762"/>
      <c r="K46" s="762"/>
      <c r="L46" s="762"/>
      <c r="M46" s="762"/>
      <c r="N46" s="762"/>
      <c r="O46" s="762"/>
      <c r="P46" s="762"/>
      <c r="Q46" s="577"/>
      <c r="R46" s="427"/>
      <c r="S46" s="86"/>
      <c r="T46" s="86"/>
      <c r="U46" s="86"/>
      <c r="V46" s="86"/>
      <c r="W46" s="86"/>
      <c r="X46" s="86"/>
      <c r="Y46" s="86"/>
      <c r="Z46" s="86"/>
      <c r="AA46" s="86"/>
      <c r="AB46" s="86"/>
      <c r="AC46" s="86"/>
      <c r="AD46" s="86"/>
      <c r="AE46" s="86"/>
    </row>
    <row r="47" spans="1:31">
      <c r="A47" s="828">
        <v>31</v>
      </c>
      <c r="B47" s="763"/>
      <c r="C47" s="762"/>
      <c r="D47" s="762"/>
      <c r="E47" s="762"/>
      <c r="F47" s="762"/>
      <c r="G47" s="762"/>
      <c r="H47" s="694"/>
      <c r="I47" s="1157">
        <v>31</v>
      </c>
      <c r="J47" s="762"/>
      <c r="K47" s="762"/>
      <c r="L47" s="762"/>
      <c r="M47" s="762"/>
      <c r="N47" s="762"/>
      <c r="O47" s="762"/>
      <c r="P47" s="762"/>
      <c r="Q47" s="577"/>
      <c r="R47" s="427"/>
      <c r="S47" s="86"/>
      <c r="T47" s="86"/>
      <c r="U47" s="86"/>
      <c r="V47" s="86"/>
      <c r="W47" s="86"/>
      <c r="X47" s="86"/>
      <c r="Y47" s="86"/>
      <c r="Z47" s="86"/>
      <c r="AA47" s="86"/>
      <c r="AB47" s="86"/>
      <c r="AC47" s="86"/>
      <c r="AD47" s="86"/>
      <c r="AE47" s="86"/>
    </row>
    <row r="48" spans="1:31">
      <c r="A48" s="828">
        <v>32</v>
      </c>
      <c r="B48" s="763" t="s">
        <v>525</v>
      </c>
      <c r="C48" s="1159"/>
      <c r="D48" s="1159"/>
      <c r="E48" s="1159"/>
      <c r="F48" s="1159"/>
      <c r="G48" s="1159"/>
      <c r="H48" s="1160"/>
      <c r="I48" s="1157">
        <v>32</v>
      </c>
      <c r="J48" s="1159"/>
      <c r="K48" s="1159"/>
      <c r="L48" s="1159"/>
      <c r="M48" s="1159"/>
      <c r="N48" s="1159"/>
      <c r="O48" s="1159"/>
      <c r="P48" s="1159"/>
      <c r="Q48" s="1161"/>
      <c r="R48" s="576"/>
      <c r="S48" s="86"/>
      <c r="T48" s="86"/>
      <c r="U48" s="86"/>
      <c r="V48" s="86"/>
      <c r="W48" s="86"/>
      <c r="X48" s="86"/>
      <c r="Y48" s="86"/>
      <c r="Z48" s="86"/>
      <c r="AA48" s="86"/>
      <c r="AB48" s="86"/>
      <c r="AC48" s="86"/>
      <c r="AD48" s="86"/>
      <c r="AE48" s="86"/>
    </row>
    <row r="49" spans="1:31">
      <c r="A49" s="828">
        <v>33</v>
      </c>
      <c r="B49" s="763"/>
      <c r="C49" s="1159"/>
      <c r="D49" s="1159"/>
      <c r="E49" s="1159"/>
      <c r="F49" s="1159"/>
      <c r="G49" s="1159"/>
      <c r="H49" s="1160"/>
      <c r="I49" s="1157">
        <v>33</v>
      </c>
      <c r="J49" s="1159"/>
      <c r="K49" s="1159"/>
      <c r="L49" s="1159"/>
      <c r="M49" s="1159"/>
      <c r="N49" s="1159"/>
      <c r="O49" s="1159"/>
      <c r="P49" s="1159"/>
      <c r="Q49" s="1161"/>
      <c r="R49" s="576"/>
      <c r="S49" s="86"/>
      <c r="T49" s="86"/>
      <c r="U49" s="86"/>
      <c r="V49" s="86"/>
      <c r="W49" s="86"/>
      <c r="X49" s="86"/>
      <c r="Y49" s="86"/>
      <c r="Z49" s="86"/>
      <c r="AA49" s="86"/>
      <c r="AB49" s="86"/>
      <c r="AC49" s="86"/>
      <c r="AD49" s="86"/>
      <c r="AE49" s="86"/>
    </row>
    <row r="50" spans="1:31">
      <c r="A50" s="828">
        <v>34</v>
      </c>
      <c r="B50" s="763" t="s">
        <v>2587</v>
      </c>
      <c r="C50" s="762"/>
      <c r="D50" s="762"/>
      <c r="E50" s="762"/>
      <c r="F50" s="762"/>
      <c r="G50" s="762"/>
      <c r="H50" s="694"/>
      <c r="I50" s="1157">
        <v>34</v>
      </c>
      <c r="J50" s="762"/>
      <c r="K50" s="762"/>
      <c r="L50" s="762"/>
      <c r="M50" s="762"/>
      <c r="N50" s="762"/>
      <c r="O50" s="762"/>
      <c r="P50" s="762"/>
      <c r="Q50" s="577"/>
      <c r="R50" s="427"/>
      <c r="S50" s="86"/>
      <c r="T50" s="86"/>
      <c r="U50" s="86"/>
      <c r="V50" s="86"/>
      <c r="W50" s="86"/>
      <c r="X50" s="86"/>
      <c r="Y50" s="86"/>
      <c r="Z50" s="86"/>
      <c r="AA50" s="86"/>
      <c r="AB50" s="86"/>
      <c r="AC50" s="86"/>
      <c r="AD50" s="86"/>
      <c r="AE50" s="86"/>
    </row>
    <row r="51" spans="1:31">
      <c r="A51" s="828">
        <v>35</v>
      </c>
      <c r="B51" s="763"/>
      <c r="C51" s="762"/>
      <c r="D51" s="762"/>
      <c r="E51" s="762"/>
      <c r="F51" s="762"/>
      <c r="G51" s="762"/>
      <c r="H51" s="694"/>
      <c r="I51" s="1157">
        <v>35</v>
      </c>
      <c r="J51" s="762"/>
      <c r="K51" s="762"/>
      <c r="L51" s="762"/>
      <c r="M51" s="762"/>
      <c r="N51" s="762"/>
      <c r="O51" s="762"/>
      <c r="P51" s="762"/>
      <c r="Q51" s="577"/>
      <c r="R51" s="427"/>
      <c r="S51" s="86"/>
      <c r="T51" s="86"/>
      <c r="U51" s="86"/>
      <c r="V51" s="86"/>
      <c r="W51" s="86"/>
      <c r="X51" s="86"/>
      <c r="Y51" s="86"/>
      <c r="Z51" s="86"/>
      <c r="AA51" s="86"/>
      <c r="AB51" s="86"/>
      <c r="AC51" s="86"/>
      <c r="AD51" s="86"/>
      <c r="AE51" s="86"/>
    </row>
    <row r="52" spans="1:31">
      <c r="A52" s="828">
        <v>36</v>
      </c>
      <c r="B52" s="763" t="s">
        <v>2995</v>
      </c>
      <c r="C52" s="762"/>
      <c r="D52" s="762"/>
      <c r="E52" s="762"/>
      <c r="F52" s="762"/>
      <c r="G52" s="762"/>
      <c r="H52" s="694"/>
      <c r="I52" s="1157">
        <v>36</v>
      </c>
      <c r="J52" s="762"/>
      <c r="K52" s="762"/>
      <c r="L52" s="762"/>
      <c r="M52" s="762"/>
      <c r="N52" s="762"/>
      <c r="O52" s="762"/>
      <c r="P52" s="762"/>
      <c r="Q52" s="577"/>
      <c r="R52" s="427"/>
      <c r="S52" s="86"/>
      <c r="T52" s="86"/>
      <c r="U52" s="86"/>
      <c r="V52" s="86"/>
      <c r="W52" s="86"/>
      <c r="X52" s="86"/>
      <c r="Y52" s="86"/>
      <c r="Z52" s="86"/>
      <c r="AA52" s="86"/>
      <c r="AB52" s="86"/>
      <c r="AC52" s="86"/>
      <c r="AD52" s="86"/>
      <c r="AE52" s="86"/>
    </row>
    <row r="53" spans="1:31">
      <c r="A53" s="828">
        <v>37</v>
      </c>
      <c r="B53" s="763" t="s">
        <v>2996</v>
      </c>
      <c r="C53" s="762"/>
      <c r="D53" s="762"/>
      <c r="E53" s="762"/>
      <c r="F53" s="762"/>
      <c r="G53" s="762"/>
      <c r="H53" s="694"/>
      <c r="I53" s="1157">
        <v>37</v>
      </c>
      <c r="J53" s="762"/>
      <c r="K53" s="762"/>
      <c r="L53" s="762"/>
      <c r="M53" s="762"/>
      <c r="N53" s="762"/>
      <c r="O53" s="762"/>
      <c r="P53" s="762"/>
      <c r="Q53" s="577"/>
      <c r="R53" s="427"/>
      <c r="S53" s="86"/>
      <c r="T53" s="86"/>
      <c r="U53" s="86"/>
      <c r="V53" s="86"/>
      <c r="W53" s="86"/>
      <c r="X53" s="86"/>
      <c r="Y53" s="86"/>
      <c r="Z53" s="86"/>
      <c r="AA53" s="86"/>
      <c r="AB53" s="86"/>
      <c r="AC53" s="86"/>
      <c r="AD53" s="86"/>
      <c r="AE53" s="86"/>
    </row>
    <row r="54" spans="1:31">
      <c r="A54" s="828">
        <v>38</v>
      </c>
      <c r="B54" s="1148" t="s">
        <v>2997</v>
      </c>
      <c r="C54" s="1162"/>
      <c r="D54" s="1162"/>
      <c r="E54" s="1162"/>
      <c r="F54" s="1162"/>
      <c r="G54" s="1162"/>
      <c r="H54" s="1163"/>
      <c r="I54" s="828">
        <v>38</v>
      </c>
      <c r="J54" s="1162"/>
      <c r="K54" s="1162"/>
      <c r="L54" s="1162"/>
      <c r="M54" s="1162"/>
      <c r="N54" s="1162"/>
      <c r="O54" s="1162"/>
      <c r="P54" s="1162"/>
      <c r="Q54" s="1164"/>
      <c r="R54" s="1169"/>
      <c r="S54" s="86"/>
      <c r="T54" s="86"/>
      <c r="U54" s="86"/>
      <c r="V54" s="86"/>
      <c r="W54" s="86"/>
      <c r="X54" s="86"/>
      <c r="Y54" s="86"/>
      <c r="Z54" s="86"/>
      <c r="AA54" s="86"/>
      <c r="AB54" s="86"/>
      <c r="AC54" s="86"/>
      <c r="AD54" s="86"/>
      <c r="AE54" s="86"/>
    </row>
    <row r="55" spans="1:31">
      <c r="A55" s="828">
        <v>39</v>
      </c>
      <c r="B55" s="1146" t="s">
        <v>2998</v>
      </c>
      <c r="C55" s="432"/>
      <c r="D55" s="432"/>
      <c r="E55" s="432"/>
      <c r="F55" s="432"/>
      <c r="G55" s="432"/>
      <c r="H55" s="681"/>
      <c r="I55" s="828"/>
      <c r="J55" s="786"/>
      <c r="K55" s="432"/>
      <c r="L55" s="432"/>
      <c r="M55" s="432"/>
      <c r="N55" s="432"/>
      <c r="O55" s="432"/>
      <c r="P55" s="432"/>
      <c r="Q55" s="86"/>
      <c r="R55" s="87"/>
      <c r="S55" s="86"/>
      <c r="T55" s="86"/>
      <c r="U55" s="86"/>
      <c r="V55" s="86"/>
      <c r="W55" s="86"/>
      <c r="X55" s="86"/>
      <c r="Y55" s="86"/>
      <c r="Z55" s="86"/>
      <c r="AA55" s="86"/>
      <c r="AB55" s="86"/>
      <c r="AC55" s="86"/>
      <c r="AD55" s="86"/>
      <c r="AE55" s="86"/>
    </row>
    <row r="56" spans="1:31">
      <c r="A56" s="828">
        <v>40</v>
      </c>
      <c r="B56" s="763" t="s">
        <v>2999</v>
      </c>
      <c r="C56" s="432"/>
      <c r="D56" s="432"/>
      <c r="E56" s="432"/>
      <c r="F56" s="432"/>
      <c r="G56" s="432"/>
      <c r="H56" s="681"/>
      <c r="I56" s="828"/>
      <c r="J56" s="432"/>
      <c r="K56" s="432"/>
      <c r="L56" s="432"/>
      <c r="M56" s="432"/>
      <c r="N56" s="432"/>
      <c r="O56" s="432"/>
      <c r="P56" s="432"/>
      <c r="Q56" s="86"/>
      <c r="R56" s="87"/>
      <c r="S56" s="86"/>
      <c r="T56" s="86"/>
      <c r="U56" s="86"/>
      <c r="V56" s="86"/>
      <c r="W56" s="86"/>
      <c r="X56" s="86"/>
      <c r="Y56" s="86"/>
      <c r="Z56" s="86"/>
      <c r="AA56" s="86"/>
      <c r="AB56" s="86"/>
      <c r="AC56" s="86"/>
      <c r="AD56" s="86"/>
      <c r="AE56" s="86"/>
    </row>
    <row r="57" spans="1:31">
      <c r="A57" s="828">
        <v>41</v>
      </c>
      <c r="B57" s="763" t="s">
        <v>3000</v>
      </c>
      <c r="C57" s="432"/>
      <c r="D57" s="432"/>
      <c r="E57" s="432"/>
      <c r="F57" s="432"/>
      <c r="G57" s="432"/>
      <c r="H57" s="681"/>
      <c r="I57" s="828"/>
      <c r="J57" s="432"/>
      <c r="K57" s="432"/>
      <c r="L57" s="432"/>
      <c r="M57" s="432"/>
      <c r="N57" s="432"/>
      <c r="O57" s="432"/>
      <c r="P57" s="432"/>
      <c r="Q57" s="86"/>
      <c r="R57" s="87"/>
      <c r="S57" s="86"/>
      <c r="T57" s="86"/>
      <c r="U57" s="86"/>
      <c r="V57" s="86"/>
      <c r="W57" s="86"/>
      <c r="X57" s="86"/>
      <c r="Y57" s="86"/>
      <c r="Z57" s="86"/>
      <c r="AA57" s="86"/>
      <c r="AB57" s="86"/>
      <c r="AC57" s="86"/>
      <c r="AD57" s="86"/>
      <c r="AE57" s="86"/>
    </row>
    <row r="58" spans="1:31">
      <c r="A58" s="828">
        <v>42</v>
      </c>
      <c r="B58" s="763" t="s">
        <v>3001</v>
      </c>
      <c r="C58" s="432"/>
      <c r="D58" s="432"/>
      <c r="E58" s="432"/>
      <c r="F58" s="432"/>
      <c r="G58" s="432"/>
      <c r="H58" s="681"/>
      <c r="I58" s="828"/>
      <c r="J58" s="432"/>
      <c r="K58" s="432"/>
      <c r="L58" s="432"/>
      <c r="M58" s="432"/>
      <c r="N58" s="432"/>
      <c r="O58" s="432"/>
      <c r="P58" s="432"/>
      <c r="Q58" s="86"/>
      <c r="R58" s="87"/>
      <c r="S58" s="86"/>
      <c r="T58" s="86"/>
      <c r="U58" s="86"/>
      <c r="V58" s="86"/>
      <c r="W58" s="86"/>
      <c r="X58" s="86"/>
      <c r="Y58" s="86"/>
      <c r="Z58" s="86"/>
      <c r="AA58" s="86"/>
      <c r="AB58" s="86"/>
      <c r="AC58" s="86"/>
      <c r="AD58" s="86"/>
      <c r="AE58" s="86"/>
    </row>
    <row r="59" spans="1:31">
      <c r="A59" s="828">
        <v>43</v>
      </c>
      <c r="B59" s="763" t="s">
        <v>3394</v>
      </c>
      <c r="C59" s="432"/>
      <c r="D59" s="432"/>
      <c r="E59" s="432"/>
      <c r="F59" s="432"/>
      <c r="G59" s="432"/>
      <c r="H59" s="681"/>
      <c r="I59" s="828"/>
      <c r="J59" s="432"/>
      <c r="K59" s="432"/>
      <c r="L59" s="432"/>
      <c r="M59" s="432"/>
      <c r="N59" s="432"/>
      <c r="O59" s="432"/>
      <c r="P59" s="432"/>
      <c r="Q59" s="86"/>
      <c r="R59" s="87"/>
      <c r="S59" s="86"/>
      <c r="T59" s="86"/>
      <c r="U59" s="86"/>
      <c r="V59" s="86"/>
      <c r="W59" s="86"/>
      <c r="X59" s="86"/>
      <c r="Y59" s="86"/>
      <c r="Z59" s="86"/>
      <c r="AA59" s="86"/>
      <c r="AB59" s="86"/>
      <c r="AC59" s="86"/>
      <c r="AD59" s="86"/>
      <c r="AE59" s="86"/>
    </row>
    <row r="60" spans="1:31">
      <c r="A60" s="545">
        <v>44</v>
      </c>
      <c r="B60" s="1148" t="s">
        <v>3395</v>
      </c>
      <c r="C60" s="434"/>
      <c r="D60" s="434"/>
      <c r="E60" s="434"/>
      <c r="F60" s="434"/>
      <c r="G60" s="434"/>
      <c r="H60" s="683"/>
      <c r="I60" s="545"/>
      <c r="J60" s="434"/>
      <c r="K60" s="434"/>
      <c r="L60" s="434"/>
      <c r="M60" s="434"/>
      <c r="N60" s="434"/>
      <c r="O60" s="434"/>
      <c r="P60" s="434"/>
      <c r="Q60" s="98"/>
      <c r="R60" s="101"/>
      <c r="S60" s="86"/>
      <c r="T60" s="86"/>
      <c r="U60" s="86"/>
      <c r="V60" s="86"/>
      <c r="W60" s="86"/>
      <c r="X60" s="86"/>
      <c r="Y60" s="86"/>
      <c r="Z60" s="86"/>
      <c r="AA60" s="86"/>
      <c r="AB60" s="86"/>
      <c r="AC60" s="86"/>
      <c r="AD60" s="86"/>
      <c r="AE60" s="86"/>
    </row>
    <row r="61" spans="1:31">
      <c r="A61" s="817"/>
      <c r="B61" s="432"/>
      <c r="C61" s="432"/>
      <c r="D61" s="432"/>
      <c r="E61" s="432"/>
      <c r="F61" s="432"/>
      <c r="G61" s="432"/>
      <c r="H61" s="681"/>
      <c r="I61" s="817"/>
      <c r="J61" s="432"/>
      <c r="K61" s="432"/>
      <c r="L61" s="432"/>
      <c r="M61" s="432"/>
      <c r="N61" s="432"/>
      <c r="O61" s="432"/>
      <c r="P61" s="432"/>
      <c r="Q61" s="86"/>
      <c r="R61" s="87"/>
      <c r="S61" s="86"/>
      <c r="T61" s="86"/>
      <c r="U61" s="86"/>
      <c r="V61" s="86"/>
      <c r="W61" s="86"/>
      <c r="X61" s="86"/>
      <c r="Y61" s="86"/>
      <c r="Z61" s="86"/>
      <c r="AA61" s="86"/>
      <c r="AB61" s="86"/>
      <c r="AC61" s="86"/>
      <c r="AD61" s="86"/>
      <c r="AE61" s="86"/>
    </row>
    <row r="62" spans="1:31">
      <c r="A62" s="817"/>
      <c r="B62" s="2897" t="s">
        <v>2469</v>
      </c>
      <c r="C62" s="2875"/>
      <c r="D62" s="2875"/>
      <c r="E62" s="2875"/>
      <c r="F62" s="2875"/>
      <c r="G62" s="432"/>
      <c r="H62" s="681"/>
      <c r="I62" s="817"/>
      <c r="J62" s="432"/>
      <c r="K62" s="432"/>
      <c r="L62" s="432"/>
      <c r="M62" s="432"/>
      <c r="N62" s="432"/>
      <c r="O62" s="432"/>
      <c r="P62" s="432"/>
      <c r="Q62" s="86"/>
      <c r="R62" s="87"/>
      <c r="S62" s="86"/>
      <c r="T62" s="86"/>
      <c r="U62" s="86"/>
      <c r="V62" s="86"/>
      <c r="W62" s="86"/>
      <c r="X62" s="86"/>
      <c r="Y62" s="86"/>
      <c r="Z62" s="86"/>
      <c r="AA62" s="86"/>
      <c r="AB62" s="86"/>
      <c r="AC62" s="86"/>
      <c r="AD62" s="86"/>
      <c r="AE62" s="86"/>
    </row>
    <row r="63" spans="1:31">
      <c r="A63" s="817"/>
      <c r="B63" s="432" t="s">
        <v>3396</v>
      </c>
      <c r="C63" s="432"/>
      <c r="D63" s="432"/>
      <c r="E63" s="432"/>
      <c r="F63" s="432"/>
      <c r="G63" s="432"/>
      <c r="H63" s="681"/>
      <c r="I63" s="817"/>
      <c r="J63" s="432"/>
      <c r="K63" s="432"/>
      <c r="L63" s="432"/>
      <c r="M63" s="432"/>
      <c r="N63" s="432"/>
      <c r="O63" s="432"/>
      <c r="P63" s="432"/>
      <c r="Q63" s="86"/>
      <c r="R63" s="87"/>
      <c r="S63" s="86"/>
      <c r="T63" s="86"/>
      <c r="U63" s="86"/>
      <c r="V63" s="86"/>
      <c r="W63" s="86"/>
      <c r="X63" s="86"/>
      <c r="Y63" s="86"/>
      <c r="Z63" s="86"/>
      <c r="AA63" s="86"/>
      <c r="AB63" s="86"/>
      <c r="AC63" s="86"/>
      <c r="AD63" s="86"/>
      <c r="AE63" s="86"/>
    </row>
    <row r="64" spans="1:31" ht="15.75" thickBot="1">
      <c r="A64" s="817"/>
      <c r="B64" s="86"/>
      <c r="C64" s="432"/>
      <c r="D64" s="432"/>
      <c r="E64" s="432"/>
      <c r="F64" s="432"/>
      <c r="G64" s="432"/>
      <c r="H64" s="681"/>
      <c r="I64" s="1156"/>
      <c r="J64" s="113"/>
      <c r="K64" s="444"/>
      <c r="L64" s="444"/>
      <c r="M64" s="444"/>
      <c r="N64" s="444"/>
      <c r="O64" s="444"/>
      <c r="P64" s="444"/>
      <c r="Q64" s="113"/>
      <c r="R64" s="116"/>
      <c r="S64" s="86"/>
      <c r="T64" s="86"/>
      <c r="U64" s="86"/>
      <c r="V64" s="86"/>
      <c r="W64" s="86"/>
      <c r="X64" s="86"/>
      <c r="Y64" s="86"/>
      <c r="Z64" s="86"/>
      <c r="AA64" s="86"/>
      <c r="AB64" s="86"/>
      <c r="AC64" s="86"/>
      <c r="AD64" s="86"/>
      <c r="AE64" s="86"/>
    </row>
    <row r="65" spans="1:31">
      <c r="A65" s="130"/>
      <c r="B65" s="130"/>
      <c r="C65" s="130"/>
      <c r="D65" s="130"/>
      <c r="E65" s="130"/>
      <c r="F65" s="130"/>
      <c r="G65" s="130"/>
      <c r="H65" s="1170" t="s">
        <v>2024</v>
      </c>
      <c r="I65" s="86" t="s">
        <v>2024</v>
      </c>
      <c r="J65" s="130"/>
      <c r="K65" s="130"/>
      <c r="L65" s="130"/>
      <c r="M65" s="130"/>
      <c r="N65" s="130"/>
      <c r="O65" s="130"/>
      <c r="P65" s="130"/>
      <c r="Q65" s="86"/>
      <c r="R65" s="86"/>
      <c r="S65" s="86"/>
      <c r="T65" s="86"/>
      <c r="U65" s="86"/>
      <c r="V65" s="86"/>
      <c r="W65" s="86"/>
      <c r="X65" s="86"/>
      <c r="Y65" s="86"/>
      <c r="Z65" s="86"/>
      <c r="AA65" s="86"/>
      <c r="AB65" s="86"/>
      <c r="AC65" s="86"/>
      <c r="AD65" s="86"/>
      <c r="AE65" s="86"/>
    </row>
    <row r="66" spans="1:31">
      <c r="A66" s="5" t="s">
        <v>3397</v>
      </c>
      <c r="B66" s="5"/>
      <c r="C66" s="5"/>
      <c r="D66" s="5"/>
      <c r="E66" s="5"/>
      <c r="F66" s="5"/>
      <c r="G66" s="5"/>
      <c r="H66" s="5"/>
      <c r="I66" s="5" t="s">
        <v>3398</v>
      </c>
      <c r="J66" s="5"/>
      <c r="K66" s="5"/>
      <c r="L66" s="5"/>
      <c r="M66" s="5"/>
      <c r="N66" s="5"/>
      <c r="O66" s="5"/>
      <c r="P66" s="5"/>
      <c r="Q66" s="5"/>
      <c r="R66" s="5"/>
      <c r="S66" s="86"/>
      <c r="T66" s="86"/>
      <c r="U66" s="86"/>
      <c r="V66" s="86"/>
      <c r="W66" s="86"/>
      <c r="X66" s="86"/>
      <c r="Y66" s="86"/>
      <c r="Z66" s="86"/>
      <c r="AA66" s="86"/>
      <c r="AB66" s="86"/>
      <c r="AC66" s="86"/>
      <c r="AD66" s="86"/>
      <c r="AE66" s="86"/>
    </row>
    <row r="67" spans="1:31">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row>
    <row r="68" spans="1:31">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row>
    <row r="69" spans="1:31">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row>
    <row r="70" spans="1:31">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row>
    <row r="71" spans="1:31">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row>
    <row r="72" spans="1:31">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row>
    <row r="73" spans="1:31">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row>
    <row r="74" spans="1:31">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row>
    <row r="75" spans="1:31">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row>
    <row r="76" spans="1:31">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row>
    <row r="77" spans="1:31">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row>
    <row r="78" spans="1:31">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row>
    <row r="79" spans="1:31">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row>
    <row r="80" spans="1:31">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row>
    <row r="81" spans="1:31">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row>
    <row r="82" spans="1:31">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row>
    <row r="83" spans="1:31">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row>
    <row r="84" spans="1:31">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row>
    <row r="85" spans="1:31">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row>
    <row r="86" spans="1:31">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row>
    <row r="87" spans="1:31">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row>
    <row r="88" spans="1:31">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row>
    <row r="89" spans="1:31">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row>
    <row r="90" spans="1:31">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row>
    <row r="91" spans="1:31">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row>
    <row r="92" spans="1:31">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row>
    <row r="93" spans="1:31">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row>
    <row r="94" spans="1:31">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row>
    <row r="95" spans="1:31">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row>
    <row r="96" spans="1:31">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row>
    <row r="97" spans="1:31">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row>
    <row r="98" spans="1:31">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row>
    <row r="99" spans="1:31">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row>
    <row r="100" spans="1:31">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row>
    <row r="101" spans="1:31">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row>
    <row r="102" spans="1:31">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row>
    <row r="103" spans="1:31">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row>
    <row r="104" spans="1:31">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row>
    <row r="105" spans="1:31">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row>
    <row r="106" spans="1:31">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row>
    <row r="107" spans="1:31">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row>
    <row r="108" spans="1:31">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row>
    <row r="109" spans="1:31">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row>
    <row r="110" spans="1:31">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row>
    <row r="111" spans="1:31">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row>
    <row r="112" spans="1:31">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row>
    <row r="113" spans="1:31">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row>
    <row r="114" spans="1:31">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row>
    <row r="115" spans="1:31">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row>
    <row r="116" spans="1:31">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row>
    <row r="117" spans="1:31">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row>
    <row r="118" spans="1:31">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row>
    <row r="119" spans="1:31">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row>
    <row r="120" spans="1:31">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row>
    <row r="121" spans="1:31">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row>
    <row r="122" spans="1:31">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row>
    <row r="123" spans="1:31">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row>
    <row r="124" spans="1:31">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row>
    <row r="125" spans="1:31">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row>
    <row r="126" spans="1:31">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row>
    <row r="127" spans="1:31">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row>
    <row r="128" spans="1:31">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row>
    <row r="129" spans="1:31">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row>
    <row r="130" spans="1:31">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row>
    <row r="131" spans="1:31">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row>
    <row r="132" spans="1:31">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row>
    <row r="133" spans="1:31">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row>
    <row r="134" spans="1:31">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row>
    <row r="135" spans="1:31">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row>
    <row r="136" spans="1:31">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row>
    <row r="137" spans="1:31">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row>
    <row r="138" spans="1:31">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row>
    <row r="139" spans="1:31">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row>
    <row r="140" spans="1:31">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row>
    <row r="141" spans="1:31">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row>
    <row r="142" spans="1:31">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row>
    <row r="143" spans="1:31">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row>
    <row r="144" spans="1:31">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row>
    <row r="145" spans="1:31">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row>
    <row r="146" spans="1:31">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row>
    <row r="147" spans="1:31">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row>
    <row r="148" spans="1:31">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row>
    <row r="149" spans="1:31">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row>
    <row r="150" spans="1:31">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row>
    <row r="151" spans="1:31">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row>
    <row r="152" spans="1:31">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row>
    <row r="153" spans="1:31">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row>
    <row r="154" spans="1:31">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row>
    <row r="155" spans="1:31">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row>
    <row r="156" spans="1:31">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row>
    <row r="157" spans="1:31">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row>
    <row r="158" spans="1:31">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row>
    <row r="159" spans="1:31">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row>
    <row r="160" spans="1:31">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row>
    <row r="161" spans="1:31">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row>
    <row r="162" spans="1:31">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row>
    <row r="163" spans="1:31">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row>
    <row r="164" spans="1:31">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row>
    <row r="165" spans="1:31">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row>
    <row r="166" spans="1:31">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row>
    <row r="167" spans="1:31">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row>
    <row r="168" spans="1:31">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row>
    <row r="169" spans="1:31">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row>
    <row r="170" spans="1:31">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row>
    <row r="171" spans="1:31">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row>
    <row r="172" spans="1:31">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row>
    <row r="173" spans="1:31">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row>
    <row r="174" spans="1:31">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row>
    <row r="175" spans="1:31">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row>
    <row r="176" spans="1:31">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row>
    <row r="177" spans="1:31">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row>
    <row r="178" spans="1:31">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row>
    <row r="179" spans="1:31">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row>
    <row r="180" spans="1:31">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row>
    <row r="181" spans="1:31">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row>
    <row r="182" spans="1:31">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row>
    <row r="183" spans="1:31">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row>
    <row r="184" spans="1:31">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row>
    <row r="185" spans="1:31">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row>
    <row r="186" spans="1:31">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row>
    <row r="187" spans="1:31">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row>
    <row r="188" spans="1:31">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row>
    <row r="189" spans="1:31">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row>
    <row r="190" spans="1:31">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row>
    <row r="191" spans="1:31">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row>
    <row r="192" spans="1:31">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row>
    <row r="193" spans="1:31">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row>
    <row r="194" spans="1:31">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row>
    <row r="195" spans="1:31">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c r="AE195" s="86"/>
    </row>
    <row r="196" spans="1:31">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row>
    <row r="197" spans="1:31">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row>
    <row r="198" spans="1:31">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row>
    <row r="199" spans="1:31">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row>
    <row r="200" spans="1:31">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row>
    <row r="201" spans="1:31">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86"/>
      <c r="AB201" s="86"/>
      <c r="AC201" s="86"/>
      <c r="AD201" s="86"/>
      <c r="AE201" s="86"/>
    </row>
    <row r="202" spans="1:31">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row>
    <row r="203" spans="1:31">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86"/>
      <c r="AB203" s="86"/>
      <c r="AC203" s="86"/>
      <c r="AD203" s="86"/>
      <c r="AE203" s="86"/>
    </row>
    <row r="204" spans="1:31">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row>
    <row r="205" spans="1:31">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row>
    <row r="206" spans="1:31">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row>
    <row r="207" spans="1:31">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row>
    <row r="208" spans="1:31">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row>
    <row r="209" spans="1:31">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row>
    <row r="210" spans="1:31">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row>
    <row r="211" spans="1:31">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row>
    <row r="212" spans="1:31">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row>
    <row r="213" spans="1:31">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row>
    <row r="214" spans="1:31">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row>
    <row r="215" spans="1:31">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row>
    <row r="216" spans="1:31">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row>
    <row r="217" spans="1:31">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row>
    <row r="218" spans="1:31">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row>
    <row r="219" spans="1:31">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row>
    <row r="220" spans="1:31">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row>
    <row r="221" spans="1:31">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row>
    <row r="222" spans="1:31">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row>
    <row r="223" spans="1:31">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c r="AA223" s="86"/>
      <c r="AB223" s="86"/>
      <c r="AC223" s="86"/>
      <c r="AD223" s="86"/>
      <c r="AE223" s="86"/>
    </row>
    <row r="224" spans="1:31">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row>
    <row r="225" spans="1:31">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row>
    <row r="226" spans="1:31">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row>
    <row r="227" spans="1:31">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row>
    <row r="228" spans="1:31">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row>
    <row r="229" spans="1:31">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row>
    <row r="230" spans="1:31">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row>
    <row r="231" spans="1:31">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c r="AA231" s="86"/>
      <c r="AB231" s="86"/>
      <c r="AC231" s="86"/>
      <c r="AD231" s="86"/>
      <c r="AE231" s="86"/>
    </row>
    <row r="232" spans="1:31">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row>
    <row r="233" spans="1:31">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c r="AA233" s="86"/>
      <c r="AB233" s="86"/>
      <c r="AC233" s="86"/>
      <c r="AD233" s="86"/>
      <c r="AE233" s="86"/>
    </row>
    <row r="234" spans="1:31">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row>
    <row r="235" spans="1:31">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c r="AA235" s="86"/>
      <c r="AB235" s="86"/>
      <c r="AC235" s="86"/>
      <c r="AD235" s="86"/>
      <c r="AE235" s="86"/>
    </row>
    <row r="236" spans="1:31">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row>
    <row r="237" spans="1:31">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row>
    <row r="238" spans="1:31">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row>
    <row r="239" spans="1:31">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c r="AA239" s="86"/>
      <c r="AB239" s="86"/>
      <c r="AC239" s="86"/>
      <c r="AD239" s="86"/>
      <c r="AE239" s="86"/>
    </row>
    <row r="240" spans="1:31">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row>
    <row r="241" spans="1:31">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c r="AA241" s="86"/>
      <c r="AB241" s="86"/>
      <c r="AC241" s="86"/>
      <c r="AD241" s="86"/>
      <c r="AE241" s="86"/>
    </row>
    <row r="242" spans="1:31">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row>
    <row r="243" spans="1:31">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c r="AA243" s="86"/>
      <c r="AB243" s="86"/>
      <c r="AC243" s="86"/>
      <c r="AD243" s="86"/>
      <c r="AE243" s="86"/>
    </row>
    <row r="244" spans="1:31">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row>
    <row r="245" spans="1:31">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row>
    <row r="246" spans="1:31">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row>
    <row r="247" spans="1:31">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c r="AA247" s="86"/>
      <c r="AB247" s="86"/>
      <c r="AC247" s="86"/>
      <c r="AD247" s="86"/>
      <c r="AE247" s="86"/>
    </row>
    <row r="248" spans="1:31">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row>
    <row r="249" spans="1:31">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c r="AA249" s="86"/>
      <c r="AB249" s="86"/>
      <c r="AC249" s="86"/>
      <c r="AD249" s="86"/>
      <c r="AE249" s="86"/>
    </row>
    <row r="250" spans="1:31">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row>
    <row r="251" spans="1:31">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row>
    <row r="252" spans="1:31">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row>
    <row r="253" spans="1:31">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row>
    <row r="254" spans="1:31">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row>
    <row r="255" spans="1:31">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c r="AA255" s="86"/>
      <c r="AB255" s="86"/>
      <c r="AC255" s="86"/>
      <c r="AD255" s="86"/>
      <c r="AE255" s="86"/>
    </row>
    <row r="256" spans="1:31">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row>
    <row r="257" spans="1:31">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c r="AA257" s="86"/>
      <c r="AB257" s="86"/>
      <c r="AC257" s="86"/>
      <c r="AD257" s="86"/>
      <c r="AE257" s="86"/>
    </row>
    <row r="258" spans="1:31">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row>
    <row r="259" spans="1:31">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c r="AA259" s="86"/>
      <c r="AB259" s="86"/>
      <c r="AC259" s="86"/>
      <c r="AD259" s="86"/>
      <c r="AE259" s="86"/>
    </row>
    <row r="260" spans="1:31">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row>
    <row r="261" spans="1:31">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c r="AA261" s="86"/>
      <c r="AB261" s="86"/>
      <c r="AC261" s="86"/>
      <c r="AD261" s="86"/>
      <c r="AE261" s="86"/>
    </row>
    <row r="262" spans="1:31">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row>
    <row r="263" spans="1:31">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c r="AA263" s="86"/>
      <c r="AB263" s="86"/>
      <c r="AC263" s="86"/>
      <c r="AD263" s="86"/>
      <c r="AE263" s="86"/>
    </row>
    <row r="264" spans="1:31">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row>
    <row r="265" spans="1:31">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c r="AA265" s="86"/>
      <c r="AB265" s="86"/>
      <c r="AC265" s="86"/>
      <c r="AD265" s="86"/>
      <c r="AE265" s="86"/>
    </row>
    <row r="266" spans="1:31">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row>
    <row r="267" spans="1:31">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86"/>
      <c r="AD267" s="86"/>
      <c r="AE267" s="86"/>
    </row>
    <row r="268" spans="1:31">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row>
    <row r="269" spans="1:31">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row>
    <row r="270" spans="1:31">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row>
    <row r="271" spans="1:31">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c r="AA271" s="86"/>
      <c r="AB271" s="86"/>
      <c r="AC271" s="86"/>
      <c r="AD271" s="86"/>
      <c r="AE271" s="86"/>
    </row>
    <row r="272" spans="1:31">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row>
    <row r="273" spans="1:31">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c r="AA273" s="86"/>
      <c r="AB273" s="86"/>
      <c r="AC273" s="86"/>
      <c r="AD273" s="86"/>
      <c r="AE273" s="86"/>
    </row>
    <row r="274" spans="1:31">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row>
    <row r="275" spans="1:31">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c r="AA275" s="86"/>
      <c r="AB275" s="86"/>
      <c r="AC275" s="86"/>
      <c r="AD275" s="86"/>
      <c r="AE275" s="86"/>
    </row>
    <row r="276" spans="1:31">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row>
    <row r="277" spans="1:31">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c r="AA277" s="86"/>
      <c r="AB277" s="86"/>
      <c r="AC277" s="86"/>
      <c r="AD277" s="86"/>
      <c r="AE277" s="86"/>
    </row>
    <row r="278" spans="1:31">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row>
    <row r="279" spans="1:31">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c r="AA279" s="86"/>
      <c r="AB279" s="86"/>
      <c r="AC279" s="86"/>
      <c r="AD279" s="86"/>
      <c r="AE279" s="86"/>
    </row>
    <row r="280" spans="1:31">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row>
    <row r="281" spans="1:31">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c r="AA281" s="86"/>
      <c r="AB281" s="86"/>
      <c r="AC281" s="86"/>
      <c r="AD281" s="86"/>
      <c r="AE281" s="86"/>
    </row>
    <row r="282" spans="1:31">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row>
    <row r="283" spans="1:31">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row>
    <row r="284" spans="1:31">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row>
    <row r="285" spans="1:31">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row>
    <row r="286" spans="1:31">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row>
    <row r="287" spans="1:31">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c r="AA287" s="86"/>
      <c r="AB287" s="86"/>
      <c r="AC287" s="86"/>
      <c r="AD287" s="86"/>
      <c r="AE287" s="86"/>
    </row>
    <row r="288" spans="1:31">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row>
    <row r="289" spans="1:31">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c r="AA289" s="86"/>
      <c r="AB289" s="86"/>
      <c r="AC289" s="86"/>
      <c r="AD289" s="86"/>
      <c r="AE289" s="86"/>
    </row>
    <row r="290" spans="1:31">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row>
    <row r="291" spans="1:31">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c r="AA291" s="86"/>
      <c r="AB291" s="86"/>
      <c r="AC291" s="86"/>
      <c r="AD291" s="86"/>
      <c r="AE291" s="86"/>
    </row>
    <row r="292" spans="1:31">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row>
    <row r="293" spans="1:31">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c r="AA293" s="86"/>
      <c r="AB293" s="86"/>
      <c r="AC293" s="86"/>
      <c r="AD293" s="86"/>
      <c r="AE293" s="86"/>
    </row>
    <row r="294" spans="1:31">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row>
    <row r="295" spans="1:31">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c r="AA295" s="86"/>
      <c r="AB295" s="86"/>
      <c r="AC295" s="86"/>
      <c r="AD295" s="86"/>
      <c r="AE295" s="86"/>
    </row>
    <row r="296" spans="1:31">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row>
    <row r="297" spans="1:31">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c r="AA297" s="86"/>
      <c r="AB297" s="86"/>
      <c r="AC297" s="86"/>
      <c r="AD297" s="86"/>
      <c r="AE297" s="86"/>
    </row>
    <row r="298" spans="1:31">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row>
    <row r="299" spans="1:31">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c r="AA299" s="86"/>
      <c r="AB299" s="86"/>
      <c r="AC299" s="86"/>
      <c r="AD299" s="86"/>
      <c r="AE299" s="86"/>
    </row>
    <row r="300" spans="1:31">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row>
    <row r="301" spans="1:31">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row>
    <row r="302" spans="1:31">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row>
    <row r="303" spans="1:31">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c r="AA303" s="86"/>
      <c r="AB303" s="86"/>
      <c r="AC303" s="86"/>
      <c r="AD303" s="86"/>
      <c r="AE303" s="86"/>
    </row>
    <row r="304" spans="1:31">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row>
    <row r="305" spans="1:31">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86"/>
      <c r="AC305" s="86"/>
      <c r="AD305" s="86"/>
      <c r="AE305" s="86"/>
    </row>
    <row r="306" spans="1:31">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row>
    <row r="307" spans="1:31">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c r="AA307" s="86"/>
      <c r="AB307" s="86"/>
      <c r="AC307" s="86"/>
      <c r="AD307" s="86"/>
      <c r="AE307" s="86"/>
    </row>
    <row r="308" spans="1:31">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row>
    <row r="309" spans="1:31">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c r="AA309" s="86"/>
      <c r="AB309" s="86"/>
      <c r="AC309" s="86"/>
      <c r="AD309" s="86"/>
      <c r="AE309" s="86"/>
    </row>
    <row r="310" spans="1:31">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row>
    <row r="311" spans="1:31">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c r="AA311" s="86"/>
      <c r="AB311" s="86"/>
      <c r="AC311" s="86"/>
      <c r="AD311" s="86"/>
      <c r="AE311" s="86"/>
    </row>
    <row r="312" spans="1:31">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row>
    <row r="313" spans="1:31">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row>
    <row r="314" spans="1:31">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row>
    <row r="315" spans="1:31">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row>
    <row r="316" spans="1:31">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row>
    <row r="317" spans="1:31">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row>
    <row r="318" spans="1:31">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row>
    <row r="319" spans="1:31">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row>
    <row r="320" spans="1:31">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row>
    <row r="321" spans="1:31">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c r="AA321" s="86"/>
      <c r="AB321" s="86"/>
      <c r="AC321" s="86"/>
      <c r="AD321" s="86"/>
      <c r="AE321" s="86"/>
    </row>
    <row r="322" spans="1:31">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row>
    <row r="323" spans="1:31">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c r="AA323" s="86"/>
      <c r="AB323" s="86"/>
      <c r="AC323" s="86"/>
      <c r="AD323" s="86"/>
      <c r="AE323" s="86"/>
    </row>
    <row r="324" spans="1:31">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row>
    <row r="325" spans="1:31">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c r="AA325" s="86"/>
      <c r="AB325" s="86"/>
      <c r="AC325" s="86"/>
      <c r="AD325" s="86"/>
      <c r="AE325" s="86"/>
    </row>
    <row r="326" spans="1:31">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row>
    <row r="327" spans="1:31">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row>
    <row r="328" spans="1:31">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row>
    <row r="329" spans="1:31">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c r="AA329" s="86"/>
      <c r="AB329" s="86"/>
      <c r="AC329" s="86"/>
      <c r="AD329" s="86"/>
      <c r="AE329" s="86"/>
    </row>
    <row r="330" spans="1:31">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row>
    <row r="331" spans="1:31">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c r="AA331" s="86"/>
      <c r="AB331" s="86"/>
      <c r="AC331" s="86"/>
      <c r="AD331" s="86"/>
      <c r="AE331" s="86"/>
    </row>
    <row r="332" spans="1:31">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row>
    <row r="333" spans="1:31">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row>
    <row r="334" spans="1:31">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row>
    <row r="335" spans="1:31">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row>
    <row r="336" spans="1:31">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row>
    <row r="337" spans="1:31">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c r="AA337" s="86"/>
      <c r="AB337" s="86"/>
      <c r="AC337" s="86"/>
      <c r="AD337" s="86"/>
      <c r="AE337" s="86"/>
    </row>
    <row r="338" spans="1:31">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row>
    <row r="339" spans="1:31">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row>
    <row r="340" spans="1:31">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row>
    <row r="341" spans="1:31">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row>
    <row r="342" spans="1:31">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row>
    <row r="343" spans="1:31">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row>
    <row r="344" spans="1:31">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row>
    <row r="345" spans="1:31">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c r="AA345" s="86"/>
      <c r="AB345" s="86"/>
      <c r="AC345" s="86"/>
      <c r="AD345" s="86"/>
      <c r="AE345" s="86"/>
    </row>
    <row r="346" spans="1:31">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row>
    <row r="347" spans="1:31">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c r="AA347" s="86"/>
      <c r="AB347" s="86"/>
      <c r="AC347" s="86"/>
      <c r="AD347" s="86"/>
      <c r="AE347" s="86"/>
    </row>
    <row r="348" spans="1:31">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row>
    <row r="349" spans="1:31">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c r="AA349" s="86"/>
      <c r="AB349" s="86"/>
      <c r="AC349" s="86"/>
      <c r="AD349" s="86"/>
      <c r="AE349" s="86"/>
    </row>
    <row r="350" spans="1:31">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row>
    <row r="351" spans="1:31">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c r="AA351" s="86"/>
      <c r="AB351" s="86"/>
      <c r="AC351" s="86"/>
      <c r="AD351" s="86"/>
      <c r="AE351" s="86"/>
    </row>
    <row r="352" spans="1:31">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row>
    <row r="353" spans="1:31">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c r="AA353" s="86"/>
      <c r="AB353" s="86"/>
      <c r="AC353" s="86"/>
      <c r="AD353" s="86"/>
      <c r="AE353" s="86"/>
    </row>
    <row r="354" spans="1:31">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row>
    <row r="355" spans="1:31">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c r="AA355" s="86"/>
      <c r="AB355" s="86"/>
      <c r="AC355" s="86"/>
      <c r="AD355" s="86"/>
      <c r="AE355" s="86"/>
    </row>
    <row r="356" spans="1:31">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row>
    <row r="357" spans="1:31">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6"/>
      <c r="AA357" s="86"/>
      <c r="AB357" s="86"/>
      <c r="AC357" s="86"/>
      <c r="AD357" s="86"/>
      <c r="AE357" s="86"/>
    </row>
    <row r="358" spans="1:31">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c r="AA358" s="86"/>
      <c r="AB358" s="86"/>
      <c r="AC358" s="86"/>
      <c r="AD358" s="86"/>
      <c r="AE358" s="86"/>
    </row>
    <row r="359" spans="1:31">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c r="AA359" s="86"/>
      <c r="AB359" s="86"/>
      <c r="AC359" s="86"/>
      <c r="AD359" s="86"/>
      <c r="AE359" s="86"/>
    </row>
    <row r="360" spans="1:31">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c r="AA360" s="86"/>
      <c r="AB360" s="86"/>
      <c r="AC360" s="86"/>
      <c r="AD360" s="86"/>
      <c r="AE360" s="86"/>
    </row>
    <row r="361" spans="1:31">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c r="AA361" s="86"/>
      <c r="AB361" s="86"/>
      <c r="AC361" s="86"/>
      <c r="AD361" s="86"/>
      <c r="AE361" s="86"/>
    </row>
    <row r="362" spans="1:31">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c r="AA362" s="86"/>
      <c r="AB362" s="86"/>
      <c r="AC362" s="86"/>
      <c r="AD362" s="86"/>
      <c r="AE362" s="86"/>
    </row>
    <row r="363" spans="1:31">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6"/>
      <c r="AA363" s="86"/>
      <c r="AB363" s="86"/>
      <c r="AC363" s="86"/>
      <c r="AD363" s="86"/>
      <c r="AE363" s="86"/>
    </row>
    <row r="364" spans="1:31">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c r="AA364" s="86"/>
      <c r="AB364" s="86"/>
      <c r="AC364" s="86"/>
      <c r="AD364" s="86"/>
      <c r="AE364" s="86"/>
    </row>
    <row r="365" spans="1:31">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c r="AA365" s="86"/>
      <c r="AB365" s="86"/>
      <c r="AC365" s="86"/>
      <c r="AD365" s="86"/>
      <c r="AE365" s="86"/>
    </row>
    <row r="366" spans="1:31">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c r="AA366" s="86"/>
      <c r="AB366" s="86"/>
      <c r="AC366" s="86"/>
      <c r="AD366" s="86"/>
      <c r="AE366" s="86"/>
    </row>
    <row r="367" spans="1:31">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6"/>
      <c r="AA367" s="86"/>
      <c r="AB367" s="86"/>
      <c r="AC367" s="86"/>
      <c r="AD367" s="86"/>
      <c r="AE367" s="86"/>
    </row>
    <row r="368" spans="1:31">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c r="AA368" s="86"/>
      <c r="AB368" s="86"/>
      <c r="AC368" s="86"/>
      <c r="AD368" s="86"/>
      <c r="AE368" s="86"/>
    </row>
    <row r="369" spans="1:31">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6"/>
      <c r="AA369" s="86"/>
      <c r="AB369" s="86"/>
      <c r="AC369" s="86"/>
      <c r="AD369" s="86"/>
      <c r="AE369" s="86"/>
    </row>
    <row r="370" spans="1:31">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c r="AA370" s="86"/>
      <c r="AB370" s="86"/>
      <c r="AC370" s="86"/>
      <c r="AD370" s="86"/>
      <c r="AE370" s="86"/>
    </row>
    <row r="371" spans="1:31">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c r="AA371" s="86"/>
      <c r="AB371" s="86"/>
      <c r="AC371" s="86"/>
      <c r="AD371" s="86"/>
      <c r="AE371" s="86"/>
    </row>
    <row r="372" spans="1:31">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c r="AA372" s="86"/>
      <c r="AB372" s="86"/>
      <c r="AC372" s="86"/>
      <c r="AD372" s="86"/>
      <c r="AE372" s="86"/>
    </row>
    <row r="373" spans="1:31">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6"/>
      <c r="AA373" s="86"/>
      <c r="AB373" s="86"/>
      <c r="AC373" s="86"/>
      <c r="AD373" s="86"/>
      <c r="AE373" s="86"/>
    </row>
    <row r="374" spans="1:31">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c r="AA374" s="86"/>
      <c r="AB374" s="86"/>
      <c r="AC374" s="86"/>
      <c r="AD374" s="86"/>
      <c r="AE374" s="86"/>
    </row>
    <row r="375" spans="1:31">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6"/>
      <c r="AA375" s="86"/>
      <c r="AB375" s="86"/>
      <c r="AC375" s="86"/>
      <c r="AD375" s="86"/>
      <c r="AE375" s="86"/>
    </row>
    <row r="376" spans="1:31">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c r="AA376" s="86"/>
      <c r="AB376" s="86"/>
      <c r="AC376" s="86"/>
      <c r="AD376" s="86"/>
      <c r="AE376" s="86"/>
    </row>
    <row r="377" spans="1:31">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c r="AA377" s="86"/>
      <c r="AB377" s="86"/>
      <c r="AC377" s="86"/>
      <c r="AD377" s="86"/>
      <c r="AE377" s="86"/>
    </row>
    <row r="378" spans="1:31">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c r="AA378" s="86"/>
      <c r="AB378" s="86"/>
      <c r="AC378" s="86"/>
      <c r="AD378" s="86"/>
      <c r="AE378" s="86"/>
    </row>
    <row r="379" spans="1:31">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6"/>
      <c r="AA379" s="86"/>
      <c r="AB379" s="86"/>
      <c r="AC379" s="86"/>
      <c r="AD379" s="86"/>
      <c r="AE379" s="86"/>
    </row>
    <row r="380" spans="1:31">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c r="AA380" s="86"/>
      <c r="AB380" s="86"/>
      <c r="AC380" s="86"/>
      <c r="AD380" s="86"/>
      <c r="AE380" s="86"/>
    </row>
    <row r="381" spans="1:31">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c r="AA381" s="86"/>
      <c r="AB381" s="86"/>
      <c r="AC381" s="86"/>
      <c r="AD381" s="86"/>
      <c r="AE381" s="86"/>
    </row>
    <row r="382" spans="1:31">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c r="AA382" s="86"/>
      <c r="AB382" s="86"/>
      <c r="AC382" s="86"/>
      <c r="AD382" s="86"/>
      <c r="AE382" s="86"/>
    </row>
    <row r="383" spans="1:31">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6"/>
      <c r="AA383" s="86"/>
      <c r="AB383" s="86"/>
      <c r="AC383" s="86"/>
      <c r="AD383" s="86"/>
      <c r="AE383" s="86"/>
    </row>
    <row r="384" spans="1:31">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c r="AA384" s="86"/>
      <c r="AB384" s="86"/>
      <c r="AC384" s="86"/>
      <c r="AD384" s="86"/>
      <c r="AE384" s="86"/>
    </row>
    <row r="385" spans="1:31">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c r="AA385" s="86"/>
      <c r="AB385" s="86"/>
      <c r="AC385" s="86"/>
      <c r="AD385" s="86"/>
      <c r="AE385" s="86"/>
    </row>
    <row r="386" spans="1:31">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c r="AA386" s="86"/>
      <c r="AB386" s="86"/>
      <c r="AC386" s="86"/>
      <c r="AD386" s="86"/>
      <c r="AE386" s="86"/>
    </row>
    <row r="387" spans="1:31">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c r="AA387" s="86"/>
      <c r="AB387" s="86"/>
      <c r="AC387" s="86"/>
      <c r="AD387" s="86"/>
      <c r="AE387" s="86"/>
    </row>
    <row r="388" spans="1:31">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c r="AA388" s="86"/>
      <c r="AB388" s="86"/>
      <c r="AC388" s="86"/>
      <c r="AD388" s="86"/>
      <c r="AE388" s="86"/>
    </row>
    <row r="389" spans="1:31">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6"/>
      <c r="AA389" s="86"/>
      <c r="AB389" s="86"/>
      <c r="AC389" s="86"/>
      <c r="AD389" s="86"/>
      <c r="AE389" s="86"/>
    </row>
    <row r="390" spans="1:31">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c r="AA390" s="86"/>
      <c r="AB390" s="86"/>
      <c r="AC390" s="86"/>
      <c r="AD390" s="86"/>
      <c r="AE390" s="86"/>
    </row>
    <row r="391" spans="1:31">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c r="AA391" s="86"/>
      <c r="AB391" s="86"/>
      <c r="AC391" s="86"/>
      <c r="AD391" s="86"/>
      <c r="AE391" s="86"/>
    </row>
    <row r="392" spans="1:31">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c r="AA392" s="86"/>
      <c r="AB392" s="86"/>
      <c r="AC392" s="86"/>
      <c r="AD392" s="86"/>
      <c r="AE392" s="86"/>
    </row>
    <row r="393" spans="1:31">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6"/>
      <c r="AA393" s="86"/>
      <c r="AB393" s="86"/>
      <c r="AC393" s="86"/>
      <c r="AD393" s="86"/>
      <c r="AE393" s="86"/>
    </row>
    <row r="394" spans="1:31">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c r="AA394" s="86"/>
      <c r="AB394" s="86"/>
      <c r="AC394" s="86"/>
      <c r="AD394" s="86"/>
      <c r="AE394" s="86"/>
    </row>
    <row r="395" spans="1:31">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6"/>
      <c r="AA395" s="86"/>
      <c r="AB395" s="86"/>
      <c r="AC395" s="86"/>
      <c r="AD395" s="86"/>
      <c r="AE395" s="86"/>
    </row>
    <row r="396" spans="1:31">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c r="AA396" s="86"/>
      <c r="AB396" s="86"/>
      <c r="AC396" s="86"/>
      <c r="AD396" s="86"/>
      <c r="AE396" s="86"/>
    </row>
    <row r="397" spans="1:31">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c r="AA397" s="86"/>
      <c r="AB397" s="86"/>
      <c r="AC397" s="86"/>
      <c r="AD397" s="86"/>
      <c r="AE397" s="86"/>
    </row>
    <row r="398" spans="1:31">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c r="AA398" s="86"/>
      <c r="AB398" s="86"/>
      <c r="AC398" s="86"/>
      <c r="AD398" s="86"/>
      <c r="AE398" s="86"/>
    </row>
    <row r="399" spans="1:31">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6"/>
      <c r="AA399" s="86"/>
      <c r="AB399" s="86"/>
      <c r="AC399" s="86"/>
      <c r="AD399" s="86"/>
      <c r="AE399" s="86"/>
    </row>
    <row r="400" spans="1:31">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c r="AA400" s="86"/>
      <c r="AB400" s="86"/>
      <c r="AC400" s="86"/>
      <c r="AD400" s="86"/>
      <c r="AE400" s="86"/>
    </row>
    <row r="401" spans="1:31">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6"/>
      <c r="AA401" s="86"/>
      <c r="AB401" s="86"/>
      <c r="AC401" s="86"/>
      <c r="AD401" s="86"/>
      <c r="AE401" s="86"/>
    </row>
    <row r="402" spans="1:31">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c r="AA402" s="86"/>
      <c r="AB402" s="86"/>
      <c r="AC402" s="86"/>
      <c r="AD402" s="86"/>
      <c r="AE402" s="86"/>
    </row>
    <row r="403" spans="1:31">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c r="AA403" s="86"/>
      <c r="AB403" s="86"/>
      <c r="AC403" s="86"/>
      <c r="AD403" s="86"/>
      <c r="AE403" s="86"/>
    </row>
    <row r="404" spans="1:31">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c r="AA404" s="86"/>
      <c r="AB404" s="86"/>
      <c r="AC404" s="86"/>
      <c r="AD404" s="86"/>
      <c r="AE404" s="86"/>
    </row>
    <row r="405" spans="1:31">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c r="AA405" s="86"/>
      <c r="AB405" s="86"/>
      <c r="AC405" s="86"/>
      <c r="AD405" s="86"/>
      <c r="AE405" s="86"/>
    </row>
    <row r="406" spans="1:31">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c r="AA406" s="86"/>
      <c r="AB406" s="86"/>
      <c r="AC406" s="86"/>
      <c r="AD406" s="86"/>
      <c r="AE406" s="86"/>
    </row>
    <row r="407" spans="1:31">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c r="AA407" s="86"/>
      <c r="AB407" s="86"/>
      <c r="AC407" s="86"/>
      <c r="AD407" s="86"/>
      <c r="AE407" s="86"/>
    </row>
    <row r="408" spans="1:31">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c r="AA408" s="86"/>
      <c r="AB408" s="86"/>
      <c r="AC408" s="86"/>
      <c r="AD408" s="86"/>
      <c r="AE408" s="86"/>
    </row>
    <row r="409" spans="1:31">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6"/>
      <c r="AA409" s="86"/>
      <c r="AB409" s="86"/>
      <c r="AC409" s="86"/>
      <c r="AD409" s="86"/>
      <c r="AE409" s="86"/>
    </row>
    <row r="410" spans="1:31">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c r="AA410" s="86"/>
      <c r="AB410" s="86"/>
      <c r="AC410" s="86"/>
      <c r="AD410" s="86"/>
      <c r="AE410" s="86"/>
    </row>
    <row r="411" spans="1:31">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6"/>
      <c r="AA411" s="86"/>
      <c r="AB411" s="86"/>
      <c r="AC411" s="86"/>
      <c r="AD411" s="86"/>
      <c r="AE411" s="86"/>
    </row>
    <row r="412" spans="1:31">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c r="AA412" s="86"/>
      <c r="AB412" s="86"/>
      <c r="AC412" s="86"/>
      <c r="AD412" s="86"/>
      <c r="AE412" s="86"/>
    </row>
    <row r="413" spans="1:31">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c r="AA413" s="86"/>
      <c r="AB413" s="86"/>
      <c r="AC413" s="86"/>
      <c r="AD413" s="86"/>
      <c r="AE413" s="86"/>
    </row>
    <row r="414" spans="1:31">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c r="AA414" s="86"/>
      <c r="AB414" s="86"/>
      <c r="AC414" s="86"/>
      <c r="AD414" s="86"/>
      <c r="AE414" s="86"/>
    </row>
    <row r="415" spans="1:31">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6"/>
      <c r="AA415" s="86"/>
      <c r="AB415" s="86"/>
      <c r="AC415" s="86"/>
      <c r="AD415" s="86"/>
      <c r="AE415" s="86"/>
    </row>
    <row r="416" spans="1:31">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c r="AA416" s="86"/>
      <c r="AB416" s="86"/>
      <c r="AC416" s="86"/>
      <c r="AD416" s="86"/>
      <c r="AE416" s="86"/>
    </row>
    <row r="417" spans="1:31">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c r="AA417" s="86"/>
      <c r="AB417" s="86"/>
      <c r="AC417" s="86"/>
      <c r="AD417" s="86"/>
      <c r="AE417" s="86"/>
    </row>
    <row r="418" spans="1:31">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c r="AA418" s="86"/>
      <c r="AB418" s="86"/>
      <c r="AC418" s="86"/>
      <c r="AD418" s="86"/>
      <c r="AE418" s="86"/>
    </row>
    <row r="419" spans="1:31">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6"/>
      <c r="AA419" s="86"/>
      <c r="AB419" s="86"/>
      <c r="AC419" s="86"/>
      <c r="AD419" s="86"/>
      <c r="AE419" s="86"/>
    </row>
    <row r="420" spans="1:31">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c r="AA420" s="86"/>
      <c r="AB420" s="86"/>
      <c r="AC420" s="86"/>
      <c r="AD420" s="86"/>
      <c r="AE420" s="86"/>
    </row>
    <row r="421" spans="1:31">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6"/>
      <c r="AA421" s="86"/>
      <c r="AB421" s="86"/>
      <c r="AC421" s="86"/>
      <c r="AD421" s="86"/>
      <c r="AE421" s="86"/>
    </row>
    <row r="422" spans="1:31">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c r="AA422" s="86"/>
      <c r="AB422" s="86"/>
      <c r="AC422" s="86"/>
      <c r="AD422" s="86"/>
      <c r="AE422" s="86"/>
    </row>
    <row r="423" spans="1:31">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c r="AA423" s="86"/>
      <c r="AB423" s="86"/>
      <c r="AC423" s="86"/>
      <c r="AD423" s="86"/>
      <c r="AE423" s="86"/>
    </row>
    <row r="424" spans="1:31">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c r="AA424" s="86"/>
      <c r="AB424" s="86"/>
      <c r="AC424" s="86"/>
      <c r="AD424" s="86"/>
      <c r="AE424" s="86"/>
    </row>
    <row r="425" spans="1:31">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6"/>
      <c r="AA425" s="86"/>
      <c r="AB425" s="86"/>
      <c r="AC425" s="86"/>
      <c r="AD425" s="86"/>
      <c r="AE425" s="86"/>
    </row>
    <row r="426" spans="1:31">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c r="AA426" s="86"/>
      <c r="AB426" s="86"/>
      <c r="AC426" s="86"/>
      <c r="AD426" s="86"/>
      <c r="AE426" s="86"/>
    </row>
    <row r="427" spans="1:31">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6"/>
      <c r="AA427" s="86"/>
      <c r="AB427" s="86"/>
      <c r="AC427" s="86"/>
      <c r="AD427" s="86"/>
      <c r="AE427" s="86"/>
    </row>
    <row r="428" spans="1:31">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c r="AA428" s="86"/>
      <c r="AB428" s="86"/>
      <c r="AC428" s="86"/>
      <c r="AD428" s="86"/>
      <c r="AE428" s="86"/>
    </row>
    <row r="429" spans="1:31">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c r="AA429" s="86"/>
      <c r="AB429" s="86"/>
      <c r="AC429" s="86"/>
      <c r="AD429" s="86"/>
      <c r="AE429" s="86"/>
    </row>
    <row r="430" spans="1:31">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c r="AA430" s="86"/>
      <c r="AB430" s="86"/>
      <c r="AC430" s="86"/>
      <c r="AD430" s="86"/>
      <c r="AE430" s="86"/>
    </row>
    <row r="431" spans="1:31">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6"/>
      <c r="AA431" s="86"/>
      <c r="AB431" s="86"/>
      <c r="AC431" s="86"/>
      <c r="AD431" s="86"/>
      <c r="AE431" s="86"/>
    </row>
    <row r="432" spans="1:31">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c r="AA432" s="86"/>
      <c r="AB432" s="86"/>
      <c r="AC432" s="86"/>
      <c r="AD432" s="86"/>
      <c r="AE432" s="86"/>
    </row>
    <row r="433" spans="1:31">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c r="AA433" s="86"/>
      <c r="AB433" s="86"/>
      <c r="AC433" s="86"/>
      <c r="AD433" s="86"/>
      <c r="AE433" s="86"/>
    </row>
    <row r="434" spans="1:31">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c r="AA434" s="86"/>
      <c r="AB434" s="86"/>
      <c r="AC434" s="86"/>
      <c r="AD434" s="86"/>
      <c r="AE434" s="86"/>
    </row>
    <row r="435" spans="1:31">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6"/>
      <c r="AA435" s="86"/>
      <c r="AB435" s="86"/>
      <c r="AC435" s="86"/>
      <c r="AD435" s="86"/>
      <c r="AE435" s="86"/>
    </row>
    <row r="436" spans="1:31">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c r="AA436" s="86"/>
      <c r="AB436" s="86"/>
      <c r="AC436" s="86"/>
      <c r="AD436" s="86"/>
      <c r="AE436" s="86"/>
    </row>
    <row r="437" spans="1:31">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6"/>
      <c r="AA437" s="86"/>
      <c r="AB437" s="86"/>
      <c r="AC437" s="86"/>
      <c r="AD437" s="86"/>
      <c r="AE437" s="86"/>
    </row>
    <row r="438" spans="1:31">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c r="AA438" s="86"/>
      <c r="AB438" s="86"/>
      <c r="AC438" s="86"/>
      <c r="AD438" s="86"/>
      <c r="AE438" s="86"/>
    </row>
    <row r="439" spans="1:31">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c r="AA439" s="86"/>
      <c r="AB439" s="86"/>
      <c r="AC439" s="86"/>
      <c r="AD439" s="86"/>
      <c r="AE439" s="86"/>
    </row>
    <row r="440" spans="1:31">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c r="AA440" s="86"/>
      <c r="AB440" s="86"/>
      <c r="AC440" s="86"/>
      <c r="AD440" s="86"/>
      <c r="AE440" s="86"/>
    </row>
    <row r="441" spans="1:31">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c r="AA441" s="86"/>
      <c r="AB441" s="86"/>
      <c r="AC441" s="86"/>
      <c r="AD441" s="86"/>
      <c r="AE441" s="86"/>
    </row>
    <row r="442" spans="1:31">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c r="AA442" s="86"/>
      <c r="AB442" s="86"/>
      <c r="AC442" s="86"/>
      <c r="AD442" s="86"/>
      <c r="AE442" s="86"/>
    </row>
    <row r="443" spans="1:31">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c r="AA443" s="86"/>
      <c r="AB443" s="86"/>
      <c r="AC443" s="86"/>
      <c r="AD443" s="86"/>
      <c r="AE443" s="86"/>
    </row>
    <row r="444" spans="1:31">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c r="AA444" s="86"/>
      <c r="AB444" s="86"/>
      <c r="AC444" s="86"/>
      <c r="AD444" s="86"/>
      <c r="AE444" s="86"/>
    </row>
    <row r="445" spans="1:31">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6"/>
      <c r="AA445" s="86"/>
      <c r="AB445" s="86"/>
      <c r="AC445" s="86"/>
      <c r="AD445" s="86"/>
      <c r="AE445" s="86"/>
    </row>
    <row r="446" spans="1:31">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c r="AA446" s="86"/>
      <c r="AB446" s="86"/>
      <c r="AC446" s="86"/>
      <c r="AD446" s="86"/>
      <c r="AE446" s="86"/>
    </row>
    <row r="447" spans="1:31">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6"/>
      <c r="AA447" s="86"/>
      <c r="AB447" s="86"/>
      <c r="AC447" s="86"/>
      <c r="AD447" s="86"/>
      <c r="AE447" s="86"/>
    </row>
    <row r="448" spans="1:31">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c r="AA448" s="86"/>
      <c r="AB448" s="86"/>
      <c r="AC448" s="86"/>
      <c r="AD448" s="86"/>
      <c r="AE448" s="86"/>
    </row>
    <row r="449" spans="1:31">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c r="AA449" s="86"/>
      <c r="AB449" s="86"/>
      <c r="AC449" s="86"/>
      <c r="AD449" s="86"/>
      <c r="AE449" s="86"/>
    </row>
    <row r="450" spans="1:31">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c r="AA450" s="86"/>
      <c r="AB450" s="86"/>
      <c r="AC450" s="86"/>
      <c r="AD450" s="86"/>
      <c r="AE450" s="86"/>
    </row>
    <row r="451" spans="1:31">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6"/>
      <c r="AA451" s="86"/>
      <c r="AB451" s="86"/>
      <c r="AC451" s="86"/>
      <c r="AD451" s="86"/>
      <c r="AE451" s="86"/>
    </row>
    <row r="452" spans="1:31">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c r="AA452" s="86"/>
      <c r="AB452" s="86"/>
      <c r="AC452" s="86"/>
      <c r="AD452" s="86"/>
      <c r="AE452" s="86"/>
    </row>
    <row r="453" spans="1:31">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6"/>
      <c r="AA453" s="86"/>
      <c r="AB453" s="86"/>
      <c r="AC453" s="86"/>
      <c r="AD453" s="86"/>
      <c r="AE453" s="86"/>
    </row>
    <row r="454" spans="1:31">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c r="AA454" s="86"/>
      <c r="AB454" s="86"/>
      <c r="AC454" s="86"/>
      <c r="AD454" s="86"/>
      <c r="AE454" s="86"/>
    </row>
    <row r="455" spans="1:31">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c r="AA455" s="86"/>
      <c r="AB455" s="86"/>
      <c r="AC455" s="86"/>
      <c r="AD455" s="86"/>
      <c r="AE455" s="86"/>
    </row>
    <row r="456" spans="1:31">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c r="AA456" s="86"/>
      <c r="AB456" s="86"/>
      <c r="AC456" s="86"/>
      <c r="AD456" s="86"/>
      <c r="AE456" s="86"/>
    </row>
    <row r="457" spans="1:31">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c r="AA457" s="86"/>
      <c r="AB457" s="86"/>
      <c r="AC457" s="86"/>
      <c r="AD457" s="86"/>
      <c r="AE457" s="86"/>
    </row>
    <row r="458" spans="1:31">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c r="AA458" s="86"/>
      <c r="AB458" s="86"/>
      <c r="AC458" s="86"/>
      <c r="AD458" s="86"/>
      <c r="AE458" s="86"/>
    </row>
    <row r="459" spans="1:31">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c r="AA459" s="86"/>
      <c r="AB459" s="86"/>
      <c r="AC459" s="86"/>
      <c r="AD459" s="86"/>
      <c r="AE459" s="86"/>
    </row>
    <row r="460" spans="1:31">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c r="AA460" s="86"/>
      <c r="AB460" s="86"/>
      <c r="AC460" s="86"/>
      <c r="AD460" s="86"/>
      <c r="AE460" s="86"/>
    </row>
    <row r="461" spans="1:31">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c r="AA461" s="86"/>
      <c r="AB461" s="86"/>
      <c r="AC461" s="86"/>
      <c r="AD461" s="86"/>
      <c r="AE461" s="86"/>
    </row>
    <row r="462" spans="1:31">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c r="AA462" s="86"/>
      <c r="AB462" s="86"/>
      <c r="AC462" s="86"/>
      <c r="AD462" s="86"/>
      <c r="AE462" s="86"/>
    </row>
    <row r="463" spans="1:31">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6"/>
      <c r="AA463" s="86"/>
      <c r="AB463" s="86"/>
      <c r="AC463" s="86"/>
      <c r="AD463" s="86"/>
      <c r="AE463" s="86"/>
    </row>
    <row r="464" spans="1:31">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c r="AA464" s="86"/>
      <c r="AB464" s="86"/>
      <c r="AC464" s="86"/>
      <c r="AD464" s="86"/>
      <c r="AE464" s="86"/>
    </row>
    <row r="465" spans="1:31">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c r="AA465" s="86"/>
      <c r="AB465" s="86"/>
      <c r="AC465" s="86"/>
      <c r="AD465" s="86"/>
      <c r="AE465" s="86"/>
    </row>
    <row r="466" spans="1:31">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c r="AA466" s="86"/>
      <c r="AB466" s="86"/>
      <c r="AC466" s="86"/>
      <c r="AD466" s="86"/>
      <c r="AE466" s="86"/>
    </row>
    <row r="467" spans="1:31">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6"/>
      <c r="AA467" s="86"/>
      <c r="AB467" s="86"/>
      <c r="AC467" s="86"/>
      <c r="AD467" s="86"/>
      <c r="AE467" s="86"/>
    </row>
    <row r="468" spans="1:31">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c r="AA468" s="86"/>
      <c r="AB468" s="86"/>
      <c r="AC468" s="86"/>
      <c r="AD468" s="86"/>
      <c r="AE468" s="86"/>
    </row>
    <row r="469" spans="1:31">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c r="AA469" s="86"/>
      <c r="AB469" s="86"/>
      <c r="AC469" s="86"/>
      <c r="AD469" s="86"/>
      <c r="AE469" s="86"/>
    </row>
    <row r="470" spans="1:31">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c r="AA470" s="86"/>
      <c r="AB470" s="86"/>
      <c r="AC470" s="86"/>
      <c r="AD470" s="86"/>
      <c r="AE470" s="86"/>
    </row>
    <row r="471" spans="1:31">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6"/>
      <c r="AA471" s="86"/>
      <c r="AB471" s="86"/>
      <c r="AC471" s="86"/>
      <c r="AD471" s="86"/>
      <c r="AE471" s="86"/>
    </row>
    <row r="472" spans="1:31">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c r="AA472" s="86"/>
      <c r="AB472" s="86"/>
      <c r="AC472" s="86"/>
      <c r="AD472" s="86"/>
      <c r="AE472" s="86"/>
    </row>
    <row r="473" spans="1:31">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6"/>
      <c r="AA473" s="86"/>
      <c r="AB473" s="86"/>
      <c r="AC473" s="86"/>
      <c r="AD473" s="86"/>
      <c r="AE473" s="86"/>
    </row>
    <row r="474" spans="1:31">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c r="AA474" s="86"/>
      <c r="AB474" s="86"/>
      <c r="AC474" s="86"/>
      <c r="AD474" s="86"/>
      <c r="AE474" s="86"/>
    </row>
    <row r="475" spans="1:31">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c r="AA475" s="86"/>
      <c r="AB475" s="86"/>
      <c r="AC475" s="86"/>
      <c r="AD475" s="86"/>
      <c r="AE475" s="86"/>
    </row>
    <row r="476" spans="1:31">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c r="AA476" s="86"/>
      <c r="AB476" s="86"/>
      <c r="AC476" s="86"/>
      <c r="AD476" s="86"/>
      <c r="AE476" s="86"/>
    </row>
    <row r="477" spans="1:31">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c r="AA477" s="86"/>
      <c r="AB477" s="86"/>
      <c r="AC477" s="86"/>
      <c r="AD477" s="86"/>
      <c r="AE477" s="86"/>
    </row>
    <row r="478" spans="1:31">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c r="AA478" s="86"/>
      <c r="AB478" s="86"/>
      <c r="AC478" s="86"/>
      <c r="AD478" s="86"/>
      <c r="AE478" s="86"/>
    </row>
    <row r="479" spans="1:31">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c r="AA479" s="86"/>
      <c r="AB479" s="86"/>
      <c r="AC479" s="86"/>
      <c r="AD479" s="86"/>
      <c r="AE479" s="86"/>
    </row>
    <row r="480" spans="1:31">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c r="AA480" s="86"/>
      <c r="AB480" s="86"/>
      <c r="AC480" s="86"/>
      <c r="AD480" s="86"/>
      <c r="AE480" s="86"/>
    </row>
    <row r="481" spans="1:31">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c r="AA481" s="86"/>
      <c r="AB481" s="86"/>
      <c r="AC481" s="86"/>
      <c r="AD481" s="86"/>
      <c r="AE481" s="86"/>
    </row>
    <row r="482" spans="1:31">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c r="AA482" s="86"/>
      <c r="AB482" s="86"/>
      <c r="AC482" s="86"/>
      <c r="AD482" s="86"/>
      <c r="AE482" s="86"/>
    </row>
    <row r="483" spans="1:31">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6"/>
      <c r="AA483" s="86"/>
      <c r="AB483" s="86"/>
      <c r="AC483" s="86"/>
      <c r="AD483" s="86"/>
      <c r="AE483" s="86"/>
    </row>
    <row r="484" spans="1:31">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c r="AA484" s="86"/>
      <c r="AB484" s="86"/>
      <c r="AC484" s="86"/>
      <c r="AD484" s="86"/>
      <c r="AE484" s="86"/>
    </row>
    <row r="485" spans="1:31">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c r="AA485" s="86"/>
      <c r="AB485" s="86"/>
      <c r="AC485" s="86"/>
      <c r="AD485" s="86"/>
      <c r="AE485" s="86"/>
    </row>
    <row r="486" spans="1:31">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c r="AA486" s="86"/>
      <c r="AB486" s="86"/>
      <c r="AC486" s="86"/>
      <c r="AD486" s="86"/>
      <c r="AE486" s="86"/>
    </row>
    <row r="487" spans="1:31">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c r="AA487" s="86"/>
      <c r="AB487" s="86"/>
      <c r="AC487" s="86"/>
      <c r="AD487" s="86"/>
      <c r="AE487" s="86"/>
    </row>
    <row r="488" spans="1:31">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c r="AA488" s="86"/>
      <c r="AB488" s="86"/>
      <c r="AC488" s="86"/>
      <c r="AD488" s="86"/>
      <c r="AE488" s="86"/>
    </row>
    <row r="489" spans="1:31">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6"/>
      <c r="AA489" s="86"/>
      <c r="AB489" s="86"/>
      <c r="AC489" s="86"/>
      <c r="AD489" s="86"/>
      <c r="AE489" s="86"/>
    </row>
    <row r="490" spans="1:31">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c r="AA490" s="86"/>
      <c r="AB490" s="86"/>
      <c r="AC490" s="86"/>
      <c r="AD490" s="86"/>
      <c r="AE490" s="86"/>
    </row>
    <row r="491" spans="1:31">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c r="AA491" s="86"/>
      <c r="AB491" s="86"/>
      <c r="AC491" s="86"/>
      <c r="AD491" s="86"/>
      <c r="AE491" s="86"/>
    </row>
    <row r="492" spans="1:31">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c r="AA492" s="86"/>
      <c r="AB492" s="86"/>
      <c r="AC492" s="86"/>
      <c r="AD492" s="86"/>
      <c r="AE492" s="86"/>
    </row>
    <row r="493" spans="1:31">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6"/>
      <c r="AA493" s="86"/>
      <c r="AB493" s="86"/>
      <c r="AC493" s="86"/>
      <c r="AD493" s="86"/>
      <c r="AE493" s="86"/>
    </row>
    <row r="494" spans="1:31">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c r="AA494" s="86"/>
      <c r="AB494" s="86"/>
      <c r="AC494" s="86"/>
      <c r="AD494" s="86"/>
      <c r="AE494" s="86"/>
    </row>
    <row r="495" spans="1:31">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c r="AA495" s="86"/>
      <c r="AB495" s="86"/>
      <c r="AC495" s="86"/>
      <c r="AD495" s="86"/>
      <c r="AE495" s="86"/>
    </row>
    <row r="496" spans="1:31">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c r="AA496" s="86"/>
      <c r="AB496" s="86"/>
      <c r="AC496" s="86"/>
      <c r="AD496" s="86"/>
      <c r="AE496" s="86"/>
    </row>
    <row r="497" spans="1:31">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c r="AA497" s="86"/>
      <c r="AB497" s="86"/>
      <c r="AC497" s="86"/>
      <c r="AD497" s="86"/>
      <c r="AE497" s="86"/>
    </row>
    <row r="498" spans="1:31">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c r="AA498" s="86"/>
      <c r="AB498" s="86"/>
      <c r="AC498" s="86"/>
      <c r="AD498" s="86"/>
      <c r="AE498" s="86"/>
    </row>
    <row r="499" spans="1:31">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6"/>
      <c r="AA499" s="86"/>
      <c r="AB499" s="86"/>
      <c r="AC499" s="86"/>
      <c r="AD499" s="86"/>
      <c r="AE499" s="86"/>
    </row>
    <row r="500" spans="1:31">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c r="AA500" s="86"/>
      <c r="AB500" s="86"/>
      <c r="AC500" s="86"/>
      <c r="AD500" s="86"/>
      <c r="AE500" s="86"/>
    </row>
    <row r="501" spans="1:31">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c r="AA501" s="86"/>
      <c r="AB501" s="86"/>
      <c r="AC501" s="86"/>
      <c r="AD501" s="86"/>
      <c r="AE501" s="86"/>
    </row>
    <row r="502" spans="1:31">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c r="AA502" s="86"/>
      <c r="AB502" s="86"/>
      <c r="AC502" s="86"/>
      <c r="AD502" s="86"/>
      <c r="AE502" s="86"/>
    </row>
    <row r="503" spans="1:31">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6"/>
      <c r="AA503" s="86"/>
      <c r="AB503" s="86"/>
      <c r="AC503" s="86"/>
      <c r="AD503" s="86"/>
      <c r="AE503" s="86"/>
    </row>
    <row r="504" spans="1:31">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c r="AA504" s="86"/>
      <c r="AB504" s="86"/>
      <c r="AC504" s="86"/>
      <c r="AD504" s="86"/>
      <c r="AE504" s="86"/>
    </row>
    <row r="505" spans="1:31">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6"/>
      <c r="AA505" s="86"/>
      <c r="AB505" s="86"/>
      <c r="AC505" s="86"/>
      <c r="AD505" s="86"/>
      <c r="AE505" s="86"/>
    </row>
    <row r="506" spans="1:31">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c r="AA506" s="86"/>
      <c r="AB506" s="86"/>
      <c r="AC506" s="86"/>
      <c r="AD506" s="86"/>
      <c r="AE506" s="86"/>
    </row>
    <row r="507" spans="1:31">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c r="AA507" s="86"/>
      <c r="AB507" s="86"/>
      <c r="AC507" s="86"/>
      <c r="AD507" s="86"/>
      <c r="AE507" s="86"/>
    </row>
    <row r="508" spans="1:31">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c r="AA508" s="86"/>
      <c r="AB508" s="86"/>
      <c r="AC508" s="86"/>
      <c r="AD508" s="86"/>
      <c r="AE508" s="86"/>
    </row>
    <row r="509" spans="1:31">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6"/>
      <c r="AA509" s="86"/>
      <c r="AB509" s="86"/>
      <c r="AC509" s="86"/>
      <c r="AD509" s="86"/>
      <c r="AE509" s="86"/>
    </row>
    <row r="510" spans="1:31">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c r="AA510" s="86"/>
      <c r="AB510" s="86"/>
      <c r="AC510" s="86"/>
      <c r="AD510" s="86"/>
      <c r="AE510" s="86"/>
    </row>
    <row r="511" spans="1:31">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c r="AA511" s="86"/>
      <c r="AB511" s="86"/>
      <c r="AC511" s="86"/>
      <c r="AD511" s="86"/>
      <c r="AE511" s="86"/>
    </row>
    <row r="512" spans="1:31">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c r="AA512" s="86"/>
      <c r="AB512" s="86"/>
      <c r="AC512" s="86"/>
      <c r="AD512" s="86"/>
      <c r="AE512" s="86"/>
    </row>
    <row r="513" spans="1:31">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c r="AA513" s="86"/>
      <c r="AB513" s="86"/>
      <c r="AC513" s="86"/>
      <c r="AD513" s="86"/>
      <c r="AE513" s="86"/>
    </row>
    <row r="514" spans="1:31">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c r="AA514" s="86"/>
      <c r="AB514" s="86"/>
      <c r="AC514" s="86"/>
      <c r="AD514" s="86"/>
      <c r="AE514" s="86"/>
    </row>
    <row r="515" spans="1:31">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6"/>
      <c r="AA515" s="86"/>
      <c r="AB515" s="86"/>
      <c r="AC515" s="86"/>
      <c r="AD515" s="86"/>
      <c r="AE515" s="86"/>
    </row>
    <row r="516" spans="1:31">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c r="AA516" s="86"/>
      <c r="AB516" s="86"/>
      <c r="AC516" s="86"/>
      <c r="AD516" s="86"/>
      <c r="AE516" s="86"/>
    </row>
    <row r="517" spans="1:31">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c r="AA517" s="86"/>
      <c r="AB517" s="86"/>
      <c r="AC517" s="86"/>
      <c r="AD517" s="86"/>
      <c r="AE517" s="86"/>
    </row>
    <row r="518" spans="1:31">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c r="AA518" s="86"/>
      <c r="AB518" s="86"/>
      <c r="AC518" s="86"/>
      <c r="AD518" s="86"/>
      <c r="AE518" s="86"/>
    </row>
    <row r="519" spans="1:31">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6"/>
      <c r="AA519" s="86"/>
      <c r="AB519" s="86"/>
      <c r="AC519" s="86"/>
      <c r="AD519" s="86"/>
      <c r="AE519" s="86"/>
    </row>
    <row r="520" spans="1:31">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c r="AA520" s="86"/>
      <c r="AB520" s="86"/>
      <c r="AC520" s="86"/>
      <c r="AD520" s="86"/>
      <c r="AE520" s="86"/>
    </row>
    <row r="521" spans="1:31">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c r="AA521" s="86"/>
      <c r="AB521" s="86"/>
      <c r="AC521" s="86"/>
      <c r="AD521" s="86"/>
      <c r="AE521" s="86"/>
    </row>
    <row r="522" spans="1:31">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c r="AA522" s="86"/>
      <c r="AB522" s="86"/>
      <c r="AC522" s="86"/>
      <c r="AD522" s="86"/>
      <c r="AE522" s="86"/>
    </row>
    <row r="523" spans="1:31">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6"/>
      <c r="AA523" s="86"/>
      <c r="AB523" s="86"/>
      <c r="AC523" s="86"/>
      <c r="AD523" s="86"/>
      <c r="AE523" s="86"/>
    </row>
    <row r="524" spans="1:31">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c r="AA524" s="86"/>
      <c r="AB524" s="86"/>
      <c r="AC524" s="86"/>
      <c r="AD524" s="86"/>
      <c r="AE524" s="86"/>
    </row>
    <row r="525" spans="1:31">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6"/>
      <c r="AA525" s="86"/>
      <c r="AB525" s="86"/>
      <c r="AC525" s="86"/>
      <c r="AD525" s="86"/>
      <c r="AE525" s="86"/>
    </row>
    <row r="526" spans="1:31">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c r="AA526" s="86"/>
      <c r="AB526" s="86"/>
      <c r="AC526" s="86"/>
      <c r="AD526" s="86"/>
      <c r="AE526" s="86"/>
    </row>
    <row r="527" spans="1:31">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c r="AA527" s="86"/>
      <c r="AB527" s="86"/>
      <c r="AC527" s="86"/>
      <c r="AD527" s="86"/>
      <c r="AE527" s="86"/>
    </row>
    <row r="528" spans="1:31">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c r="AA528" s="86"/>
      <c r="AB528" s="86"/>
      <c r="AC528" s="86"/>
      <c r="AD528" s="86"/>
      <c r="AE528" s="86"/>
    </row>
    <row r="529" spans="1:31">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6"/>
      <c r="AA529" s="86"/>
      <c r="AB529" s="86"/>
      <c r="AC529" s="86"/>
      <c r="AD529" s="86"/>
      <c r="AE529" s="86"/>
    </row>
    <row r="530" spans="1:31">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c r="AA530" s="86"/>
      <c r="AB530" s="86"/>
      <c r="AC530" s="86"/>
      <c r="AD530" s="86"/>
      <c r="AE530" s="86"/>
    </row>
    <row r="531" spans="1:31">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6"/>
      <c r="AA531" s="86"/>
      <c r="AB531" s="86"/>
      <c r="AC531" s="86"/>
      <c r="AD531" s="86"/>
      <c r="AE531" s="86"/>
    </row>
    <row r="532" spans="1:31">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c r="AA532" s="86"/>
      <c r="AB532" s="86"/>
      <c r="AC532" s="86"/>
      <c r="AD532" s="86"/>
      <c r="AE532" s="86"/>
    </row>
    <row r="533" spans="1:31">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c r="AA533" s="86"/>
      <c r="AB533" s="86"/>
      <c r="AC533" s="86"/>
      <c r="AD533" s="86"/>
      <c r="AE533" s="86"/>
    </row>
    <row r="534" spans="1:31">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c r="AA534" s="86"/>
      <c r="AB534" s="86"/>
      <c r="AC534" s="86"/>
      <c r="AD534" s="86"/>
      <c r="AE534" s="86"/>
    </row>
    <row r="535" spans="1:31">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6"/>
      <c r="AA535" s="86"/>
      <c r="AB535" s="86"/>
      <c r="AC535" s="86"/>
      <c r="AD535" s="86"/>
      <c r="AE535" s="86"/>
    </row>
    <row r="536" spans="1:31">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c r="AA536" s="86"/>
      <c r="AB536" s="86"/>
      <c r="AC536" s="86"/>
      <c r="AD536" s="86"/>
      <c r="AE536" s="86"/>
    </row>
    <row r="537" spans="1:31">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c r="AA537" s="86"/>
      <c r="AB537" s="86"/>
      <c r="AC537" s="86"/>
      <c r="AD537" s="86"/>
      <c r="AE537" s="86"/>
    </row>
    <row r="538" spans="1:31">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c r="AA538" s="86"/>
      <c r="AB538" s="86"/>
      <c r="AC538" s="86"/>
      <c r="AD538" s="86"/>
      <c r="AE538" s="86"/>
    </row>
    <row r="539" spans="1:31">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6"/>
      <c r="AA539" s="86"/>
      <c r="AB539" s="86"/>
      <c r="AC539" s="86"/>
      <c r="AD539" s="86"/>
      <c r="AE539" s="86"/>
    </row>
    <row r="540" spans="1:31">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c r="AA540" s="86"/>
      <c r="AB540" s="86"/>
      <c r="AC540" s="86"/>
      <c r="AD540" s="86"/>
      <c r="AE540" s="86"/>
    </row>
    <row r="541" spans="1:31">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6"/>
      <c r="AA541" s="86"/>
      <c r="AB541" s="86"/>
      <c r="AC541" s="86"/>
      <c r="AD541" s="86"/>
      <c r="AE541" s="86"/>
    </row>
    <row r="542" spans="1:31">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c r="AA542" s="86"/>
      <c r="AB542" s="86"/>
      <c r="AC542" s="86"/>
      <c r="AD542" s="86"/>
      <c r="AE542" s="86"/>
    </row>
    <row r="543" spans="1:31">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c r="AA543" s="86"/>
      <c r="AB543" s="86"/>
      <c r="AC543" s="86"/>
      <c r="AD543" s="86"/>
      <c r="AE543" s="86"/>
    </row>
    <row r="544" spans="1:31">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c r="AA544" s="86"/>
      <c r="AB544" s="86"/>
      <c r="AC544" s="86"/>
      <c r="AD544" s="86"/>
      <c r="AE544" s="86"/>
    </row>
    <row r="545" spans="1:31">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c r="AA545" s="86"/>
      <c r="AB545" s="86"/>
      <c r="AC545" s="86"/>
      <c r="AD545" s="86"/>
      <c r="AE545" s="86"/>
    </row>
    <row r="546" spans="1:31">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c r="AA546" s="86"/>
      <c r="AB546" s="86"/>
      <c r="AC546" s="86"/>
      <c r="AD546" s="86"/>
      <c r="AE546" s="86"/>
    </row>
    <row r="547" spans="1:31">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c r="AA547" s="86"/>
      <c r="AB547" s="86"/>
      <c r="AC547" s="86"/>
      <c r="AD547" s="86"/>
      <c r="AE547" s="86"/>
    </row>
    <row r="548" spans="1:31">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c r="AA548" s="86"/>
      <c r="AB548" s="86"/>
      <c r="AC548" s="86"/>
      <c r="AD548" s="86"/>
      <c r="AE548" s="86"/>
    </row>
    <row r="549" spans="1:31">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6"/>
      <c r="AA549" s="86"/>
      <c r="AB549" s="86"/>
      <c r="AC549" s="86"/>
      <c r="AD549" s="86"/>
      <c r="AE549" s="86"/>
    </row>
    <row r="550" spans="1:31">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c r="AA550" s="86"/>
      <c r="AB550" s="86"/>
      <c r="AC550" s="86"/>
      <c r="AD550" s="86"/>
      <c r="AE550" s="86"/>
    </row>
    <row r="551" spans="1:31">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6"/>
      <c r="AA551" s="86"/>
      <c r="AB551" s="86"/>
      <c r="AC551" s="86"/>
      <c r="AD551" s="86"/>
      <c r="AE551" s="86"/>
    </row>
    <row r="552" spans="1:31">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c r="AA552" s="86"/>
      <c r="AB552" s="86"/>
      <c r="AC552" s="86"/>
      <c r="AD552" s="86"/>
      <c r="AE552" s="86"/>
    </row>
    <row r="553" spans="1:31">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c r="AA553" s="86"/>
      <c r="AB553" s="86"/>
      <c r="AC553" s="86"/>
      <c r="AD553" s="86"/>
      <c r="AE553" s="86"/>
    </row>
    <row r="554" spans="1:31">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c r="AA554" s="86"/>
      <c r="AB554" s="86"/>
      <c r="AC554" s="86"/>
      <c r="AD554" s="86"/>
      <c r="AE554" s="86"/>
    </row>
    <row r="555" spans="1:31">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c r="AA555" s="86"/>
      <c r="AB555" s="86"/>
      <c r="AC555" s="86"/>
      <c r="AD555" s="86"/>
      <c r="AE555" s="86"/>
    </row>
    <row r="556" spans="1:31">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c r="AA556" s="86"/>
      <c r="AB556" s="86"/>
      <c r="AC556" s="86"/>
      <c r="AD556" s="86"/>
      <c r="AE556" s="86"/>
    </row>
    <row r="557" spans="1:31">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6"/>
      <c r="AA557" s="86"/>
      <c r="AB557" s="86"/>
      <c r="AC557" s="86"/>
      <c r="AD557" s="86"/>
      <c r="AE557" s="86"/>
    </row>
    <row r="558" spans="1:31">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c r="AA558" s="86"/>
      <c r="AB558" s="86"/>
      <c r="AC558" s="86"/>
      <c r="AD558" s="86"/>
      <c r="AE558" s="86"/>
    </row>
    <row r="559" spans="1:31">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c r="AA559" s="86"/>
      <c r="AB559" s="86"/>
      <c r="AC559" s="86"/>
      <c r="AD559" s="86"/>
      <c r="AE559" s="86"/>
    </row>
    <row r="560" spans="1:31">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c r="AA560" s="86"/>
      <c r="AB560" s="86"/>
      <c r="AC560" s="86"/>
      <c r="AD560" s="86"/>
      <c r="AE560" s="86"/>
    </row>
    <row r="561" spans="1:31">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c r="AA561" s="86"/>
      <c r="AB561" s="86"/>
      <c r="AC561" s="86"/>
      <c r="AD561" s="86"/>
      <c r="AE561" s="86"/>
    </row>
    <row r="562" spans="1:31">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c r="AA562" s="86"/>
      <c r="AB562" s="86"/>
      <c r="AC562" s="86"/>
      <c r="AD562" s="86"/>
      <c r="AE562" s="86"/>
    </row>
    <row r="563" spans="1:31">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c r="AA563" s="86"/>
      <c r="AB563" s="86"/>
      <c r="AC563" s="86"/>
      <c r="AD563" s="86"/>
      <c r="AE563" s="86"/>
    </row>
    <row r="564" spans="1:31">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c r="AA564" s="86"/>
      <c r="AB564" s="86"/>
      <c r="AC564" s="86"/>
      <c r="AD564" s="86"/>
      <c r="AE564" s="86"/>
    </row>
    <row r="565" spans="1:31">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6"/>
      <c r="AA565" s="86"/>
      <c r="AB565" s="86"/>
      <c r="AC565" s="86"/>
      <c r="AD565" s="86"/>
      <c r="AE565" s="86"/>
    </row>
    <row r="566" spans="1:31">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c r="AA566" s="86"/>
      <c r="AB566" s="86"/>
      <c r="AC566" s="86"/>
      <c r="AD566" s="86"/>
      <c r="AE566" s="86"/>
    </row>
    <row r="567" spans="1:31">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c r="AA567" s="86"/>
      <c r="AB567" s="86"/>
      <c r="AC567" s="86"/>
      <c r="AD567" s="86"/>
      <c r="AE567" s="86"/>
    </row>
    <row r="568" spans="1:31">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c r="AA568" s="86"/>
      <c r="AB568" s="86"/>
      <c r="AC568" s="86"/>
      <c r="AD568" s="86"/>
      <c r="AE568" s="86"/>
    </row>
    <row r="569" spans="1:31">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6"/>
      <c r="AA569" s="86"/>
      <c r="AB569" s="86"/>
      <c r="AC569" s="86"/>
      <c r="AD569" s="86"/>
      <c r="AE569" s="86"/>
    </row>
    <row r="570" spans="1:31">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c r="AA570" s="86"/>
      <c r="AB570" s="86"/>
      <c r="AC570" s="86"/>
      <c r="AD570" s="86"/>
      <c r="AE570" s="86"/>
    </row>
    <row r="571" spans="1:31">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c r="AA571" s="86"/>
      <c r="AB571" s="86"/>
      <c r="AC571" s="86"/>
      <c r="AD571" s="86"/>
      <c r="AE571" s="86"/>
    </row>
    <row r="572" spans="1:31">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c r="AA572" s="86"/>
      <c r="AB572" s="86"/>
      <c r="AC572" s="86"/>
      <c r="AD572" s="86"/>
      <c r="AE572" s="86"/>
    </row>
    <row r="573" spans="1:31">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c r="AA573" s="86"/>
      <c r="AB573" s="86"/>
      <c r="AC573" s="86"/>
      <c r="AD573" s="86"/>
      <c r="AE573" s="86"/>
    </row>
    <row r="574" spans="1:31">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c r="AA574" s="86"/>
      <c r="AB574" s="86"/>
      <c r="AC574" s="86"/>
      <c r="AD574" s="86"/>
      <c r="AE574" s="86"/>
    </row>
    <row r="575" spans="1:31">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6"/>
      <c r="AA575" s="86"/>
      <c r="AB575" s="86"/>
      <c r="AC575" s="86"/>
      <c r="AD575" s="86"/>
      <c r="AE575" s="86"/>
    </row>
    <row r="576" spans="1:31">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c r="AA576" s="86"/>
      <c r="AB576" s="86"/>
      <c r="AC576" s="86"/>
      <c r="AD576" s="86"/>
      <c r="AE576" s="86"/>
    </row>
    <row r="577" spans="1:31">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6"/>
      <c r="AA577" s="86"/>
      <c r="AB577" s="86"/>
      <c r="AC577" s="86"/>
      <c r="AD577" s="86"/>
      <c r="AE577" s="86"/>
    </row>
    <row r="578" spans="1:31">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row>
    <row r="579" spans="1:31">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c r="AA579" s="86"/>
      <c r="AB579" s="86"/>
      <c r="AC579" s="86"/>
      <c r="AD579" s="86"/>
      <c r="AE579" s="86"/>
    </row>
    <row r="580" spans="1:31">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c r="AA580" s="86"/>
      <c r="AB580" s="86"/>
      <c r="AC580" s="86"/>
      <c r="AD580" s="86"/>
      <c r="AE580" s="86"/>
    </row>
    <row r="581" spans="1:31">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6"/>
      <c r="AA581" s="86"/>
      <c r="AB581" s="86"/>
      <c r="AC581" s="86"/>
      <c r="AD581" s="86"/>
      <c r="AE581" s="86"/>
    </row>
    <row r="582" spans="1:31">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c r="AA582" s="86"/>
      <c r="AB582" s="86"/>
      <c r="AC582" s="86"/>
      <c r="AD582" s="86"/>
      <c r="AE582" s="86"/>
    </row>
    <row r="583" spans="1:31">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6"/>
      <c r="AA583" s="86"/>
      <c r="AB583" s="86"/>
      <c r="AC583" s="86"/>
      <c r="AD583" s="86"/>
      <c r="AE583" s="86"/>
    </row>
    <row r="584" spans="1:31">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c r="AA584" s="86"/>
      <c r="AB584" s="86"/>
      <c r="AC584" s="86"/>
      <c r="AD584" s="86"/>
      <c r="AE584" s="86"/>
    </row>
    <row r="585" spans="1:31">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c r="AA585" s="86"/>
      <c r="AB585" s="86"/>
      <c r="AC585" s="86"/>
      <c r="AD585" s="86"/>
      <c r="AE585" s="86"/>
    </row>
    <row r="586" spans="1:31">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c r="AA586" s="86"/>
      <c r="AB586" s="86"/>
      <c r="AC586" s="86"/>
      <c r="AD586" s="86"/>
      <c r="AE586" s="86"/>
    </row>
    <row r="587" spans="1:31">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6"/>
      <c r="AA587" s="86"/>
      <c r="AB587" s="86"/>
      <c r="AC587" s="86"/>
      <c r="AD587" s="86"/>
      <c r="AE587" s="86"/>
    </row>
    <row r="588" spans="1:31">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c r="AA588" s="86"/>
      <c r="AB588" s="86"/>
      <c r="AC588" s="86"/>
      <c r="AD588" s="86"/>
      <c r="AE588" s="86"/>
    </row>
    <row r="589" spans="1:31">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c r="AA589" s="86"/>
      <c r="AB589" s="86"/>
      <c r="AC589" s="86"/>
      <c r="AD589" s="86"/>
      <c r="AE589" s="86"/>
    </row>
    <row r="590" spans="1:31">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c r="AA590" s="86"/>
      <c r="AB590" s="86"/>
      <c r="AC590" s="86"/>
      <c r="AD590" s="86"/>
      <c r="AE590" s="86"/>
    </row>
    <row r="591" spans="1:31">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6"/>
      <c r="AA591" s="86"/>
      <c r="AB591" s="86"/>
      <c r="AC591" s="86"/>
      <c r="AD591" s="86"/>
      <c r="AE591" s="86"/>
    </row>
    <row r="592" spans="1:31">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c r="AA592" s="86"/>
      <c r="AB592" s="86"/>
      <c r="AC592" s="86"/>
      <c r="AD592" s="86"/>
      <c r="AE592" s="86"/>
    </row>
    <row r="593" spans="1:31">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6"/>
      <c r="AA593" s="86"/>
      <c r="AB593" s="86"/>
      <c r="AC593" s="86"/>
      <c r="AD593" s="86"/>
      <c r="AE593" s="86"/>
    </row>
    <row r="594" spans="1:31">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c r="AA594" s="86"/>
      <c r="AB594" s="86"/>
      <c r="AC594" s="86"/>
      <c r="AD594" s="86"/>
      <c r="AE594" s="86"/>
    </row>
    <row r="595" spans="1:31">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c r="AA595" s="86"/>
      <c r="AB595" s="86"/>
      <c r="AC595" s="86"/>
      <c r="AD595" s="86"/>
      <c r="AE595" s="86"/>
    </row>
    <row r="596" spans="1:31">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c r="AA596" s="86"/>
      <c r="AB596" s="86"/>
      <c r="AC596" s="86"/>
      <c r="AD596" s="86"/>
      <c r="AE596" s="86"/>
    </row>
    <row r="597" spans="1:31">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6"/>
      <c r="AA597" s="86"/>
      <c r="AB597" s="86"/>
      <c r="AC597" s="86"/>
      <c r="AD597" s="86"/>
      <c r="AE597" s="86"/>
    </row>
    <row r="598" spans="1:31">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c r="AA598" s="86"/>
      <c r="AB598" s="86"/>
      <c r="AC598" s="86"/>
      <c r="AD598" s="86"/>
      <c r="AE598" s="86"/>
    </row>
    <row r="599" spans="1:31">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c r="AA599" s="86"/>
      <c r="AB599" s="86"/>
      <c r="AC599" s="86"/>
      <c r="AD599" s="86"/>
      <c r="AE599" s="86"/>
    </row>
    <row r="600" spans="1:31">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c r="AA600" s="86"/>
      <c r="AB600" s="86"/>
      <c r="AC600" s="86"/>
      <c r="AD600" s="86"/>
      <c r="AE600" s="86"/>
    </row>
    <row r="601" spans="1:31">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6"/>
      <c r="AA601" s="86"/>
      <c r="AB601" s="86"/>
      <c r="AC601" s="86"/>
      <c r="AD601" s="86"/>
      <c r="AE601" s="86"/>
    </row>
    <row r="602" spans="1:31">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c r="AA602" s="86"/>
      <c r="AB602" s="86"/>
      <c r="AC602" s="86"/>
      <c r="AD602" s="86"/>
      <c r="AE602" s="86"/>
    </row>
    <row r="603" spans="1:31">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c r="AA603" s="86"/>
      <c r="AB603" s="86"/>
      <c r="AC603" s="86"/>
      <c r="AD603" s="86"/>
      <c r="AE603" s="86"/>
    </row>
    <row r="604" spans="1:31">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c r="AA604" s="86"/>
      <c r="AB604" s="86"/>
      <c r="AC604" s="86"/>
      <c r="AD604" s="86"/>
      <c r="AE604" s="86"/>
    </row>
    <row r="605" spans="1:31">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6"/>
      <c r="AA605" s="86"/>
      <c r="AB605" s="86"/>
      <c r="AC605" s="86"/>
      <c r="AD605" s="86"/>
      <c r="AE605" s="86"/>
    </row>
    <row r="606" spans="1:31">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c r="AA606" s="86"/>
      <c r="AB606" s="86"/>
      <c r="AC606" s="86"/>
      <c r="AD606" s="86"/>
      <c r="AE606" s="86"/>
    </row>
    <row r="607" spans="1:31">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6"/>
      <c r="AA607" s="86"/>
      <c r="AB607" s="86"/>
      <c r="AC607" s="86"/>
      <c r="AD607" s="86"/>
      <c r="AE607" s="86"/>
    </row>
    <row r="608" spans="1:31">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c r="AA608" s="86"/>
      <c r="AB608" s="86"/>
      <c r="AC608" s="86"/>
      <c r="AD608" s="86"/>
      <c r="AE608" s="86"/>
    </row>
    <row r="609" spans="1:31">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c r="AA609" s="86"/>
      <c r="AB609" s="86"/>
      <c r="AC609" s="86"/>
      <c r="AD609" s="86"/>
      <c r="AE609" s="86"/>
    </row>
    <row r="610" spans="1:31">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c r="AA610" s="86"/>
      <c r="AB610" s="86"/>
      <c r="AC610" s="86"/>
      <c r="AD610" s="86"/>
      <c r="AE610" s="86"/>
    </row>
    <row r="611" spans="1:31">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c r="AA611" s="86"/>
      <c r="AB611" s="86"/>
      <c r="AC611" s="86"/>
      <c r="AD611" s="86"/>
      <c r="AE611" s="86"/>
    </row>
    <row r="612" spans="1:31">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c r="AA612" s="86"/>
      <c r="AB612" s="86"/>
      <c r="AC612" s="86"/>
      <c r="AD612" s="86"/>
      <c r="AE612" s="86"/>
    </row>
    <row r="613" spans="1:31">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6"/>
      <c r="AA613" s="86"/>
      <c r="AB613" s="86"/>
      <c r="AC613" s="86"/>
      <c r="AD613" s="86"/>
      <c r="AE613" s="86"/>
    </row>
    <row r="614" spans="1:31">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c r="AA614" s="86"/>
      <c r="AB614" s="86"/>
      <c r="AC614" s="86"/>
      <c r="AD614" s="86"/>
      <c r="AE614" s="86"/>
    </row>
    <row r="615" spans="1:31">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c r="AA615" s="86"/>
      <c r="AB615" s="86"/>
      <c r="AC615" s="86"/>
      <c r="AD615" s="86"/>
      <c r="AE615" s="86"/>
    </row>
    <row r="616" spans="1:31">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c r="AA616" s="86"/>
      <c r="AB616" s="86"/>
      <c r="AC616" s="86"/>
      <c r="AD616" s="86"/>
      <c r="AE616" s="86"/>
    </row>
    <row r="617" spans="1:31">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6"/>
      <c r="AA617" s="86"/>
      <c r="AB617" s="86"/>
      <c r="AC617" s="86"/>
      <c r="AD617" s="86"/>
      <c r="AE617" s="86"/>
    </row>
    <row r="618" spans="1:31">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c r="AA618" s="86"/>
      <c r="AB618" s="86"/>
      <c r="AC618" s="86"/>
      <c r="AD618" s="86"/>
      <c r="AE618" s="86"/>
    </row>
    <row r="619" spans="1:31">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c r="AA619" s="86"/>
      <c r="AB619" s="86"/>
      <c r="AC619" s="86"/>
      <c r="AD619" s="86"/>
      <c r="AE619" s="86"/>
    </row>
    <row r="620" spans="1:31">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c r="AA620" s="86"/>
      <c r="AB620" s="86"/>
      <c r="AC620" s="86"/>
      <c r="AD620" s="86"/>
      <c r="AE620" s="86"/>
    </row>
    <row r="621" spans="1:31">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6"/>
      <c r="AA621" s="86"/>
      <c r="AB621" s="86"/>
      <c r="AC621" s="86"/>
      <c r="AD621" s="86"/>
      <c r="AE621" s="86"/>
    </row>
    <row r="622" spans="1:31">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c r="AA622" s="86"/>
      <c r="AB622" s="86"/>
      <c r="AC622" s="86"/>
      <c r="AD622" s="86"/>
      <c r="AE622" s="86"/>
    </row>
    <row r="623" spans="1:31">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6"/>
      <c r="AA623" s="86"/>
      <c r="AB623" s="86"/>
      <c r="AC623" s="86"/>
      <c r="AD623" s="86"/>
      <c r="AE623" s="86"/>
    </row>
    <row r="624" spans="1:31">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c r="AA624" s="86"/>
      <c r="AB624" s="86"/>
      <c r="AC624" s="86"/>
      <c r="AD624" s="86"/>
      <c r="AE624" s="86"/>
    </row>
    <row r="625" spans="1:31">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c r="AA625" s="86"/>
      <c r="AB625" s="86"/>
      <c r="AC625" s="86"/>
      <c r="AD625" s="86"/>
      <c r="AE625" s="86"/>
    </row>
    <row r="626" spans="1:31">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c r="AA626" s="86"/>
      <c r="AB626" s="86"/>
      <c r="AC626" s="86"/>
      <c r="AD626" s="86"/>
      <c r="AE626" s="86"/>
    </row>
    <row r="627" spans="1:31">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c r="AA627" s="86"/>
      <c r="AB627" s="86"/>
      <c r="AC627" s="86"/>
      <c r="AD627" s="86"/>
      <c r="AE627" s="86"/>
    </row>
    <row r="628" spans="1:31">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c r="AA628" s="86"/>
      <c r="AB628" s="86"/>
      <c r="AC628" s="86"/>
      <c r="AD628" s="86"/>
      <c r="AE628" s="86"/>
    </row>
    <row r="629" spans="1:31">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c r="AA629" s="86"/>
      <c r="AB629" s="86"/>
      <c r="AC629" s="86"/>
      <c r="AD629" s="86"/>
      <c r="AE629" s="86"/>
    </row>
    <row r="630" spans="1:31">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c r="AA630" s="86"/>
      <c r="AB630" s="86"/>
      <c r="AC630" s="86"/>
      <c r="AD630" s="86"/>
      <c r="AE630" s="86"/>
    </row>
    <row r="631" spans="1:31">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c r="AA631" s="86"/>
      <c r="AB631" s="86"/>
      <c r="AC631" s="86"/>
      <c r="AD631" s="86"/>
      <c r="AE631" s="86"/>
    </row>
    <row r="632" spans="1:31">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c r="AA632" s="86"/>
      <c r="AB632" s="86"/>
      <c r="AC632" s="86"/>
      <c r="AD632" s="86"/>
      <c r="AE632" s="86"/>
    </row>
    <row r="633" spans="1:31">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c r="AA633" s="86"/>
      <c r="AB633" s="86"/>
      <c r="AC633" s="86"/>
      <c r="AD633" s="86"/>
      <c r="AE633" s="86"/>
    </row>
    <row r="634" spans="1:31">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c r="AA634" s="86"/>
      <c r="AB634" s="86"/>
      <c r="AC634" s="86"/>
      <c r="AD634" s="86"/>
      <c r="AE634" s="86"/>
    </row>
    <row r="635" spans="1:31">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c r="AA635" s="86"/>
      <c r="AB635" s="86"/>
      <c r="AC635" s="86"/>
      <c r="AD635" s="86"/>
      <c r="AE635" s="86"/>
    </row>
    <row r="636" spans="1:31">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c r="AA636" s="86"/>
      <c r="AB636" s="86"/>
      <c r="AC636" s="86"/>
      <c r="AD636" s="86"/>
      <c r="AE636" s="86"/>
    </row>
    <row r="637" spans="1:31">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c r="AA637" s="86"/>
      <c r="AB637" s="86"/>
      <c r="AC637" s="86"/>
      <c r="AD637" s="86"/>
      <c r="AE637" s="86"/>
    </row>
    <row r="638" spans="1:31">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c r="AA638" s="86"/>
      <c r="AB638" s="86"/>
      <c r="AC638" s="86"/>
      <c r="AD638" s="86"/>
      <c r="AE638" s="86"/>
    </row>
    <row r="639" spans="1:31">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6"/>
      <c r="AA639" s="86"/>
      <c r="AB639" s="86"/>
      <c r="AC639" s="86"/>
      <c r="AD639" s="86"/>
      <c r="AE639" s="86"/>
    </row>
    <row r="640" spans="1:31">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c r="AA640" s="86"/>
      <c r="AB640" s="86"/>
      <c r="AC640" s="86"/>
      <c r="AD640" s="86"/>
      <c r="AE640" s="86"/>
    </row>
    <row r="641" spans="1:31">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6"/>
      <c r="AA641" s="86"/>
      <c r="AB641" s="86"/>
      <c r="AC641" s="86"/>
      <c r="AD641" s="86"/>
      <c r="AE641" s="86"/>
    </row>
    <row r="642" spans="1:31">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c r="AA642" s="86"/>
      <c r="AB642" s="86"/>
      <c r="AC642" s="86"/>
      <c r="AD642" s="86"/>
      <c r="AE642" s="86"/>
    </row>
    <row r="643" spans="1:31">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6"/>
      <c r="AA643" s="86"/>
      <c r="AB643" s="86"/>
      <c r="AC643" s="86"/>
      <c r="AD643" s="86"/>
      <c r="AE643" s="86"/>
    </row>
    <row r="644" spans="1:31">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c r="AA644" s="86"/>
      <c r="AB644" s="86"/>
      <c r="AC644" s="86"/>
      <c r="AD644" s="86"/>
      <c r="AE644" s="86"/>
    </row>
    <row r="645" spans="1:31">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6"/>
      <c r="AA645" s="86"/>
      <c r="AB645" s="86"/>
      <c r="AC645" s="86"/>
      <c r="AD645" s="86"/>
      <c r="AE645" s="86"/>
    </row>
    <row r="646" spans="1:31">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c r="AA646" s="86"/>
      <c r="AB646" s="86"/>
      <c r="AC646" s="86"/>
      <c r="AD646" s="86"/>
      <c r="AE646" s="86"/>
    </row>
    <row r="647" spans="1:31">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6"/>
      <c r="AA647" s="86"/>
      <c r="AB647" s="86"/>
      <c r="AC647" s="86"/>
      <c r="AD647" s="86"/>
      <c r="AE647" s="86"/>
    </row>
    <row r="648" spans="1:31">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c r="AA648" s="86"/>
      <c r="AB648" s="86"/>
      <c r="AC648" s="86"/>
      <c r="AD648" s="86"/>
      <c r="AE648" s="86"/>
    </row>
    <row r="649" spans="1:31">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6"/>
      <c r="AA649" s="86"/>
      <c r="AB649" s="86"/>
      <c r="AC649" s="86"/>
      <c r="AD649" s="86"/>
      <c r="AE649" s="86"/>
    </row>
    <row r="650" spans="1:31">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c r="AA650" s="86"/>
      <c r="AB650" s="86"/>
      <c r="AC650" s="86"/>
      <c r="AD650" s="86"/>
      <c r="AE650" s="86"/>
    </row>
    <row r="651" spans="1:31">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6"/>
      <c r="AA651" s="86"/>
      <c r="AB651" s="86"/>
      <c r="AC651" s="86"/>
      <c r="AD651" s="86"/>
      <c r="AE651" s="86"/>
    </row>
    <row r="652" spans="1:31">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c r="AA652" s="86"/>
      <c r="AB652" s="86"/>
      <c r="AC652" s="86"/>
      <c r="AD652" s="86"/>
      <c r="AE652" s="86"/>
    </row>
    <row r="653" spans="1:31">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c r="AA653" s="86"/>
      <c r="AB653" s="86"/>
      <c r="AC653" s="86"/>
      <c r="AD653" s="86"/>
      <c r="AE653" s="86"/>
    </row>
    <row r="654" spans="1:31">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c r="AA654" s="86"/>
      <c r="AB654" s="86"/>
      <c r="AC654" s="86"/>
      <c r="AD654" s="86"/>
      <c r="AE654" s="86"/>
    </row>
    <row r="655" spans="1:31">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c r="AA655" s="86"/>
      <c r="AB655" s="86"/>
      <c r="AC655" s="86"/>
      <c r="AD655" s="86"/>
      <c r="AE655" s="86"/>
    </row>
    <row r="656" spans="1:31">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c r="AA656" s="86"/>
      <c r="AB656" s="86"/>
      <c r="AC656" s="86"/>
      <c r="AD656" s="86"/>
      <c r="AE656" s="86"/>
    </row>
    <row r="657" spans="1:31">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c r="AA657" s="86"/>
      <c r="AB657" s="86"/>
      <c r="AC657" s="86"/>
      <c r="AD657" s="86"/>
      <c r="AE657" s="86"/>
    </row>
    <row r="658" spans="1:31">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c r="AA658" s="86"/>
      <c r="AB658" s="86"/>
      <c r="AC658" s="86"/>
      <c r="AD658" s="86"/>
      <c r="AE658" s="86"/>
    </row>
    <row r="659" spans="1:31">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c r="AA659" s="86"/>
      <c r="AB659" s="86"/>
      <c r="AC659" s="86"/>
      <c r="AD659" s="86"/>
      <c r="AE659" s="86"/>
    </row>
    <row r="660" spans="1:31">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c r="AA660" s="86"/>
      <c r="AB660" s="86"/>
      <c r="AC660" s="86"/>
      <c r="AD660" s="86"/>
      <c r="AE660" s="86"/>
    </row>
    <row r="661" spans="1:31">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c r="AA661" s="86"/>
      <c r="AB661" s="86"/>
      <c r="AC661" s="86"/>
      <c r="AD661" s="86"/>
      <c r="AE661" s="86"/>
    </row>
    <row r="662" spans="1:31">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c r="AA662" s="86"/>
      <c r="AB662" s="86"/>
      <c r="AC662" s="86"/>
      <c r="AD662" s="86"/>
      <c r="AE662" s="86"/>
    </row>
    <row r="663" spans="1:31">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c r="AA663" s="86"/>
      <c r="AB663" s="86"/>
      <c r="AC663" s="86"/>
      <c r="AD663" s="86"/>
      <c r="AE663" s="86"/>
    </row>
    <row r="664" spans="1:31">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c r="AA664" s="86"/>
      <c r="AB664" s="86"/>
      <c r="AC664" s="86"/>
      <c r="AD664" s="86"/>
      <c r="AE664" s="86"/>
    </row>
    <row r="665" spans="1:31">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c r="AA665" s="86"/>
      <c r="AB665" s="86"/>
      <c r="AC665" s="86"/>
      <c r="AD665" s="86"/>
      <c r="AE665" s="86"/>
    </row>
    <row r="666" spans="1:31">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c r="AA666" s="86"/>
      <c r="AB666" s="86"/>
      <c r="AC666" s="86"/>
      <c r="AD666" s="86"/>
      <c r="AE666" s="86"/>
    </row>
    <row r="667" spans="1:31">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c r="AA667" s="86"/>
      <c r="AB667" s="86"/>
      <c r="AC667" s="86"/>
      <c r="AD667" s="86"/>
      <c r="AE667" s="86"/>
    </row>
    <row r="668" spans="1:31">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c r="AA668" s="86"/>
      <c r="AB668" s="86"/>
      <c r="AC668" s="86"/>
      <c r="AD668" s="86"/>
      <c r="AE668" s="86"/>
    </row>
    <row r="669" spans="1:31">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c r="AA669" s="86"/>
      <c r="AB669" s="86"/>
      <c r="AC669" s="86"/>
      <c r="AD669" s="86"/>
      <c r="AE669" s="86"/>
    </row>
    <row r="670" spans="1:31">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c r="AA670" s="86"/>
      <c r="AB670" s="86"/>
      <c r="AC670" s="86"/>
      <c r="AD670" s="86"/>
      <c r="AE670" s="86"/>
    </row>
    <row r="671" spans="1:31">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c r="AA671" s="86"/>
      <c r="AB671" s="86"/>
      <c r="AC671" s="86"/>
      <c r="AD671" s="86"/>
      <c r="AE671" s="86"/>
    </row>
    <row r="672" spans="1:31">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c r="AA672" s="86"/>
      <c r="AB672" s="86"/>
      <c r="AC672" s="86"/>
      <c r="AD672" s="86"/>
      <c r="AE672" s="86"/>
    </row>
    <row r="673" spans="1:31">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c r="AA673" s="86"/>
      <c r="AB673" s="86"/>
      <c r="AC673" s="86"/>
      <c r="AD673" s="86"/>
      <c r="AE673" s="86"/>
    </row>
    <row r="674" spans="1:31">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c r="AA674" s="86"/>
      <c r="AB674" s="86"/>
      <c r="AC674" s="86"/>
      <c r="AD674" s="86"/>
      <c r="AE674" s="86"/>
    </row>
    <row r="675" spans="1:31">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c r="AA675" s="86"/>
      <c r="AB675" s="86"/>
      <c r="AC675" s="86"/>
      <c r="AD675" s="86"/>
      <c r="AE675" s="86"/>
    </row>
    <row r="676" spans="1:31">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c r="AA676" s="86"/>
      <c r="AB676" s="86"/>
      <c r="AC676" s="86"/>
      <c r="AD676" s="86"/>
      <c r="AE676" s="86"/>
    </row>
    <row r="677" spans="1:31">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c r="AA677" s="86"/>
      <c r="AB677" s="86"/>
      <c r="AC677" s="86"/>
      <c r="AD677" s="86"/>
      <c r="AE677" s="86"/>
    </row>
    <row r="678" spans="1:31">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c r="AA678" s="86"/>
      <c r="AB678" s="86"/>
      <c r="AC678" s="86"/>
      <c r="AD678" s="86"/>
      <c r="AE678" s="86"/>
    </row>
    <row r="679" spans="1:31">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c r="AA679" s="86"/>
      <c r="AB679" s="86"/>
      <c r="AC679" s="86"/>
      <c r="AD679" s="86"/>
      <c r="AE679" s="86"/>
    </row>
    <row r="680" spans="1:31">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c r="AA680" s="86"/>
      <c r="AB680" s="86"/>
      <c r="AC680" s="86"/>
      <c r="AD680" s="86"/>
      <c r="AE680" s="86"/>
    </row>
    <row r="681" spans="1:31">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c r="AA681" s="86"/>
      <c r="AB681" s="86"/>
      <c r="AC681" s="86"/>
      <c r="AD681" s="86"/>
      <c r="AE681" s="86"/>
    </row>
    <row r="682" spans="1:31">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c r="AA682" s="86"/>
      <c r="AB682" s="86"/>
      <c r="AC682" s="86"/>
      <c r="AD682" s="86"/>
      <c r="AE682" s="86"/>
    </row>
    <row r="683" spans="1:31">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c r="AA683" s="86"/>
      <c r="AB683" s="86"/>
      <c r="AC683" s="86"/>
      <c r="AD683" s="86"/>
      <c r="AE683" s="86"/>
    </row>
    <row r="684" spans="1:31">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c r="AA684" s="86"/>
      <c r="AB684" s="86"/>
      <c r="AC684" s="86"/>
      <c r="AD684" s="86"/>
      <c r="AE684" s="86"/>
    </row>
    <row r="685" spans="1:31">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c r="AA685" s="86"/>
      <c r="AB685" s="86"/>
      <c r="AC685" s="86"/>
      <c r="AD685" s="86"/>
      <c r="AE685" s="86"/>
    </row>
    <row r="686" spans="1:31">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c r="AA686" s="86"/>
      <c r="AB686" s="86"/>
      <c r="AC686" s="86"/>
      <c r="AD686" s="86"/>
      <c r="AE686" s="86"/>
    </row>
    <row r="687" spans="1:31">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c r="AA687" s="86"/>
      <c r="AB687" s="86"/>
      <c r="AC687" s="86"/>
      <c r="AD687" s="86"/>
      <c r="AE687" s="86"/>
    </row>
    <row r="688" spans="1:31">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c r="AA688" s="86"/>
      <c r="AB688" s="86"/>
      <c r="AC688" s="86"/>
      <c r="AD688" s="86"/>
      <c r="AE688" s="86"/>
    </row>
    <row r="689" spans="1:31">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c r="AA689" s="86"/>
      <c r="AB689" s="86"/>
      <c r="AC689" s="86"/>
      <c r="AD689" s="86"/>
      <c r="AE689" s="86"/>
    </row>
    <row r="690" spans="1:31">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c r="AA690" s="86"/>
      <c r="AB690" s="86"/>
      <c r="AC690" s="86"/>
      <c r="AD690" s="86"/>
      <c r="AE690" s="86"/>
    </row>
    <row r="691" spans="1:31">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c r="AA691" s="86"/>
      <c r="AB691" s="86"/>
      <c r="AC691" s="86"/>
      <c r="AD691" s="86"/>
      <c r="AE691" s="86"/>
    </row>
    <row r="692" spans="1:31">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c r="AA692" s="86"/>
      <c r="AB692" s="86"/>
      <c r="AC692" s="86"/>
      <c r="AD692" s="86"/>
      <c r="AE692" s="86"/>
    </row>
    <row r="693" spans="1:31">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c r="AA693" s="86"/>
      <c r="AB693" s="86"/>
      <c r="AC693" s="86"/>
      <c r="AD693" s="86"/>
      <c r="AE693" s="86"/>
    </row>
    <row r="694" spans="1:31">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c r="AA694" s="86"/>
      <c r="AB694" s="86"/>
      <c r="AC694" s="86"/>
      <c r="AD694" s="86"/>
      <c r="AE694" s="86"/>
    </row>
    <row r="695" spans="1:31">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c r="AA695" s="86"/>
      <c r="AB695" s="86"/>
      <c r="AC695" s="86"/>
      <c r="AD695" s="86"/>
      <c r="AE695" s="86"/>
    </row>
    <row r="696" spans="1:31">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c r="AA696" s="86"/>
      <c r="AB696" s="86"/>
      <c r="AC696" s="86"/>
      <c r="AD696" s="86"/>
      <c r="AE696" s="86"/>
    </row>
    <row r="697" spans="1:31">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c r="AA697" s="86"/>
      <c r="AB697" s="86"/>
      <c r="AC697" s="86"/>
      <c r="AD697" s="86"/>
      <c r="AE697" s="86"/>
    </row>
    <row r="698" spans="1:31">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c r="AA698" s="86"/>
      <c r="AB698" s="86"/>
      <c r="AC698" s="86"/>
      <c r="AD698" s="86"/>
      <c r="AE698" s="86"/>
    </row>
    <row r="699" spans="1:31">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c r="AA699" s="86"/>
      <c r="AB699" s="86"/>
      <c r="AC699" s="86"/>
      <c r="AD699" s="86"/>
      <c r="AE699" s="86"/>
    </row>
    <row r="700" spans="1:31">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c r="AA700" s="86"/>
      <c r="AB700" s="86"/>
      <c r="AC700" s="86"/>
      <c r="AD700" s="86"/>
      <c r="AE700" s="86"/>
    </row>
    <row r="701" spans="1:31">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c r="AA701" s="86"/>
      <c r="AB701" s="86"/>
      <c r="AC701" s="86"/>
      <c r="AD701" s="86"/>
      <c r="AE701" s="86"/>
    </row>
    <row r="702" spans="1:31">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c r="AA702" s="86"/>
      <c r="AB702" s="86"/>
      <c r="AC702" s="86"/>
      <c r="AD702" s="86"/>
      <c r="AE702" s="86"/>
    </row>
    <row r="703" spans="1:31">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c r="AA703" s="86"/>
      <c r="AB703" s="86"/>
      <c r="AC703" s="86"/>
      <c r="AD703" s="86"/>
      <c r="AE703" s="86"/>
    </row>
    <row r="704" spans="1:31">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c r="AA704" s="86"/>
      <c r="AB704" s="86"/>
      <c r="AC704" s="86"/>
      <c r="AD704" s="86"/>
      <c r="AE704" s="86"/>
    </row>
    <row r="705" spans="1:31">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c r="AA705" s="86"/>
      <c r="AB705" s="86"/>
      <c r="AC705" s="86"/>
      <c r="AD705" s="86"/>
      <c r="AE705" s="86"/>
    </row>
    <row r="706" spans="1:31">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c r="AA706" s="86"/>
      <c r="AB706" s="86"/>
      <c r="AC706" s="86"/>
      <c r="AD706" s="86"/>
      <c r="AE706" s="86"/>
    </row>
    <row r="707" spans="1:31">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c r="AA707" s="86"/>
      <c r="AB707" s="86"/>
      <c r="AC707" s="86"/>
      <c r="AD707" s="86"/>
      <c r="AE707" s="86"/>
    </row>
    <row r="708" spans="1:31">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c r="AA708" s="86"/>
      <c r="AB708" s="86"/>
      <c r="AC708" s="86"/>
      <c r="AD708" s="86"/>
      <c r="AE708" s="86"/>
    </row>
    <row r="709" spans="1:31">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c r="AA709" s="86"/>
      <c r="AB709" s="86"/>
      <c r="AC709" s="86"/>
      <c r="AD709" s="86"/>
      <c r="AE709" s="86"/>
    </row>
    <row r="710" spans="1:31">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c r="AA710" s="86"/>
      <c r="AB710" s="86"/>
      <c r="AC710" s="86"/>
      <c r="AD710" s="86"/>
      <c r="AE710" s="86"/>
    </row>
    <row r="711" spans="1:31">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c r="AA711" s="86"/>
      <c r="AB711" s="86"/>
      <c r="AC711" s="86"/>
      <c r="AD711" s="86"/>
      <c r="AE711" s="86"/>
    </row>
    <row r="712" spans="1:31">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c r="AA712" s="86"/>
      <c r="AB712" s="86"/>
      <c r="AC712" s="86"/>
      <c r="AD712" s="86"/>
      <c r="AE712" s="86"/>
    </row>
    <row r="713" spans="1:31">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c r="AA713" s="86"/>
      <c r="AB713" s="86"/>
      <c r="AC713" s="86"/>
      <c r="AD713" s="86"/>
      <c r="AE713" s="86"/>
    </row>
    <row r="714" spans="1:31">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c r="AA714" s="86"/>
      <c r="AB714" s="86"/>
      <c r="AC714" s="86"/>
      <c r="AD714" s="86"/>
      <c r="AE714" s="86"/>
    </row>
    <row r="715" spans="1:31">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c r="AA715" s="86"/>
      <c r="AB715" s="86"/>
      <c r="AC715" s="86"/>
      <c r="AD715" s="86"/>
      <c r="AE715" s="86"/>
    </row>
    <row r="716" spans="1:31">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c r="AA716" s="86"/>
      <c r="AB716" s="86"/>
      <c r="AC716" s="86"/>
      <c r="AD716" s="86"/>
      <c r="AE716" s="86"/>
    </row>
    <row r="717" spans="1:31">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c r="AA717" s="86"/>
      <c r="AB717" s="86"/>
      <c r="AC717" s="86"/>
      <c r="AD717" s="86"/>
      <c r="AE717" s="86"/>
    </row>
    <row r="718" spans="1:31">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c r="AA718" s="86"/>
      <c r="AB718" s="86"/>
      <c r="AC718" s="86"/>
      <c r="AD718" s="86"/>
      <c r="AE718" s="86"/>
    </row>
    <row r="719" spans="1:31">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c r="AA719" s="86"/>
      <c r="AB719" s="86"/>
      <c r="AC719" s="86"/>
      <c r="AD719" s="86"/>
      <c r="AE719" s="86"/>
    </row>
    <row r="720" spans="1:31">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c r="AA720" s="86"/>
      <c r="AB720" s="86"/>
      <c r="AC720" s="86"/>
      <c r="AD720" s="86"/>
      <c r="AE720" s="86"/>
    </row>
    <row r="721" spans="1:31">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c r="AA721" s="86"/>
      <c r="AB721" s="86"/>
      <c r="AC721" s="86"/>
      <c r="AD721" s="86"/>
      <c r="AE721" s="86"/>
    </row>
    <row r="722" spans="1:31">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c r="AA722" s="86"/>
      <c r="AB722" s="86"/>
      <c r="AC722" s="86"/>
      <c r="AD722" s="86"/>
      <c r="AE722" s="86"/>
    </row>
    <row r="723" spans="1:31">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c r="AA723" s="86"/>
      <c r="AB723" s="86"/>
      <c r="AC723" s="86"/>
      <c r="AD723" s="86"/>
      <c r="AE723" s="86"/>
    </row>
    <row r="724" spans="1:31">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c r="AA724" s="86"/>
      <c r="AB724" s="86"/>
      <c r="AC724" s="86"/>
      <c r="AD724" s="86"/>
      <c r="AE724" s="86"/>
    </row>
    <row r="725" spans="1:31">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c r="AA725" s="86"/>
      <c r="AB725" s="86"/>
      <c r="AC725" s="86"/>
      <c r="AD725" s="86"/>
      <c r="AE725" s="86"/>
    </row>
    <row r="726" spans="1:31">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c r="AA726" s="86"/>
      <c r="AB726" s="86"/>
      <c r="AC726" s="86"/>
      <c r="AD726" s="86"/>
      <c r="AE726" s="86"/>
    </row>
    <row r="727" spans="1:31">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c r="AA727" s="86"/>
      <c r="AB727" s="86"/>
      <c r="AC727" s="86"/>
      <c r="AD727" s="86"/>
      <c r="AE727" s="86"/>
    </row>
    <row r="728" spans="1:31">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c r="AA728" s="86"/>
      <c r="AB728" s="86"/>
      <c r="AC728" s="86"/>
      <c r="AD728" s="86"/>
      <c r="AE728" s="86"/>
    </row>
    <row r="729" spans="1:31">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c r="AA729" s="86"/>
      <c r="AB729" s="86"/>
      <c r="AC729" s="86"/>
      <c r="AD729" s="86"/>
      <c r="AE729" s="86"/>
    </row>
    <row r="730" spans="1:31">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c r="AA730" s="86"/>
      <c r="AB730" s="86"/>
      <c r="AC730" s="86"/>
      <c r="AD730" s="86"/>
      <c r="AE730" s="86"/>
    </row>
    <row r="731" spans="1:31">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c r="AA731" s="86"/>
      <c r="AB731" s="86"/>
      <c r="AC731" s="86"/>
      <c r="AD731" s="86"/>
      <c r="AE731" s="86"/>
    </row>
    <row r="732" spans="1:31">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c r="AA732" s="86"/>
      <c r="AB732" s="86"/>
      <c r="AC732" s="86"/>
      <c r="AD732" s="86"/>
      <c r="AE732" s="86"/>
    </row>
    <row r="733" spans="1:31">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c r="AA733" s="86"/>
      <c r="AB733" s="86"/>
      <c r="AC733" s="86"/>
      <c r="AD733" s="86"/>
      <c r="AE733" s="86"/>
    </row>
    <row r="734" spans="1:31">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c r="AA734" s="86"/>
      <c r="AB734" s="86"/>
      <c r="AC734" s="86"/>
      <c r="AD734" s="86"/>
      <c r="AE734" s="86"/>
    </row>
    <row r="735" spans="1:31">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c r="AA735" s="86"/>
      <c r="AB735" s="86"/>
      <c r="AC735" s="86"/>
      <c r="AD735" s="86"/>
      <c r="AE735" s="86"/>
    </row>
    <row r="736" spans="1:31">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c r="AA736" s="86"/>
      <c r="AB736" s="86"/>
      <c r="AC736" s="86"/>
      <c r="AD736" s="86"/>
      <c r="AE736" s="86"/>
    </row>
    <row r="737" spans="1:31">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c r="AA737" s="86"/>
      <c r="AB737" s="86"/>
      <c r="AC737" s="86"/>
      <c r="AD737" s="86"/>
      <c r="AE737" s="86"/>
    </row>
    <row r="738" spans="1:31">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c r="AA738" s="86"/>
      <c r="AB738" s="86"/>
      <c r="AC738" s="86"/>
      <c r="AD738" s="86"/>
      <c r="AE738" s="86"/>
    </row>
    <row r="739" spans="1:31">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c r="AA739" s="86"/>
      <c r="AB739" s="86"/>
      <c r="AC739" s="86"/>
      <c r="AD739" s="86"/>
      <c r="AE739" s="86"/>
    </row>
    <row r="740" spans="1:31">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c r="AA740" s="86"/>
      <c r="AB740" s="86"/>
      <c r="AC740" s="86"/>
      <c r="AD740" s="86"/>
      <c r="AE740" s="86"/>
    </row>
    <row r="741" spans="1:31">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c r="AA741" s="86"/>
      <c r="AB741" s="86"/>
      <c r="AC741" s="86"/>
      <c r="AD741" s="86"/>
      <c r="AE741" s="86"/>
    </row>
    <row r="742" spans="1:31">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c r="AA742" s="86"/>
      <c r="AB742" s="86"/>
      <c r="AC742" s="86"/>
      <c r="AD742" s="86"/>
      <c r="AE742" s="86"/>
    </row>
    <row r="743" spans="1:31">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c r="AA743" s="86"/>
      <c r="AB743" s="86"/>
      <c r="AC743" s="86"/>
      <c r="AD743" s="86"/>
      <c r="AE743" s="86"/>
    </row>
    <row r="744" spans="1:31">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c r="AA744" s="86"/>
      <c r="AB744" s="86"/>
      <c r="AC744" s="86"/>
      <c r="AD744" s="86"/>
      <c r="AE744" s="86"/>
    </row>
    <row r="745" spans="1:31">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c r="AA745" s="86"/>
      <c r="AB745" s="86"/>
      <c r="AC745" s="86"/>
      <c r="AD745" s="86"/>
      <c r="AE745" s="86"/>
    </row>
    <row r="746" spans="1:31">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c r="AA746" s="86"/>
      <c r="AB746" s="86"/>
      <c r="AC746" s="86"/>
      <c r="AD746" s="86"/>
      <c r="AE746" s="86"/>
    </row>
    <row r="747" spans="1:31">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c r="AA747" s="86"/>
      <c r="AB747" s="86"/>
      <c r="AC747" s="86"/>
      <c r="AD747" s="86"/>
      <c r="AE747" s="86"/>
    </row>
    <row r="748" spans="1:31">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c r="AA748" s="86"/>
      <c r="AB748" s="86"/>
      <c r="AC748" s="86"/>
      <c r="AD748" s="86"/>
      <c r="AE748" s="86"/>
    </row>
    <row r="749" spans="1:31">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c r="AA749" s="86"/>
      <c r="AB749" s="86"/>
      <c r="AC749" s="86"/>
      <c r="AD749" s="86"/>
      <c r="AE749" s="86"/>
    </row>
    <row r="750" spans="1:31">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c r="AA750" s="86"/>
      <c r="AB750" s="86"/>
      <c r="AC750" s="86"/>
      <c r="AD750" s="86"/>
      <c r="AE750" s="86"/>
    </row>
    <row r="751" spans="1:31">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c r="AA751" s="86"/>
      <c r="AB751" s="86"/>
      <c r="AC751" s="86"/>
      <c r="AD751" s="86"/>
      <c r="AE751" s="86"/>
    </row>
    <row r="752" spans="1:31">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c r="AA752" s="86"/>
      <c r="AB752" s="86"/>
      <c r="AC752" s="86"/>
      <c r="AD752" s="86"/>
      <c r="AE752" s="86"/>
    </row>
    <row r="753" spans="1:31">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c r="AA753" s="86"/>
      <c r="AB753" s="86"/>
      <c r="AC753" s="86"/>
      <c r="AD753" s="86"/>
      <c r="AE753" s="86"/>
    </row>
    <row r="754" spans="1:31">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c r="AA754" s="86"/>
      <c r="AB754" s="86"/>
      <c r="AC754" s="86"/>
      <c r="AD754" s="86"/>
      <c r="AE754" s="86"/>
    </row>
    <row r="755" spans="1:31">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c r="AA755" s="86"/>
      <c r="AB755" s="86"/>
      <c r="AC755" s="86"/>
      <c r="AD755" s="86"/>
      <c r="AE755" s="86"/>
    </row>
    <row r="756" spans="1:31">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c r="AA756" s="86"/>
      <c r="AB756" s="86"/>
      <c r="AC756" s="86"/>
      <c r="AD756" s="86"/>
      <c r="AE756" s="86"/>
    </row>
    <row r="757" spans="1:31">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c r="AA757" s="86"/>
      <c r="AB757" s="86"/>
      <c r="AC757" s="86"/>
      <c r="AD757" s="86"/>
      <c r="AE757" s="86"/>
    </row>
    <row r="758" spans="1:31">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c r="AA758" s="86"/>
      <c r="AB758" s="86"/>
      <c r="AC758" s="86"/>
      <c r="AD758" s="86"/>
      <c r="AE758" s="86"/>
    </row>
    <row r="759" spans="1:31">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c r="AA759" s="86"/>
      <c r="AB759" s="86"/>
      <c r="AC759" s="86"/>
      <c r="AD759" s="86"/>
      <c r="AE759" s="86"/>
    </row>
    <row r="760" spans="1:31">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c r="AA760" s="86"/>
      <c r="AB760" s="86"/>
      <c r="AC760" s="86"/>
      <c r="AD760" s="86"/>
      <c r="AE760" s="86"/>
    </row>
    <row r="761" spans="1:31">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c r="AA761" s="86"/>
      <c r="AB761" s="86"/>
      <c r="AC761" s="86"/>
      <c r="AD761" s="86"/>
      <c r="AE761" s="86"/>
    </row>
    <row r="762" spans="1:31">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c r="AA762" s="86"/>
      <c r="AB762" s="86"/>
      <c r="AC762" s="86"/>
      <c r="AD762" s="86"/>
      <c r="AE762" s="86"/>
    </row>
    <row r="763" spans="1:31">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c r="AA763" s="86"/>
      <c r="AB763" s="86"/>
      <c r="AC763" s="86"/>
      <c r="AD763" s="86"/>
      <c r="AE763" s="86"/>
    </row>
    <row r="764" spans="1:31">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c r="AA764" s="86"/>
      <c r="AB764" s="86"/>
      <c r="AC764" s="86"/>
      <c r="AD764" s="86"/>
      <c r="AE764" s="86"/>
    </row>
    <row r="765" spans="1:31">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c r="AA765" s="86"/>
      <c r="AB765" s="86"/>
      <c r="AC765" s="86"/>
      <c r="AD765" s="86"/>
      <c r="AE765" s="86"/>
    </row>
    <row r="766" spans="1:31">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c r="AA766" s="86"/>
      <c r="AB766" s="86"/>
      <c r="AC766" s="86"/>
      <c r="AD766" s="86"/>
      <c r="AE766" s="86"/>
    </row>
    <row r="767" spans="1:31">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c r="AA767" s="86"/>
      <c r="AB767" s="86"/>
      <c r="AC767" s="86"/>
      <c r="AD767" s="86"/>
      <c r="AE767" s="86"/>
    </row>
    <row r="768" spans="1:31">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c r="AA768" s="86"/>
      <c r="AB768" s="86"/>
      <c r="AC768" s="86"/>
      <c r="AD768" s="86"/>
      <c r="AE768" s="86"/>
    </row>
    <row r="769" spans="1:31">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c r="AA769" s="86"/>
      <c r="AB769" s="86"/>
      <c r="AC769" s="86"/>
      <c r="AD769" s="86"/>
      <c r="AE769" s="86"/>
    </row>
    <row r="770" spans="1:31">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c r="AA770" s="86"/>
      <c r="AB770" s="86"/>
      <c r="AC770" s="86"/>
      <c r="AD770" s="86"/>
      <c r="AE770" s="86"/>
    </row>
    <row r="771" spans="1:31">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c r="AA771" s="86"/>
      <c r="AB771" s="86"/>
      <c r="AC771" s="86"/>
      <c r="AD771" s="86"/>
      <c r="AE771" s="86"/>
    </row>
    <row r="772" spans="1:31">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c r="AA772" s="86"/>
      <c r="AB772" s="86"/>
      <c r="AC772" s="86"/>
      <c r="AD772" s="86"/>
      <c r="AE772" s="86"/>
    </row>
    <row r="773" spans="1:31">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c r="AA773" s="86"/>
      <c r="AB773" s="86"/>
      <c r="AC773" s="86"/>
      <c r="AD773" s="86"/>
      <c r="AE773" s="86"/>
    </row>
    <row r="774" spans="1:31">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c r="AA774" s="86"/>
      <c r="AB774" s="86"/>
      <c r="AC774" s="86"/>
      <c r="AD774" s="86"/>
      <c r="AE774" s="86"/>
    </row>
    <row r="775" spans="1:31">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c r="AA775" s="86"/>
      <c r="AB775" s="86"/>
      <c r="AC775" s="86"/>
      <c r="AD775" s="86"/>
      <c r="AE775" s="86"/>
    </row>
    <row r="776" spans="1:31">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c r="AA776" s="86"/>
      <c r="AB776" s="86"/>
      <c r="AC776" s="86"/>
      <c r="AD776" s="86"/>
      <c r="AE776" s="86"/>
    </row>
    <row r="777" spans="1:31">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c r="AA777" s="86"/>
      <c r="AB777" s="86"/>
      <c r="AC777" s="86"/>
      <c r="AD777" s="86"/>
      <c r="AE777" s="86"/>
    </row>
    <row r="778" spans="1:31">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c r="AA778" s="86"/>
      <c r="AB778" s="86"/>
      <c r="AC778" s="86"/>
      <c r="AD778" s="86"/>
      <c r="AE778" s="86"/>
    </row>
    <row r="779" spans="1:31">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c r="AA779" s="86"/>
      <c r="AB779" s="86"/>
      <c r="AC779" s="86"/>
      <c r="AD779" s="86"/>
      <c r="AE779" s="86"/>
    </row>
    <row r="780" spans="1:31">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c r="AA780" s="86"/>
      <c r="AB780" s="86"/>
      <c r="AC780" s="86"/>
      <c r="AD780" s="86"/>
      <c r="AE780" s="86"/>
    </row>
    <row r="781" spans="1:31">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c r="AA781" s="86"/>
      <c r="AB781" s="86"/>
      <c r="AC781" s="86"/>
      <c r="AD781" s="86"/>
      <c r="AE781" s="86"/>
    </row>
    <row r="782" spans="1:31">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c r="AA782" s="86"/>
      <c r="AB782" s="86"/>
      <c r="AC782" s="86"/>
      <c r="AD782" s="86"/>
      <c r="AE782" s="86"/>
    </row>
    <row r="783" spans="1:31">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c r="AA783" s="86"/>
      <c r="AB783" s="86"/>
      <c r="AC783" s="86"/>
      <c r="AD783" s="86"/>
      <c r="AE783" s="86"/>
    </row>
    <row r="784" spans="1:31">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c r="AA784" s="86"/>
      <c r="AB784" s="86"/>
      <c r="AC784" s="86"/>
      <c r="AD784" s="86"/>
      <c r="AE784" s="86"/>
    </row>
    <row r="785" spans="1:31">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c r="AA785" s="86"/>
      <c r="AB785" s="86"/>
      <c r="AC785" s="86"/>
      <c r="AD785" s="86"/>
      <c r="AE785" s="86"/>
    </row>
    <row r="786" spans="1:31">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c r="AA786" s="86"/>
      <c r="AB786" s="86"/>
      <c r="AC786" s="86"/>
      <c r="AD786" s="86"/>
      <c r="AE786" s="86"/>
    </row>
    <row r="787" spans="1:31">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c r="AA787" s="86"/>
      <c r="AB787" s="86"/>
      <c r="AC787" s="86"/>
      <c r="AD787" s="86"/>
      <c r="AE787" s="86"/>
    </row>
    <row r="788" spans="1:31">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c r="AA788" s="86"/>
      <c r="AB788" s="86"/>
      <c r="AC788" s="86"/>
      <c r="AD788" s="86"/>
      <c r="AE788" s="86"/>
    </row>
    <row r="789" spans="1:31">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c r="AA789" s="86"/>
      <c r="AB789" s="86"/>
      <c r="AC789" s="86"/>
      <c r="AD789" s="86"/>
      <c r="AE789" s="86"/>
    </row>
    <row r="790" spans="1:31">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c r="AA790" s="86"/>
      <c r="AB790" s="86"/>
      <c r="AC790" s="86"/>
      <c r="AD790" s="86"/>
      <c r="AE790" s="86"/>
    </row>
    <row r="791" spans="1:31">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c r="AA791" s="86"/>
      <c r="AB791" s="86"/>
      <c r="AC791" s="86"/>
      <c r="AD791" s="86"/>
      <c r="AE791" s="86"/>
    </row>
    <row r="792" spans="1:31">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c r="AA792" s="86"/>
      <c r="AB792" s="86"/>
      <c r="AC792" s="86"/>
      <c r="AD792" s="86"/>
      <c r="AE792" s="86"/>
    </row>
    <row r="793" spans="1:31">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c r="AA793" s="86"/>
      <c r="AB793" s="86"/>
      <c r="AC793" s="86"/>
      <c r="AD793" s="86"/>
      <c r="AE793" s="86"/>
    </row>
    <row r="794" spans="1:31">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c r="AA794" s="86"/>
      <c r="AB794" s="86"/>
      <c r="AC794" s="86"/>
      <c r="AD794" s="86"/>
      <c r="AE794" s="86"/>
    </row>
    <row r="795" spans="1:31">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c r="AA795" s="86"/>
      <c r="AB795" s="86"/>
      <c r="AC795" s="86"/>
      <c r="AD795" s="86"/>
      <c r="AE795" s="86"/>
    </row>
    <row r="796" spans="1:31">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c r="AA796" s="86"/>
      <c r="AB796" s="86"/>
      <c r="AC796" s="86"/>
      <c r="AD796" s="86"/>
      <c r="AE796" s="86"/>
    </row>
    <row r="797" spans="1:31">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c r="AA797" s="86"/>
      <c r="AB797" s="86"/>
      <c r="AC797" s="86"/>
      <c r="AD797" s="86"/>
      <c r="AE797" s="86"/>
    </row>
    <row r="798" spans="1:31">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c r="AA798" s="86"/>
      <c r="AB798" s="86"/>
      <c r="AC798" s="86"/>
      <c r="AD798" s="86"/>
      <c r="AE798" s="86"/>
    </row>
    <row r="799" spans="1:31">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c r="AA799" s="86"/>
      <c r="AB799" s="86"/>
      <c r="AC799" s="86"/>
      <c r="AD799" s="86"/>
      <c r="AE799" s="86"/>
    </row>
    <row r="800" spans="1:31">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c r="AA800" s="86"/>
      <c r="AB800" s="86"/>
      <c r="AC800" s="86"/>
      <c r="AD800" s="86"/>
      <c r="AE800" s="86"/>
    </row>
    <row r="801" spans="1:31">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c r="AA801" s="86"/>
      <c r="AB801" s="86"/>
      <c r="AC801" s="86"/>
      <c r="AD801" s="86"/>
      <c r="AE801" s="86"/>
    </row>
    <row r="802" spans="1:31">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c r="AA802" s="86"/>
      <c r="AB802" s="86"/>
      <c r="AC802" s="86"/>
      <c r="AD802" s="86"/>
      <c r="AE802" s="86"/>
    </row>
    <row r="803" spans="1:31">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c r="AA803" s="86"/>
      <c r="AB803" s="86"/>
      <c r="AC803" s="86"/>
      <c r="AD803" s="86"/>
      <c r="AE803" s="86"/>
    </row>
    <row r="804" spans="1:31">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c r="AA804" s="86"/>
      <c r="AB804" s="86"/>
      <c r="AC804" s="86"/>
      <c r="AD804" s="86"/>
      <c r="AE804" s="86"/>
    </row>
    <row r="805" spans="1:31">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c r="AA805" s="86"/>
      <c r="AB805" s="86"/>
      <c r="AC805" s="86"/>
      <c r="AD805" s="86"/>
      <c r="AE805" s="86"/>
    </row>
    <row r="806" spans="1:31">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c r="AA806" s="86"/>
      <c r="AB806" s="86"/>
      <c r="AC806" s="86"/>
      <c r="AD806" s="86"/>
      <c r="AE806" s="86"/>
    </row>
    <row r="807" spans="1:31">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c r="AA807" s="86"/>
      <c r="AB807" s="86"/>
      <c r="AC807" s="86"/>
      <c r="AD807" s="86"/>
      <c r="AE807" s="86"/>
    </row>
    <row r="808" spans="1:31">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c r="AA808" s="86"/>
      <c r="AB808" s="86"/>
      <c r="AC808" s="86"/>
      <c r="AD808" s="86"/>
      <c r="AE808" s="86"/>
    </row>
    <row r="809" spans="1:31">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c r="AA809" s="86"/>
      <c r="AB809" s="86"/>
      <c r="AC809" s="86"/>
      <c r="AD809" s="86"/>
      <c r="AE809" s="86"/>
    </row>
    <row r="810" spans="1:31">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c r="AA810" s="86"/>
      <c r="AB810" s="86"/>
      <c r="AC810" s="86"/>
      <c r="AD810" s="86"/>
      <c r="AE810" s="86"/>
    </row>
    <row r="811" spans="1:31">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c r="AA811" s="86"/>
      <c r="AB811" s="86"/>
      <c r="AC811" s="86"/>
      <c r="AD811" s="86"/>
      <c r="AE811" s="86"/>
    </row>
    <row r="812" spans="1:31">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c r="AA812" s="86"/>
      <c r="AB812" s="86"/>
      <c r="AC812" s="86"/>
      <c r="AD812" s="86"/>
      <c r="AE812" s="86"/>
    </row>
    <row r="813" spans="1:31">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c r="AA813" s="86"/>
      <c r="AB813" s="86"/>
      <c r="AC813" s="86"/>
      <c r="AD813" s="86"/>
      <c r="AE813" s="86"/>
    </row>
    <row r="814" spans="1:31">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c r="AA814" s="86"/>
      <c r="AB814" s="86"/>
      <c r="AC814" s="86"/>
      <c r="AD814" s="86"/>
      <c r="AE814" s="86"/>
    </row>
    <row r="815" spans="1:31">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c r="AA815" s="86"/>
      <c r="AB815" s="86"/>
      <c r="AC815" s="86"/>
      <c r="AD815" s="86"/>
      <c r="AE815" s="86"/>
    </row>
    <row r="816" spans="1:31">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c r="AA816" s="86"/>
      <c r="AB816" s="86"/>
      <c r="AC816" s="86"/>
      <c r="AD816" s="86"/>
      <c r="AE816" s="86"/>
    </row>
    <row r="817" spans="1:31">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c r="AA817" s="86"/>
      <c r="AB817" s="86"/>
      <c r="AC817" s="86"/>
      <c r="AD817" s="86"/>
      <c r="AE817" s="86"/>
    </row>
    <row r="818" spans="1:31">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c r="AA818" s="86"/>
      <c r="AB818" s="86"/>
      <c r="AC818" s="86"/>
      <c r="AD818" s="86"/>
      <c r="AE818" s="86"/>
    </row>
    <row r="819" spans="1:31">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c r="AA819" s="86"/>
      <c r="AB819" s="86"/>
      <c r="AC819" s="86"/>
      <c r="AD819" s="86"/>
      <c r="AE819" s="86"/>
    </row>
    <row r="820" spans="1:31">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c r="AA820" s="86"/>
      <c r="AB820" s="86"/>
      <c r="AC820" s="86"/>
      <c r="AD820" s="86"/>
      <c r="AE820" s="86"/>
    </row>
    <row r="821" spans="1:31">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c r="AA821" s="86"/>
      <c r="AB821" s="86"/>
      <c r="AC821" s="86"/>
      <c r="AD821" s="86"/>
      <c r="AE821" s="86"/>
    </row>
    <row r="822" spans="1:31">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c r="AA822" s="86"/>
      <c r="AB822" s="86"/>
      <c r="AC822" s="86"/>
      <c r="AD822" s="86"/>
      <c r="AE822" s="86"/>
    </row>
    <row r="823" spans="1:31">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c r="AA823" s="86"/>
      <c r="AB823" s="86"/>
      <c r="AC823" s="86"/>
      <c r="AD823" s="86"/>
      <c r="AE823" s="86"/>
    </row>
    <row r="824" spans="1:31">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c r="AA824" s="86"/>
      <c r="AB824" s="86"/>
      <c r="AC824" s="86"/>
      <c r="AD824" s="86"/>
      <c r="AE824" s="86"/>
    </row>
    <row r="825" spans="1:31">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c r="AA825" s="86"/>
      <c r="AB825" s="86"/>
      <c r="AC825" s="86"/>
      <c r="AD825" s="86"/>
      <c r="AE825" s="86"/>
    </row>
    <row r="826" spans="1:31">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c r="AA826" s="86"/>
      <c r="AB826" s="86"/>
      <c r="AC826" s="86"/>
      <c r="AD826" s="86"/>
      <c r="AE826" s="86"/>
    </row>
    <row r="827" spans="1:31">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c r="AA827" s="86"/>
      <c r="AB827" s="86"/>
      <c r="AC827" s="86"/>
      <c r="AD827" s="86"/>
      <c r="AE827" s="86"/>
    </row>
    <row r="828" spans="1:31">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c r="AA828" s="86"/>
      <c r="AB828" s="86"/>
      <c r="AC828" s="86"/>
      <c r="AD828" s="86"/>
      <c r="AE828" s="86"/>
    </row>
    <row r="829" spans="1:31">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c r="AA829" s="86"/>
      <c r="AB829" s="86"/>
      <c r="AC829" s="86"/>
      <c r="AD829" s="86"/>
      <c r="AE829" s="86"/>
    </row>
    <row r="830" spans="1:31">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c r="AA830" s="86"/>
      <c r="AB830" s="86"/>
      <c r="AC830" s="86"/>
      <c r="AD830" s="86"/>
      <c r="AE830" s="86"/>
    </row>
    <row r="831" spans="1:31">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c r="AA831" s="86"/>
      <c r="AB831" s="86"/>
      <c r="AC831" s="86"/>
      <c r="AD831" s="86"/>
      <c r="AE831" s="86"/>
    </row>
    <row r="832" spans="1:31">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c r="AA832" s="86"/>
      <c r="AB832" s="86"/>
      <c r="AC832" s="86"/>
      <c r="AD832" s="86"/>
      <c r="AE832" s="86"/>
    </row>
    <row r="833" spans="1:31">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c r="AA833" s="86"/>
      <c r="AB833" s="86"/>
      <c r="AC833" s="86"/>
      <c r="AD833" s="86"/>
      <c r="AE833" s="86"/>
    </row>
    <row r="834" spans="1:31">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c r="AA834" s="86"/>
      <c r="AB834" s="86"/>
      <c r="AC834" s="86"/>
      <c r="AD834" s="86"/>
      <c r="AE834" s="86"/>
    </row>
    <row r="835" spans="1:31">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c r="AA835" s="86"/>
      <c r="AB835" s="86"/>
      <c r="AC835" s="86"/>
      <c r="AD835" s="86"/>
      <c r="AE835" s="86"/>
    </row>
    <row r="836" spans="1:31">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c r="AA836" s="86"/>
      <c r="AB836" s="86"/>
      <c r="AC836" s="86"/>
      <c r="AD836" s="86"/>
      <c r="AE836" s="86"/>
    </row>
    <row r="837" spans="1:31">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c r="AA837" s="86"/>
      <c r="AB837" s="86"/>
      <c r="AC837" s="86"/>
      <c r="AD837" s="86"/>
      <c r="AE837" s="86"/>
    </row>
    <row r="838" spans="1:31">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c r="AA838" s="86"/>
      <c r="AB838" s="86"/>
      <c r="AC838" s="86"/>
      <c r="AD838" s="86"/>
      <c r="AE838" s="86"/>
    </row>
    <row r="839" spans="1:31">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c r="AA839" s="86"/>
      <c r="AB839" s="86"/>
      <c r="AC839" s="86"/>
      <c r="AD839" s="86"/>
      <c r="AE839" s="86"/>
    </row>
    <row r="840" spans="1:31">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c r="AA840" s="86"/>
      <c r="AB840" s="86"/>
      <c r="AC840" s="86"/>
      <c r="AD840" s="86"/>
      <c r="AE840" s="86"/>
    </row>
    <row r="841" spans="1:31">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c r="AA841" s="86"/>
      <c r="AB841" s="86"/>
      <c r="AC841" s="86"/>
      <c r="AD841" s="86"/>
      <c r="AE841" s="86"/>
    </row>
    <row r="842" spans="1:31">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c r="AA842" s="86"/>
      <c r="AB842" s="86"/>
      <c r="AC842" s="86"/>
      <c r="AD842" s="86"/>
      <c r="AE842" s="86"/>
    </row>
    <row r="843" spans="1:31">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c r="AA843" s="86"/>
      <c r="AB843" s="86"/>
      <c r="AC843" s="86"/>
      <c r="AD843" s="86"/>
      <c r="AE843" s="86"/>
    </row>
    <row r="844" spans="1:31">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c r="AA844" s="86"/>
      <c r="AB844" s="86"/>
      <c r="AC844" s="86"/>
      <c r="AD844" s="86"/>
      <c r="AE844" s="86"/>
    </row>
    <row r="845" spans="1:31">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c r="AA845" s="86"/>
      <c r="AB845" s="86"/>
      <c r="AC845" s="86"/>
      <c r="AD845" s="86"/>
      <c r="AE845" s="86"/>
    </row>
    <row r="846" spans="1:31">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c r="AA846" s="86"/>
      <c r="AB846" s="86"/>
      <c r="AC846" s="86"/>
      <c r="AD846" s="86"/>
      <c r="AE846" s="86"/>
    </row>
    <row r="847" spans="1:31">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c r="AA847" s="86"/>
      <c r="AB847" s="86"/>
      <c r="AC847" s="86"/>
      <c r="AD847" s="86"/>
      <c r="AE847" s="86"/>
    </row>
    <row r="848" spans="1:31">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c r="AA848" s="86"/>
      <c r="AB848" s="86"/>
      <c r="AC848" s="86"/>
      <c r="AD848" s="86"/>
      <c r="AE848" s="86"/>
    </row>
    <row r="849" spans="1:31">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c r="AA849" s="86"/>
      <c r="AB849" s="86"/>
      <c r="AC849" s="86"/>
      <c r="AD849" s="86"/>
      <c r="AE849" s="86"/>
    </row>
    <row r="850" spans="1:31">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c r="AA850" s="86"/>
      <c r="AB850" s="86"/>
      <c r="AC850" s="86"/>
      <c r="AD850" s="86"/>
      <c r="AE850" s="86"/>
    </row>
    <row r="851" spans="1:31">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c r="AA851" s="86"/>
      <c r="AB851" s="86"/>
      <c r="AC851" s="86"/>
      <c r="AD851" s="86"/>
      <c r="AE851" s="86"/>
    </row>
    <row r="852" spans="1:31">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c r="AA852" s="86"/>
      <c r="AB852" s="86"/>
      <c r="AC852" s="86"/>
      <c r="AD852" s="86"/>
      <c r="AE852" s="86"/>
    </row>
    <row r="853" spans="1:31">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c r="AA853" s="86"/>
      <c r="AB853" s="86"/>
      <c r="AC853" s="86"/>
      <c r="AD853" s="86"/>
      <c r="AE853" s="86"/>
    </row>
    <row r="854" spans="1:31">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c r="AA854" s="86"/>
      <c r="AB854" s="86"/>
      <c r="AC854" s="86"/>
      <c r="AD854" s="86"/>
      <c r="AE854" s="86"/>
    </row>
    <row r="855" spans="1:31">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c r="AA855" s="86"/>
      <c r="AB855" s="86"/>
      <c r="AC855" s="86"/>
      <c r="AD855" s="86"/>
      <c r="AE855" s="86"/>
    </row>
    <row r="856" spans="1:31">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c r="AA856" s="86"/>
      <c r="AB856" s="86"/>
      <c r="AC856" s="86"/>
      <c r="AD856" s="86"/>
      <c r="AE856" s="86"/>
    </row>
    <row r="857" spans="1:31">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c r="AA857" s="86"/>
      <c r="AB857" s="86"/>
      <c r="AC857" s="86"/>
      <c r="AD857" s="86"/>
      <c r="AE857" s="86"/>
    </row>
    <row r="858" spans="1:31">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c r="AA858" s="86"/>
      <c r="AB858" s="86"/>
      <c r="AC858" s="86"/>
      <c r="AD858" s="86"/>
      <c r="AE858" s="86"/>
    </row>
    <row r="859" spans="1:31">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c r="AA859" s="86"/>
      <c r="AB859" s="86"/>
      <c r="AC859" s="86"/>
      <c r="AD859" s="86"/>
      <c r="AE859" s="86"/>
    </row>
    <row r="860" spans="1:31">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c r="AA860" s="86"/>
      <c r="AB860" s="86"/>
      <c r="AC860" s="86"/>
      <c r="AD860" s="86"/>
      <c r="AE860" s="86"/>
    </row>
    <row r="861" spans="1:31">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c r="AA861" s="86"/>
      <c r="AB861" s="86"/>
      <c r="AC861" s="86"/>
      <c r="AD861" s="86"/>
      <c r="AE861" s="86"/>
    </row>
    <row r="862" spans="1:31">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c r="AA862" s="86"/>
      <c r="AB862" s="86"/>
      <c r="AC862" s="86"/>
      <c r="AD862" s="86"/>
      <c r="AE862" s="86"/>
    </row>
    <row r="863" spans="1:31">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c r="AA863" s="86"/>
      <c r="AB863" s="86"/>
      <c r="AC863" s="86"/>
      <c r="AD863" s="86"/>
      <c r="AE863" s="86"/>
    </row>
    <row r="864" spans="1:31">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c r="AA864" s="86"/>
      <c r="AB864" s="86"/>
      <c r="AC864" s="86"/>
      <c r="AD864" s="86"/>
      <c r="AE864" s="86"/>
    </row>
    <row r="865" spans="1:31">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c r="AA865" s="86"/>
      <c r="AB865" s="86"/>
      <c r="AC865" s="86"/>
      <c r="AD865" s="86"/>
      <c r="AE865" s="86"/>
    </row>
    <row r="866" spans="1:31">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c r="AA866" s="86"/>
      <c r="AB866" s="86"/>
      <c r="AC866" s="86"/>
      <c r="AD866" s="86"/>
      <c r="AE866" s="86"/>
    </row>
    <row r="867" spans="1:31">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c r="AA867" s="86"/>
      <c r="AB867" s="86"/>
      <c r="AC867" s="86"/>
      <c r="AD867" s="86"/>
      <c r="AE867" s="86"/>
    </row>
    <row r="868" spans="1:31">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c r="AA868" s="86"/>
      <c r="AB868" s="86"/>
      <c r="AC868" s="86"/>
      <c r="AD868" s="86"/>
      <c r="AE868" s="86"/>
    </row>
    <row r="869" spans="1:31">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c r="AA869" s="86"/>
      <c r="AB869" s="86"/>
      <c r="AC869" s="86"/>
      <c r="AD869" s="86"/>
      <c r="AE869" s="86"/>
    </row>
    <row r="870" spans="1:31">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c r="AA870" s="86"/>
      <c r="AB870" s="86"/>
      <c r="AC870" s="86"/>
      <c r="AD870" s="86"/>
      <c r="AE870" s="86"/>
    </row>
    <row r="871" spans="1:31">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c r="AA871" s="86"/>
      <c r="AB871" s="86"/>
      <c r="AC871" s="86"/>
      <c r="AD871" s="86"/>
      <c r="AE871" s="86"/>
    </row>
    <row r="872" spans="1:31">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c r="AA872" s="86"/>
      <c r="AB872" s="86"/>
      <c r="AC872" s="86"/>
      <c r="AD872" s="86"/>
      <c r="AE872" s="86"/>
    </row>
    <row r="873" spans="1:31">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c r="AA873" s="86"/>
      <c r="AB873" s="86"/>
      <c r="AC873" s="86"/>
      <c r="AD873" s="86"/>
      <c r="AE873" s="86"/>
    </row>
    <row r="874" spans="1:31">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c r="AA874" s="86"/>
      <c r="AB874" s="86"/>
      <c r="AC874" s="86"/>
      <c r="AD874" s="86"/>
      <c r="AE874" s="86"/>
    </row>
    <row r="875" spans="1:31">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c r="AA875" s="86"/>
      <c r="AB875" s="86"/>
      <c r="AC875" s="86"/>
      <c r="AD875" s="86"/>
      <c r="AE875" s="86"/>
    </row>
    <row r="876" spans="1:31">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c r="AA876" s="86"/>
      <c r="AB876" s="86"/>
      <c r="AC876" s="86"/>
      <c r="AD876" s="86"/>
      <c r="AE876" s="86"/>
    </row>
    <row r="877" spans="1:31">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c r="AA877" s="86"/>
      <c r="AB877" s="86"/>
      <c r="AC877" s="86"/>
      <c r="AD877" s="86"/>
      <c r="AE877" s="86"/>
    </row>
    <row r="878" spans="1:31">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c r="AA878" s="86"/>
      <c r="AB878" s="86"/>
      <c r="AC878" s="86"/>
      <c r="AD878" s="86"/>
      <c r="AE878" s="86"/>
    </row>
    <row r="879" spans="1:31">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c r="AA879" s="86"/>
      <c r="AB879" s="86"/>
      <c r="AC879" s="86"/>
      <c r="AD879" s="86"/>
      <c r="AE879" s="86"/>
    </row>
    <row r="880" spans="1:31">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c r="AA880" s="86"/>
      <c r="AB880" s="86"/>
      <c r="AC880" s="86"/>
      <c r="AD880" s="86"/>
      <c r="AE880" s="86"/>
    </row>
    <row r="881" spans="1:31">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c r="AA881" s="86"/>
      <c r="AB881" s="86"/>
      <c r="AC881" s="86"/>
      <c r="AD881" s="86"/>
      <c r="AE881" s="86"/>
    </row>
    <row r="882" spans="1:31">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c r="AA882" s="86"/>
      <c r="AB882" s="86"/>
      <c r="AC882" s="86"/>
      <c r="AD882" s="86"/>
      <c r="AE882" s="86"/>
    </row>
    <row r="883" spans="1:31">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c r="AA883" s="86"/>
      <c r="AB883" s="86"/>
      <c r="AC883" s="86"/>
      <c r="AD883" s="86"/>
      <c r="AE883" s="86"/>
    </row>
    <row r="884" spans="1:31">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c r="AA884" s="86"/>
      <c r="AB884" s="86"/>
      <c r="AC884" s="86"/>
      <c r="AD884" s="86"/>
      <c r="AE884" s="86"/>
    </row>
    <row r="885" spans="1:31">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c r="AA885" s="86"/>
      <c r="AB885" s="86"/>
      <c r="AC885" s="86"/>
      <c r="AD885" s="86"/>
      <c r="AE885" s="86"/>
    </row>
    <row r="886" spans="1:31">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c r="AA886" s="86"/>
      <c r="AB886" s="86"/>
      <c r="AC886" s="86"/>
      <c r="AD886" s="86"/>
      <c r="AE886" s="86"/>
    </row>
    <row r="887" spans="1:31">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c r="AA887" s="86"/>
      <c r="AB887" s="86"/>
      <c r="AC887" s="86"/>
      <c r="AD887" s="86"/>
      <c r="AE887" s="86"/>
    </row>
    <row r="888" spans="1:31">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c r="AA888" s="86"/>
      <c r="AB888" s="86"/>
      <c r="AC888" s="86"/>
      <c r="AD888" s="86"/>
      <c r="AE888" s="86"/>
    </row>
    <row r="889" spans="1:31">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c r="AA889" s="86"/>
      <c r="AB889" s="86"/>
      <c r="AC889" s="86"/>
      <c r="AD889" s="86"/>
      <c r="AE889" s="86"/>
    </row>
    <row r="890" spans="1:31">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c r="AA890" s="86"/>
      <c r="AB890" s="86"/>
      <c r="AC890" s="86"/>
      <c r="AD890" s="86"/>
      <c r="AE890" s="86"/>
    </row>
    <row r="891" spans="1:31">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c r="AA891" s="86"/>
      <c r="AB891" s="86"/>
      <c r="AC891" s="86"/>
      <c r="AD891" s="86"/>
      <c r="AE891" s="86"/>
    </row>
    <row r="892" spans="1:31">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c r="AA892" s="86"/>
      <c r="AB892" s="86"/>
      <c r="AC892" s="86"/>
      <c r="AD892" s="86"/>
      <c r="AE892" s="86"/>
    </row>
    <row r="893" spans="1:31">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c r="AA893" s="86"/>
      <c r="AB893" s="86"/>
      <c r="AC893" s="86"/>
      <c r="AD893" s="86"/>
      <c r="AE893" s="86"/>
    </row>
    <row r="894" spans="1:31">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c r="AA894" s="86"/>
      <c r="AB894" s="86"/>
      <c r="AC894" s="86"/>
      <c r="AD894" s="86"/>
      <c r="AE894" s="86"/>
    </row>
    <row r="895" spans="1:31">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c r="AA895" s="86"/>
      <c r="AB895" s="86"/>
      <c r="AC895" s="86"/>
      <c r="AD895" s="86"/>
      <c r="AE895" s="86"/>
    </row>
    <row r="896" spans="1:31">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c r="AA896" s="86"/>
      <c r="AB896" s="86"/>
      <c r="AC896" s="86"/>
      <c r="AD896" s="86"/>
      <c r="AE896" s="86"/>
    </row>
    <row r="897" spans="1:31">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c r="AA897" s="86"/>
      <c r="AB897" s="86"/>
      <c r="AC897" s="86"/>
      <c r="AD897" s="86"/>
      <c r="AE897" s="86"/>
    </row>
    <row r="898" spans="1:31">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c r="AA898" s="86"/>
      <c r="AB898" s="86"/>
      <c r="AC898" s="86"/>
      <c r="AD898" s="86"/>
      <c r="AE898" s="86"/>
    </row>
    <row r="899" spans="1:31">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c r="AA899" s="86"/>
      <c r="AB899" s="86"/>
      <c r="AC899" s="86"/>
      <c r="AD899" s="86"/>
      <c r="AE899" s="86"/>
    </row>
    <row r="900" spans="1:31">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c r="AA900" s="86"/>
      <c r="AB900" s="86"/>
      <c r="AC900" s="86"/>
      <c r="AD900" s="86"/>
      <c r="AE900" s="86"/>
    </row>
    <row r="901" spans="1:31">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c r="AA901" s="86"/>
      <c r="AB901" s="86"/>
      <c r="AC901" s="86"/>
      <c r="AD901" s="86"/>
      <c r="AE901" s="86"/>
    </row>
    <row r="902" spans="1:31">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c r="AA902" s="86"/>
      <c r="AB902" s="86"/>
      <c r="AC902" s="86"/>
      <c r="AD902" s="86"/>
      <c r="AE902" s="86"/>
    </row>
    <row r="903" spans="1:31">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c r="AA903" s="86"/>
      <c r="AB903" s="86"/>
      <c r="AC903" s="86"/>
      <c r="AD903" s="86"/>
      <c r="AE903" s="86"/>
    </row>
    <row r="904" spans="1:31">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c r="AA904" s="86"/>
      <c r="AB904" s="86"/>
      <c r="AC904" s="86"/>
      <c r="AD904" s="86"/>
      <c r="AE904" s="86"/>
    </row>
    <row r="905" spans="1:31">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c r="AA905" s="86"/>
      <c r="AB905" s="86"/>
      <c r="AC905" s="86"/>
      <c r="AD905" s="86"/>
      <c r="AE905" s="86"/>
    </row>
    <row r="906" spans="1:31">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c r="AA906" s="86"/>
      <c r="AB906" s="86"/>
      <c r="AC906" s="86"/>
      <c r="AD906" s="86"/>
      <c r="AE906" s="86"/>
    </row>
    <row r="907" spans="1:31">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c r="AA907" s="86"/>
      <c r="AB907" s="86"/>
      <c r="AC907" s="86"/>
      <c r="AD907" s="86"/>
      <c r="AE907" s="86"/>
    </row>
    <row r="908" spans="1:31">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c r="AA908" s="86"/>
      <c r="AB908" s="86"/>
      <c r="AC908" s="86"/>
      <c r="AD908" s="86"/>
      <c r="AE908" s="86"/>
    </row>
    <row r="909" spans="1:31">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c r="AA909" s="86"/>
      <c r="AB909" s="86"/>
      <c r="AC909" s="86"/>
      <c r="AD909" s="86"/>
      <c r="AE909" s="86"/>
    </row>
    <row r="910" spans="1:31">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c r="AA910" s="86"/>
      <c r="AB910" s="86"/>
      <c r="AC910" s="86"/>
      <c r="AD910" s="86"/>
      <c r="AE910" s="86"/>
    </row>
    <row r="911" spans="1:31">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c r="AA911" s="86"/>
      <c r="AB911" s="86"/>
      <c r="AC911" s="86"/>
      <c r="AD911" s="86"/>
      <c r="AE911" s="86"/>
    </row>
    <row r="912" spans="1:31">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c r="AA912" s="86"/>
      <c r="AB912" s="86"/>
      <c r="AC912" s="86"/>
      <c r="AD912" s="86"/>
      <c r="AE912" s="86"/>
    </row>
    <row r="913" spans="1:31">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c r="AA913" s="86"/>
      <c r="AB913" s="86"/>
      <c r="AC913" s="86"/>
      <c r="AD913" s="86"/>
      <c r="AE913" s="86"/>
    </row>
    <row r="914" spans="1:31">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c r="AA914" s="86"/>
      <c r="AB914" s="86"/>
      <c r="AC914" s="86"/>
      <c r="AD914" s="86"/>
      <c r="AE914" s="86"/>
    </row>
    <row r="915" spans="1:31">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c r="AA915" s="86"/>
      <c r="AB915" s="86"/>
      <c r="AC915" s="86"/>
      <c r="AD915" s="86"/>
      <c r="AE915" s="86"/>
    </row>
    <row r="916" spans="1:31">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c r="AA916" s="86"/>
      <c r="AB916" s="86"/>
      <c r="AC916" s="86"/>
      <c r="AD916" s="86"/>
      <c r="AE916" s="86"/>
    </row>
    <row r="917" spans="1:31">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c r="AA917" s="86"/>
      <c r="AB917" s="86"/>
      <c r="AC917" s="86"/>
      <c r="AD917" s="86"/>
      <c r="AE917" s="86"/>
    </row>
    <row r="918" spans="1:31">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c r="AA918" s="86"/>
      <c r="AB918" s="86"/>
      <c r="AC918" s="86"/>
      <c r="AD918" s="86"/>
      <c r="AE918" s="86"/>
    </row>
    <row r="919" spans="1:31">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c r="AA919" s="86"/>
      <c r="AB919" s="86"/>
      <c r="AC919" s="86"/>
      <c r="AD919" s="86"/>
      <c r="AE919" s="86"/>
    </row>
    <row r="920" spans="1:31">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c r="AA920" s="86"/>
      <c r="AB920" s="86"/>
      <c r="AC920" s="86"/>
      <c r="AD920" s="86"/>
      <c r="AE920" s="86"/>
    </row>
    <row r="921" spans="1:31">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c r="AA921" s="86"/>
      <c r="AB921" s="86"/>
      <c r="AC921" s="86"/>
      <c r="AD921" s="86"/>
      <c r="AE921" s="86"/>
    </row>
    <row r="922" spans="1:31">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c r="AA922" s="86"/>
      <c r="AB922" s="86"/>
      <c r="AC922" s="86"/>
      <c r="AD922" s="86"/>
      <c r="AE922" s="86"/>
    </row>
    <row r="923" spans="1:31">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c r="AA923" s="86"/>
      <c r="AB923" s="86"/>
      <c r="AC923" s="86"/>
      <c r="AD923" s="86"/>
      <c r="AE923" s="86"/>
    </row>
    <row r="924" spans="1:31">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c r="AA924" s="86"/>
      <c r="AB924" s="86"/>
      <c r="AC924" s="86"/>
      <c r="AD924" s="86"/>
      <c r="AE924" s="86"/>
    </row>
    <row r="925" spans="1:31">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c r="AA925" s="86"/>
      <c r="AB925" s="86"/>
      <c r="AC925" s="86"/>
      <c r="AD925" s="86"/>
      <c r="AE925" s="86"/>
    </row>
    <row r="926" spans="1:31">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c r="AA926" s="86"/>
      <c r="AB926" s="86"/>
      <c r="AC926" s="86"/>
      <c r="AD926" s="86"/>
      <c r="AE926" s="86"/>
    </row>
    <row r="927" spans="1:31">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c r="AA927" s="86"/>
      <c r="AB927" s="86"/>
      <c r="AC927" s="86"/>
      <c r="AD927" s="86"/>
      <c r="AE927" s="86"/>
    </row>
    <row r="928" spans="1:31">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c r="AA928" s="86"/>
      <c r="AB928" s="86"/>
      <c r="AC928" s="86"/>
      <c r="AD928" s="86"/>
      <c r="AE928" s="86"/>
    </row>
    <row r="929" spans="1:31">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c r="AA929" s="86"/>
      <c r="AB929" s="86"/>
      <c r="AC929" s="86"/>
      <c r="AD929" s="86"/>
      <c r="AE929" s="86"/>
    </row>
    <row r="930" spans="1:31">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c r="AA930" s="86"/>
      <c r="AB930" s="86"/>
      <c r="AC930" s="86"/>
      <c r="AD930" s="86"/>
      <c r="AE930" s="86"/>
    </row>
    <row r="931" spans="1:31">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c r="AA931" s="86"/>
      <c r="AB931" s="86"/>
      <c r="AC931" s="86"/>
      <c r="AD931" s="86"/>
      <c r="AE931" s="86"/>
    </row>
    <row r="932" spans="1:31">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c r="AA932" s="86"/>
      <c r="AB932" s="86"/>
      <c r="AC932" s="86"/>
      <c r="AD932" s="86"/>
      <c r="AE932" s="86"/>
    </row>
    <row r="933" spans="1:31">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c r="AA933" s="86"/>
      <c r="AB933" s="86"/>
      <c r="AC933" s="86"/>
      <c r="AD933" s="86"/>
      <c r="AE933" s="86"/>
    </row>
    <row r="934" spans="1:31">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c r="AA934" s="86"/>
      <c r="AB934" s="86"/>
      <c r="AC934" s="86"/>
      <c r="AD934" s="86"/>
      <c r="AE934" s="86"/>
    </row>
    <row r="935" spans="1:31">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c r="AA935" s="86"/>
      <c r="AB935" s="86"/>
      <c r="AC935" s="86"/>
      <c r="AD935" s="86"/>
      <c r="AE935" s="86"/>
    </row>
    <row r="936" spans="1:31">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c r="AA936" s="86"/>
      <c r="AB936" s="86"/>
      <c r="AC936" s="86"/>
      <c r="AD936" s="86"/>
      <c r="AE936" s="86"/>
    </row>
    <row r="937" spans="1:31">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c r="AA937" s="86"/>
      <c r="AB937" s="86"/>
      <c r="AC937" s="86"/>
      <c r="AD937" s="86"/>
      <c r="AE937" s="86"/>
    </row>
    <row r="938" spans="1:31">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c r="AA938" s="86"/>
      <c r="AB938" s="86"/>
      <c r="AC938" s="86"/>
      <c r="AD938" s="86"/>
      <c r="AE938" s="86"/>
    </row>
    <row r="939" spans="1:31">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c r="AA939" s="86"/>
      <c r="AB939" s="86"/>
      <c r="AC939" s="86"/>
      <c r="AD939" s="86"/>
      <c r="AE939" s="86"/>
    </row>
    <row r="940" spans="1:31">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c r="AA940" s="86"/>
      <c r="AB940" s="86"/>
      <c r="AC940" s="86"/>
      <c r="AD940" s="86"/>
      <c r="AE940" s="86"/>
    </row>
    <row r="941" spans="1:31">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c r="AA941" s="86"/>
      <c r="AB941" s="86"/>
      <c r="AC941" s="86"/>
      <c r="AD941" s="86"/>
      <c r="AE941" s="86"/>
    </row>
    <row r="942" spans="1:31">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c r="AA942" s="86"/>
      <c r="AB942" s="86"/>
      <c r="AC942" s="86"/>
      <c r="AD942" s="86"/>
      <c r="AE942" s="86"/>
    </row>
    <row r="943" spans="1:31">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c r="AA943" s="86"/>
      <c r="AB943" s="86"/>
      <c r="AC943" s="86"/>
      <c r="AD943" s="86"/>
      <c r="AE943" s="86"/>
    </row>
    <row r="944" spans="1:31">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c r="AA944" s="86"/>
      <c r="AB944" s="86"/>
      <c r="AC944" s="86"/>
      <c r="AD944" s="86"/>
      <c r="AE944" s="86"/>
    </row>
    <row r="945" spans="1:31">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c r="AA945" s="86"/>
      <c r="AB945" s="86"/>
      <c r="AC945" s="86"/>
      <c r="AD945" s="86"/>
      <c r="AE945" s="86"/>
    </row>
    <row r="946" spans="1:31">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c r="AA946" s="86"/>
      <c r="AB946" s="86"/>
      <c r="AC946" s="86"/>
      <c r="AD946" s="86"/>
      <c r="AE946" s="86"/>
    </row>
    <row r="947" spans="1:31">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6"/>
      <c r="AA947" s="86"/>
      <c r="AB947" s="86"/>
      <c r="AC947" s="86"/>
      <c r="AD947" s="86"/>
      <c r="AE947" s="86"/>
    </row>
    <row r="948" spans="1:31">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c r="AA948" s="86"/>
      <c r="AB948" s="86"/>
      <c r="AC948" s="86"/>
      <c r="AD948" s="86"/>
      <c r="AE948" s="86"/>
    </row>
    <row r="949" spans="1:31">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6"/>
      <c r="AA949" s="86"/>
      <c r="AB949" s="86"/>
      <c r="AC949" s="86"/>
      <c r="AD949" s="86"/>
      <c r="AE949" s="86"/>
    </row>
    <row r="950" spans="1:31">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c r="AA950" s="86"/>
      <c r="AB950" s="86"/>
      <c r="AC950" s="86"/>
      <c r="AD950" s="86"/>
      <c r="AE950" s="86"/>
    </row>
    <row r="951" spans="1:31">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6"/>
      <c r="AA951" s="86"/>
      <c r="AB951" s="86"/>
      <c r="AC951" s="86"/>
      <c r="AD951" s="86"/>
      <c r="AE951" s="86"/>
    </row>
    <row r="952" spans="1:31">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c r="AA952" s="86"/>
      <c r="AB952" s="86"/>
      <c r="AC952" s="86"/>
      <c r="AD952" s="86"/>
      <c r="AE952" s="86"/>
    </row>
    <row r="953" spans="1:31">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6"/>
      <c r="AA953" s="86"/>
      <c r="AB953" s="86"/>
      <c r="AC953" s="86"/>
      <c r="AD953" s="86"/>
      <c r="AE953" s="86"/>
    </row>
    <row r="954" spans="1:31">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c r="AA954" s="86"/>
      <c r="AB954" s="86"/>
      <c r="AC954" s="86"/>
      <c r="AD954" s="86"/>
      <c r="AE954" s="86"/>
    </row>
    <row r="955" spans="1:31">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6"/>
      <c r="AA955" s="86"/>
      <c r="AB955" s="86"/>
      <c r="AC955" s="86"/>
      <c r="AD955" s="86"/>
      <c r="AE955" s="86"/>
    </row>
    <row r="956" spans="1:31">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c r="AA956" s="86"/>
      <c r="AB956" s="86"/>
      <c r="AC956" s="86"/>
      <c r="AD956" s="86"/>
      <c r="AE956" s="86"/>
    </row>
    <row r="957" spans="1:31">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6"/>
      <c r="AA957" s="86"/>
      <c r="AB957" s="86"/>
      <c r="AC957" s="86"/>
      <c r="AD957" s="86"/>
      <c r="AE957" s="86"/>
    </row>
    <row r="958" spans="1:31">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c r="AA958" s="86"/>
      <c r="AB958" s="86"/>
      <c r="AC958" s="86"/>
      <c r="AD958" s="86"/>
      <c r="AE958" s="86"/>
    </row>
    <row r="959" spans="1:31">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6"/>
      <c r="AA959" s="86"/>
      <c r="AB959" s="86"/>
      <c r="AC959" s="86"/>
      <c r="AD959" s="86"/>
      <c r="AE959" s="86"/>
    </row>
    <row r="960" spans="1:31">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c r="AA960" s="86"/>
      <c r="AB960" s="86"/>
      <c r="AC960" s="86"/>
      <c r="AD960" s="86"/>
      <c r="AE960" s="86"/>
    </row>
    <row r="961" spans="1:31">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6"/>
      <c r="AA961" s="86"/>
      <c r="AB961" s="86"/>
      <c r="AC961" s="86"/>
      <c r="AD961" s="86"/>
      <c r="AE961" s="86"/>
    </row>
    <row r="962" spans="1:31">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c r="AA962" s="86"/>
      <c r="AB962" s="86"/>
      <c r="AC962" s="86"/>
      <c r="AD962" s="86"/>
      <c r="AE962" s="86"/>
    </row>
    <row r="963" spans="1:31">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6"/>
      <c r="AA963" s="86"/>
      <c r="AB963" s="86"/>
      <c r="AC963" s="86"/>
      <c r="AD963" s="86"/>
      <c r="AE963" s="86"/>
    </row>
    <row r="964" spans="1:31">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c r="AA964" s="86"/>
      <c r="AB964" s="86"/>
      <c r="AC964" s="86"/>
      <c r="AD964" s="86"/>
      <c r="AE964" s="86"/>
    </row>
    <row r="965" spans="1:31">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6"/>
      <c r="AA965" s="86"/>
      <c r="AB965" s="86"/>
      <c r="AC965" s="86"/>
      <c r="AD965" s="86"/>
      <c r="AE965" s="86"/>
    </row>
    <row r="966" spans="1:31">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c r="AA966" s="86"/>
      <c r="AB966" s="86"/>
      <c r="AC966" s="86"/>
      <c r="AD966" s="86"/>
      <c r="AE966" s="86"/>
    </row>
    <row r="967" spans="1:31">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6"/>
      <c r="AA967" s="86"/>
      <c r="AB967" s="86"/>
      <c r="AC967" s="86"/>
      <c r="AD967" s="86"/>
      <c r="AE967" s="86"/>
    </row>
    <row r="968" spans="1:31">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c r="AA968" s="86"/>
      <c r="AB968" s="86"/>
      <c r="AC968" s="86"/>
      <c r="AD968" s="86"/>
      <c r="AE968" s="86"/>
    </row>
    <row r="969" spans="1:31">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6"/>
      <c r="AA969" s="86"/>
      <c r="AB969" s="86"/>
      <c r="AC969" s="86"/>
      <c r="AD969" s="86"/>
      <c r="AE969" s="86"/>
    </row>
    <row r="970" spans="1:31">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c r="AA970" s="86"/>
      <c r="AB970" s="86"/>
      <c r="AC970" s="86"/>
      <c r="AD970" s="86"/>
      <c r="AE970" s="86"/>
    </row>
    <row r="971" spans="1:31">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6"/>
      <c r="AA971" s="86"/>
      <c r="AB971" s="86"/>
      <c r="AC971" s="86"/>
      <c r="AD971" s="86"/>
      <c r="AE971" s="86"/>
    </row>
    <row r="972" spans="1:31">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c r="AA972" s="86"/>
      <c r="AB972" s="86"/>
      <c r="AC972" s="86"/>
      <c r="AD972" s="86"/>
      <c r="AE972" s="86"/>
    </row>
    <row r="973" spans="1:31">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6"/>
      <c r="AA973" s="86"/>
      <c r="AB973" s="86"/>
      <c r="AC973" s="86"/>
      <c r="AD973" s="86"/>
      <c r="AE973" s="86"/>
    </row>
    <row r="974" spans="1:31">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c r="AA974" s="86"/>
      <c r="AB974" s="86"/>
      <c r="AC974" s="86"/>
      <c r="AD974" s="86"/>
      <c r="AE974" s="86"/>
    </row>
    <row r="975" spans="1:31">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6"/>
      <c r="AA975" s="86"/>
      <c r="AB975" s="86"/>
      <c r="AC975" s="86"/>
      <c r="AD975" s="86"/>
      <c r="AE975" s="86"/>
    </row>
    <row r="976" spans="1:31">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c r="AA976" s="86"/>
      <c r="AB976" s="86"/>
      <c r="AC976" s="86"/>
      <c r="AD976" s="86"/>
      <c r="AE976" s="86"/>
    </row>
    <row r="977" spans="1:31">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6"/>
      <c r="AA977" s="86"/>
      <c r="AB977" s="86"/>
      <c r="AC977" s="86"/>
      <c r="AD977" s="86"/>
      <c r="AE977" s="86"/>
    </row>
    <row r="978" spans="1:31">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c r="AA978" s="86"/>
      <c r="AB978" s="86"/>
      <c r="AC978" s="86"/>
      <c r="AD978" s="86"/>
      <c r="AE978" s="86"/>
    </row>
    <row r="979" spans="1:31">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6"/>
      <c r="AA979" s="86"/>
      <c r="AB979" s="86"/>
      <c r="AC979" s="86"/>
      <c r="AD979" s="86"/>
      <c r="AE979" s="86"/>
    </row>
    <row r="980" spans="1:31">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c r="AA980" s="86"/>
      <c r="AB980" s="86"/>
      <c r="AC980" s="86"/>
      <c r="AD980" s="86"/>
      <c r="AE980" s="86"/>
    </row>
    <row r="981" spans="1:31">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6"/>
      <c r="AA981" s="86"/>
      <c r="AB981" s="86"/>
      <c r="AC981" s="86"/>
      <c r="AD981" s="86"/>
      <c r="AE981" s="86"/>
    </row>
    <row r="982" spans="1:31">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c r="AA982" s="86"/>
      <c r="AB982" s="86"/>
      <c r="AC982" s="86"/>
      <c r="AD982" s="86"/>
      <c r="AE982" s="86"/>
    </row>
    <row r="983" spans="1:31">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6"/>
      <c r="AA983" s="86"/>
      <c r="AB983" s="86"/>
      <c r="AC983" s="86"/>
      <c r="AD983" s="86"/>
      <c r="AE983" s="86"/>
    </row>
    <row r="984" spans="1:31">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c r="AA984" s="86"/>
      <c r="AB984" s="86"/>
      <c r="AC984" s="86"/>
      <c r="AD984" s="86"/>
      <c r="AE984" s="86"/>
    </row>
    <row r="985" spans="1:31">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6"/>
      <c r="AA985" s="86"/>
      <c r="AB985" s="86"/>
      <c r="AC985" s="86"/>
      <c r="AD985" s="86"/>
      <c r="AE985" s="86"/>
    </row>
    <row r="986" spans="1:31">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c r="AA986" s="86"/>
      <c r="AB986" s="86"/>
      <c r="AC986" s="86"/>
      <c r="AD986" s="86"/>
      <c r="AE986" s="86"/>
    </row>
    <row r="987" spans="1:31">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6"/>
      <c r="AA987" s="86"/>
      <c r="AB987" s="86"/>
      <c r="AC987" s="86"/>
      <c r="AD987" s="86"/>
      <c r="AE987" s="86"/>
    </row>
    <row r="988" spans="1:31">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c r="AA988" s="86"/>
      <c r="AB988" s="86"/>
      <c r="AC988" s="86"/>
      <c r="AD988" s="86"/>
      <c r="AE988" s="86"/>
    </row>
    <row r="989" spans="1:31">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6"/>
      <c r="AA989" s="86"/>
      <c r="AB989" s="86"/>
      <c r="AC989" s="86"/>
      <c r="AD989" s="86"/>
      <c r="AE989" s="86"/>
    </row>
    <row r="990" spans="1:31">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c r="AA990" s="86"/>
      <c r="AB990" s="86"/>
      <c r="AC990" s="86"/>
      <c r="AD990" s="86"/>
      <c r="AE990" s="86"/>
    </row>
    <row r="991" spans="1:31">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6"/>
      <c r="AA991" s="86"/>
      <c r="AB991" s="86"/>
      <c r="AC991" s="86"/>
      <c r="AD991" s="86"/>
      <c r="AE991" s="86"/>
    </row>
    <row r="992" spans="1:31">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c r="AA992" s="86"/>
      <c r="AB992" s="86"/>
      <c r="AC992" s="86"/>
      <c r="AD992" s="86"/>
      <c r="AE992" s="86"/>
    </row>
    <row r="993" spans="1:31">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6"/>
      <c r="AA993" s="86"/>
      <c r="AB993" s="86"/>
      <c r="AC993" s="86"/>
      <c r="AD993" s="86"/>
      <c r="AE993" s="86"/>
    </row>
    <row r="994" spans="1:31">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c r="AA994" s="86"/>
      <c r="AB994" s="86"/>
      <c r="AC994" s="86"/>
      <c r="AD994" s="86"/>
      <c r="AE994" s="86"/>
    </row>
    <row r="995" spans="1:31">
      <c r="A995" s="86"/>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86"/>
      <c r="AA995" s="86"/>
      <c r="AB995" s="86"/>
      <c r="AC995" s="86"/>
      <c r="AD995" s="86"/>
      <c r="AE995" s="86"/>
    </row>
    <row r="996" spans="1:31">
      <c r="A996" s="86"/>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c r="AA996" s="86"/>
      <c r="AB996" s="86"/>
      <c r="AC996" s="86"/>
      <c r="AD996" s="86"/>
      <c r="AE996" s="86"/>
    </row>
    <row r="997" spans="1:31">
      <c r="A997" s="86"/>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86"/>
      <c r="AA997" s="86"/>
      <c r="AB997" s="86"/>
      <c r="AC997" s="86"/>
      <c r="AD997" s="86"/>
      <c r="AE997" s="86"/>
    </row>
    <row r="998" spans="1:31">
      <c r="A998" s="86"/>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c r="AA998" s="86"/>
      <c r="AB998" s="86"/>
      <c r="AC998" s="86"/>
      <c r="AD998" s="86"/>
      <c r="AE998" s="86"/>
    </row>
    <row r="999" spans="1:31">
      <c r="A999" s="86"/>
      <c r="B999" s="86"/>
      <c r="C999" s="86"/>
      <c r="D999" s="86"/>
      <c r="E999" s="86"/>
      <c r="F999" s="86"/>
      <c r="G999" s="86"/>
      <c r="H999" s="86"/>
      <c r="I999" s="86"/>
      <c r="J999" s="86"/>
      <c r="K999" s="86"/>
      <c r="L999" s="86"/>
      <c r="M999" s="86"/>
      <c r="N999" s="86"/>
      <c r="O999" s="86"/>
      <c r="P999" s="86"/>
      <c r="Q999" s="86"/>
      <c r="R999" s="86"/>
      <c r="S999" s="86"/>
      <c r="T999" s="86"/>
      <c r="U999" s="86"/>
      <c r="V999" s="86"/>
      <c r="W999" s="86"/>
      <c r="X999" s="86"/>
      <c r="Y999" s="86"/>
      <c r="Z999" s="86"/>
      <c r="AA999" s="86"/>
      <c r="AB999" s="86"/>
      <c r="AC999" s="86"/>
      <c r="AD999" s="86"/>
      <c r="AE999" s="86"/>
    </row>
    <row r="1000" spans="1:31">
      <c r="A1000" s="86"/>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6"/>
      <c r="AA1000" s="86"/>
      <c r="AB1000" s="86"/>
      <c r="AC1000" s="86"/>
      <c r="AD1000" s="86"/>
      <c r="AE1000" s="86"/>
    </row>
    <row r="1001" spans="1:31">
      <c r="A1001" s="86"/>
      <c r="B1001" s="86"/>
      <c r="C1001" s="86"/>
      <c r="D1001" s="86"/>
      <c r="E1001" s="86"/>
      <c r="F1001" s="86"/>
      <c r="G1001" s="86"/>
      <c r="H1001" s="86"/>
      <c r="I1001" s="86"/>
      <c r="J1001" s="86"/>
      <c r="K1001" s="86"/>
      <c r="L1001" s="86"/>
      <c r="M1001" s="86"/>
      <c r="N1001" s="86"/>
      <c r="O1001" s="86"/>
      <c r="P1001" s="86"/>
      <c r="Q1001" s="86"/>
      <c r="R1001" s="86"/>
      <c r="S1001" s="86"/>
      <c r="T1001" s="86"/>
      <c r="U1001" s="86"/>
      <c r="V1001" s="86"/>
      <c r="W1001" s="86"/>
      <c r="X1001" s="86"/>
      <c r="Y1001" s="86"/>
      <c r="Z1001" s="86"/>
      <c r="AA1001" s="86"/>
      <c r="AB1001" s="86"/>
      <c r="AC1001" s="86"/>
      <c r="AD1001" s="86"/>
      <c r="AE1001" s="86"/>
    </row>
    <row r="1002" spans="1:31">
      <c r="A1002" s="86"/>
      <c r="B1002" s="86"/>
      <c r="C1002" s="86"/>
      <c r="D1002" s="86"/>
      <c r="E1002" s="86"/>
      <c r="F1002" s="86"/>
      <c r="G1002" s="86"/>
      <c r="H1002" s="86"/>
      <c r="I1002" s="86"/>
      <c r="J1002" s="86"/>
      <c r="K1002" s="86"/>
      <c r="L1002" s="86"/>
      <c r="M1002" s="86"/>
      <c r="N1002" s="86"/>
      <c r="O1002" s="86"/>
      <c r="P1002" s="86"/>
      <c r="Q1002" s="86"/>
      <c r="R1002" s="86"/>
      <c r="S1002" s="86"/>
      <c r="T1002" s="86"/>
      <c r="U1002" s="86"/>
      <c r="V1002" s="86"/>
      <c r="W1002" s="86"/>
      <c r="X1002" s="86"/>
      <c r="Y1002" s="86"/>
      <c r="Z1002" s="86"/>
      <c r="AA1002" s="86"/>
      <c r="AB1002" s="86"/>
      <c r="AC1002" s="86"/>
      <c r="AD1002" s="86"/>
      <c r="AE1002" s="86"/>
    </row>
    <row r="1003" spans="1:31">
      <c r="A1003" s="86"/>
      <c r="B1003" s="86"/>
      <c r="C1003" s="86"/>
      <c r="D1003" s="86"/>
      <c r="E1003" s="86"/>
      <c r="F1003" s="86"/>
      <c r="G1003" s="86"/>
      <c r="H1003" s="86"/>
      <c r="I1003" s="86"/>
      <c r="J1003" s="86"/>
      <c r="K1003" s="86"/>
      <c r="L1003" s="86"/>
      <c r="M1003" s="86"/>
      <c r="N1003" s="86"/>
      <c r="O1003" s="86"/>
      <c r="P1003" s="86"/>
      <c r="Q1003" s="86"/>
      <c r="R1003" s="86"/>
      <c r="S1003" s="86"/>
      <c r="T1003" s="86"/>
      <c r="U1003" s="86"/>
      <c r="V1003" s="86"/>
      <c r="W1003" s="86"/>
      <c r="X1003" s="86"/>
      <c r="Y1003" s="86"/>
      <c r="Z1003" s="86"/>
      <c r="AA1003" s="86"/>
      <c r="AB1003" s="86"/>
      <c r="AC1003" s="86"/>
      <c r="AD1003" s="86"/>
      <c r="AE1003" s="86"/>
    </row>
    <row r="1004" spans="1:31">
      <c r="A1004" s="86"/>
      <c r="B1004" s="86"/>
      <c r="C1004" s="86"/>
      <c r="D1004" s="86"/>
      <c r="E1004" s="86"/>
      <c r="F1004" s="86"/>
      <c r="G1004" s="86"/>
      <c r="H1004" s="86"/>
      <c r="I1004" s="86"/>
      <c r="J1004" s="86"/>
      <c r="K1004" s="86"/>
      <c r="L1004" s="86"/>
      <c r="M1004" s="86"/>
      <c r="N1004" s="86"/>
      <c r="O1004" s="86"/>
      <c r="P1004" s="86"/>
      <c r="Q1004" s="86"/>
      <c r="R1004" s="86"/>
      <c r="S1004" s="86"/>
      <c r="T1004" s="86"/>
      <c r="U1004" s="86"/>
      <c r="V1004" s="86"/>
      <c r="W1004" s="86"/>
      <c r="X1004" s="86"/>
      <c r="Y1004" s="86"/>
      <c r="Z1004" s="86"/>
      <c r="AA1004" s="86"/>
      <c r="AB1004" s="86"/>
      <c r="AC1004" s="86"/>
      <c r="AD1004" s="86"/>
      <c r="AE1004" s="86"/>
    </row>
    <row r="1005" spans="1:31">
      <c r="A1005" s="86"/>
      <c r="B1005" s="86"/>
      <c r="C1005" s="86"/>
      <c r="D1005" s="86"/>
      <c r="E1005" s="86"/>
      <c r="F1005" s="86"/>
      <c r="G1005" s="86"/>
      <c r="H1005" s="86"/>
      <c r="I1005" s="86"/>
      <c r="J1005" s="86"/>
      <c r="K1005" s="86"/>
      <c r="L1005" s="86"/>
      <c r="M1005" s="86"/>
      <c r="N1005" s="86"/>
      <c r="O1005" s="86"/>
      <c r="P1005" s="86"/>
      <c r="Q1005" s="86"/>
      <c r="R1005" s="86"/>
      <c r="S1005" s="86"/>
      <c r="T1005" s="86"/>
      <c r="U1005" s="86"/>
      <c r="V1005" s="86"/>
      <c r="W1005" s="86"/>
      <c r="X1005" s="86"/>
      <c r="Y1005" s="86"/>
      <c r="Z1005" s="86"/>
      <c r="AA1005" s="86"/>
      <c r="AB1005" s="86"/>
      <c r="AC1005" s="86"/>
      <c r="AD1005" s="86"/>
      <c r="AE1005" s="86"/>
    </row>
    <row r="1006" spans="1:31">
      <c r="A1006" s="86"/>
      <c r="B1006" s="86"/>
      <c r="C1006" s="86"/>
      <c r="D1006" s="86"/>
      <c r="E1006" s="86"/>
      <c r="F1006" s="86"/>
      <c r="G1006" s="86"/>
      <c r="H1006" s="86"/>
      <c r="I1006" s="86"/>
      <c r="J1006" s="86"/>
      <c r="K1006" s="86"/>
      <c r="L1006" s="86"/>
      <c r="M1006" s="86"/>
      <c r="N1006" s="86"/>
      <c r="O1006" s="86"/>
      <c r="P1006" s="86"/>
      <c r="Q1006" s="86"/>
      <c r="R1006" s="86"/>
      <c r="S1006" s="86"/>
      <c r="T1006" s="86"/>
      <c r="U1006" s="86"/>
      <c r="V1006" s="86"/>
      <c r="W1006" s="86"/>
      <c r="X1006" s="86"/>
      <c r="Y1006" s="86"/>
      <c r="Z1006" s="86"/>
      <c r="AA1006" s="86"/>
      <c r="AB1006" s="86"/>
      <c r="AC1006" s="86"/>
      <c r="AD1006" s="86"/>
      <c r="AE1006" s="86"/>
    </row>
    <row r="1007" spans="1:31">
      <c r="A1007" s="86"/>
      <c r="B1007" s="86"/>
      <c r="C1007" s="86"/>
      <c r="D1007" s="86"/>
      <c r="E1007" s="86"/>
      <c r="F1007" s="86"/>
      <c r="G1007" s="86"/>
      <c r="H1007" s="86"/>
      <c r="I1007" s="86"/>
      <c r="J1007" s="86"/>
      <c r="K1007" s="86"/>
      <c r="L1007" s="86"/>
      <c r="M1007" s="86"/>
      <c r="N1007" s="86"/>
      <c r="O1007" s="86"/>
      <c r="P1007" s="86"/>
      <c r="Q1007" s="86"/>
      <c r="R1007" s="86"/>
      <c r="S1007" s="86"/>
      <c r="T1007" s="86"/>
      <c r="U1007" s="86"/>
      <c r="V1007" s="86"/>
      <c r="W1007" s="86"/>
      <c r="X1007" s="86"/>
      <c r="Y1007" s="86"/>
      <c r="Z1007" s="86"/>
      <c r="AA1007" s="86"/>
      <c r="AB1007" s="86"/>
      <c r="AC1007" s="86"/>
      <c r="AD1007" s="86"/>
      <c r="AE1007" s="86"/>
    </row>
    <row r="1008" spans="1:31">
      <c r="A1008" s="86"/>
      <c r="B1008" s="86"/>
      <c r="C1008" s="86"/>
      <c r="D1008" s="86"/>
      <c r="E1008" s="86"/>
      <c r="F1008" s="86"/>
      <c r="G1008" s="86"/>
      <c r="H1008" s="86"/>
      <c r="I1008" s="86"/>
      <c r="J1008" s="86"/>
      <c r="K1008" s="86"/>
      <c r="L1008" s="86"/>
      <c r="M1008" s="86"/>
      <c r="N1008" s="86"/>
      <c r="O1008" s="86"/>
      <c r="P1008" s="86"/>
      <c r="Q1008" s="86"/>
      <c r="R1008" s="86"/>
      <c r="S1008" s="86"/>
      <c r="T1008" s="86"/>
      <c r="U1008" s="86"/>
      <c r="V1008" s="86"/>
      <c r="W1008" s="86"/>
      <c r="X1008" s="86"/>
      <c r="Y1008" s="86"/>
      <c r="Z1008" s="86"/>
      <c r="AA1008" s="86"/>
      <c r="AB1008" s="86"/>
      <c r="AC1008" s="86"/>
      <c r="AD1008" s="86"/>
      <c r="AE1008" s="86"/>
    </row>
    <row r="1009" spans="1:31">
      <c r="A1009" s="86"/>
      <c r="B1009" s="86"/>
      <c r="C1009" s="86"/>
      <c r="D1009" s="86"/>
      <c r="E1009" s="86"/>
      <c r="F1009" s="86"/>
      <c r="G1009" s="86"/>
      <c r="H1009" s="86"/>
      <c r="I1009" s="86"/>
      <c r="J1009" s="86"/>
      <c r="K1009" s="86"/>
      <c r="L1009" s="86"/>
      <c r="M1009" s="86"/>
      <c r="N1009" s="86"/>
      <c r="O1009" s="86"/>
      <c r="P1009" s="86"/>
      <c r="Q1009" s="86"/>
      <c r="R1009" s="86"/>
      <c r="S1009" s="86"/>
      <c r="T1009" s="86"/>
      <c r="U1009" s="86"/>
      <c r="V1009" s="86"/>
      <c r="W1009" s="86"/>
      <c r="X1009" s="86"/>
      <c r="Y1009" s="86"/>
      <c r="Z1009" s="86"/>
      <c r="AA1009" s="86"/>
      <c r="AB1009" s="86"/>
      <c r="AC1009" s="86"/>
      <c r="AD1009" s="86"/>
      <c r="AE1009" s="86"/>
    </row>
    <row r="1010" spans="1:31">
      <c r="A1010" s="86"/>
      <c r="B1010" s="86"/>
      <c r="C1010" s="86"/>
      <c r="D1010" s="86"/>
      <c r="E1010" s="86"/>
      <c r="F1010" s="86"/>
      <c r="G1010" s="86"/>
      <c r="H1010" s="86"/>
      <c r="I1010" s="86"/>
      <c r="J1010" s="86"/>
      <c r="K1010" s="86"/>
      <c r="L1010" s="86"/>
      <c r="M1010" s="86"/>
      <c r="N1010" s="86"/>
      <c r="O1010" s="86"/>
      <c r="P1010" s="86"/>
      <c r="Q1010" s="86"/>
      <c r="R1010" s="86"/>
      <c r="S1010" s="86"/>
      <c r="T1010" s="86"/>
      <c r="U1010" s="86"/>
      <c r="V1010" s="86"/>
      <c r="W1010" s="86"/>
      <c r="X1010" s="86"/>
      <c r="Y1010" s="86"/>
      <c r="Z1010" s="86"/>
      <c r="AA1010" s="86"/>
      <c r="AB1010" s="86"/>
      <c r="AC1010" s="86"/>
      <c r="AD1010" s="86"/>
      <c r="AE1010" s="86"/>
    </row>
    <row r="1011" spans="1:31">
      <c r="A1011" s="86"/>
      <c r="B1011" s="86"/>
      <c r="C1011" s="86"/>
      <c r="D1011" s="86"/>
      <c r="E1011" s="86"/>
      <c r="F1011" s="86"/>
      <c r="G1011" s="86"/>
      <c r="H1011" s="86"/>
      <c r="I1011" s="86"/>
      <c r="J1011" s="86"/>
      <c r="K1011" s="86"/>
      <c r="L1011" s="86"/>
      <c r="M1011" s="86"/>
      <c r="N1011" s="86"/>
      <c r="O1011" s="86"/>
      <c r="P1011" s="86"/>
      <c r="Q1011" s="86"/>
      <c r="R1011" s="86"/>
      <c r="S1011" s="86"/>
      <c r="T1011" s="86"/>
      <c r="U1011" s="86"/>
      <c r="V1011" s="86"/>
      <c r="W1011" s="86"/>
      <c r="X1011" s="86"/>
      <c r="Y1011" s="86"/>
      <c r="Z1011" s="86"/>
      <c r="AA1011" s="86"/>
      <c r="AB1011" s="86"/>
      <c r="AC1011" s="86"/>
      <c r="AD1011" s="86"/>
      <c r="AE1011" s="86"/>
    </row>
    <row r="1012" spans="1:31">
      <c r="A1012" s="86"/>
      <c r="B1012" s="86"/>
      <c r="C1012" s="86"/>
      <c r="D1012" s="86"/>
      <c r="E1012" s="86"/>
      <c r="F1012" s="86"/>
      <c r="G1012" s="86"/>
      <c r="H1012" s="86"/>
      <c r="I1012" s="86"/>
      <c r="J1012" s="86"/>
      <c r="K1012" s="86"/>
      <c r="L1012" s="86"/>
      <c r="M1012" s="86"/>
      <c r="N1012" s="86"/>
      <c r="O1012" s="86"/>
      <c r="P1012" s="86"/>
      <c r="Q1012" s="86"/>
      <c r="R1012" s="86"/>
      <c r="S1012" s="86"/>
      <c r="T1012" s="86"/>
      <c r="U1012" s="86"/>
      <c r="V1012" s="86"/>
      <c r="W1012" s="86"/>
      <c r="X1012" s="86"/>
      <c r="Y1012" s="86"/>
      <c r="Z1012" s="86"/>
      <c r="AA1012" s="86"/>
      <c r="AB1012" s="86"/>
      <c r="AC1012" s="86"/>
      <c r="AD1012" s="86"/>
      <c r="AE1012" s="86"/>
    </row>
    <row r="1013" spans="1:31">
      <c r="A1013" s="86"/>
      <c r="B1013" s="86"/>
      <c r="C1013" s="86"/>
      <c r="D1013" s="86"/>
      <c r="E1013" s="86"/>
      <c r="F1013" s="86"/>
      <c r="G1013" s="86"/>
      <c r="H1013" s="86"/>
      <c r="I1013" s="86"/>
      <c r="J1013" s="86"/>
      <c r="K1013" s="86"/>
      <c r="L1013" s="86"/>
      <c r="M1013" s="86"/>
      <c r="N1013" s="86"/>
      <c r="O1013" s="86"/>
      <c r="P1013" s="86"/>
      <c r="Q1013" s="86"/>
      <c r="R1013" s="86"/>
      <c r="S1013" s="86"/>
      <c r="T1013" s="86"/>
      <c r="U1013" s="86"/>
      <c r="V1013" s="86"/>
      <c r="W1013" s="86"/>
      <c r="X1013" s="86"/>
      <c r="Y1013" s="86"/>
      <c r="Z1013" s="86"/>
      <c r="AA1013" s="86"/>
      <c r="AB1013" s="86"/>
      <c r="AC1013" s="86"/>
      <c r="AD1013" s="86"/>
      <c r="AE1013" s="86"/>
    </row>
    <row r="1014" spans="1:31">
      <c r="A1014" s="86"/>
      <c r="B1014" s="86"/>
      <c r="C1014" s="86"/>
      <c r="D1014" s="86"/>
      <c r="E1014" s="86"/>
      <c r="F1014" s="86"/>
      <c r="G1014" s="86"/>
      <c r="H1014" s="86"/>
      <c r="I1014" s="86"/>
      <c r="J1014" s="86"/>
      <c r="K1014" s="86"/>
      <c r="L1014" s="86"/>
      <c r="M1014" s="86"/>
      <c r="N1014" s="86"/>
      <c r="O1014" s="86"/>
      <c r="P1014" s="86"/>
      <c r="Q1014" s="86"/>
      <c r="R1014" s="86"/>
      <c r="S1014" s="86"/>
      <c r="T1014" s="86"/>
      <c r="U1014" s="86"/>
      <c r="V1014" s="86"/>
      <c r="W1014" s="86"/>
      <c r="X1014" s="86"/>
      <c r="Y1014" s="86"/>
      <c r="Z1014" s="86"/>
      <c r="AA1014" s="86"/>
      <c r="AB1014" s="86"/>
      <c r="AC1014" s="86"/>
      <c r="AD1014" s="86"/>
      <c r="AE1014" s="86"/>
    </row>
    <row r="1015" spans="1:31">
      <c r="A1015" s="86"/>
      <c r="B1015" s="86"/>
      <c r="C1015" s="86"/>
      <c r="D1015" s="86"/>
      <c r="E1015" s="86"/>
      <c r="F1015" s="86"/>
      <c r="G1015" s="86"/>
      <c r="H1015" s="86"/>
      <c r="I1015" s="86"/>
      <c r="J1015" s="86"/>
      <c r="K1015" s="86"/>
      <c r="L1015" s="86"/>
      <c r="M1015" s="86"/>
      <c r="N1015" s="86"/>
      <c r="O1015" s="86"/>
      <c r="P1015" s="86"/>
      <c r="Q1015" s="86"/>
      <c r="R1015" s="86"/>
      <c r="S1015" s="86"/>
      <c r="T1015" s="86"/>
      <c r="U1015" s="86"/>
      <c r="V1015" s="86"/>
      <c r="W1015" s="86"/>
      <c r="X1015" s="86"/>
      <c r="Y1015" s="86"/>
      <c r="Z1015" s="86"/>
      <c r="AA1015" s="86"/>
      <c r="AB1015" s="86"/>
      <c r="AC1015" s="86"/>
      <c r="AD1015" s="86"/>
      <c r="AE1015" s="86"/>
    </row>
    <row r="1016" spans="1:31">
      <c r="A1016" s="86"/>
      <c r="B1016" s="86"/>
      <c r="C1016" s="86"/>
      <c r="D1016" s="86"/>
      <c r="E1016" s="86"/>
      <c r="F1016" s="86"/>
      <c r="G1016" s="86"/>
      <c r="H1016" s="86"/>
      <c r="I1016" s="86"/>
      <c r="J1016" s="86"/>
      <c r="K1016" s="86"/>
      <c r="L1016" s="86"/>
      <c r="M1016" s="86"/>
      <c r="N1016" s="86"/>
      <c r="O1016" s="86"/>
      <c r="P1016" s="86"/>
      <c r="Q1016" s="86"/>
      <c r="R1016" s="86"/>
      <c r="S1016" s="86"/>
      <c r="T1016" s="86"/>
      <c r="U1016" s="86"/>
      <c r="V1016" s="86"/>
      <c r="W1016" s="86"/>
      <c r="X1016" s="86"/>
      <c r="Y1016" s="86"/>
      <c r="Z1016" s="86"/>
      <c r="AA1016" s="86"/>
      <c r="AB1016" s="86"/>
      <c r="AC1016" s="86"/>
      <c r="AD1016" s="86"/>
      <c r="AE1016" s="86"/>
    </row>
    <row r="1017" spans="1:31">
      <c r="A1017" s="86"/>
      <c r="B1017" s="86"/>
      <c r="C1017" s="86"/>
      <c r="D1017" s="86"/>
      <c r="E1017" s="86"/>
      <c r="F1017" s="86"/>
      <c r="G1017" s="86"/>
      <c r="H1017" s="86"/>
      <c r="I1017" s="86"/>
      <c r="J1017" s="86"/>
      <c r="K1017" s="86"/>
      <c r="L1017" s="86"/>
      <c r="M1017" s="86"/>
      <c r="N1017" s="86"/>
      <c r="O1017" s="86"/>
      <c r="P1017" s="86"/>
      <c r="Q1017" s="86"/>
      <c r="R1017" s="86"/>
      <c r="S1017" s="86"/>
      <c r="T1017" s="86"/>
      <c r="U1017" s="86"/>
      <c r="V1017" s="86"/>
      <c r="W1017" s="86"/>
      <c r="X1017" s="86"/>
      <c r="Y1017" s="86"/>
      <c r="Z1017" s="86"/>
      <c r="AA1017" s="86"/>
      <c r="AB1017" s="86"/>
      <c r="AC1017" s="86"/>
      <c r="AD1017" s="86"/>
      <c r="AE1017" s="86"/>
    </row>
    <row r="1018" spans="1:31">
      <c r="A1018" s="86"/>
      <c r="B1018" s="86"/>
      <c r="C1018" s="86"/>
      <c r="D1018" s="86"/>
      <c r="E1018" s="86"/>
      <c r="F1018" s="86"/>
      <c r="G1018" s="86"/>
      <c r="H1018" s="86"/>
      <c r="I1018" s="86"/>
      <c r="J1018" s="86"/>
      <c r="K1018" s="86"/>
      <c r="L1018" s="86"/>
      <c r="M1018" s="86"/>
      <c r="N1018" s="86"/>
      <c r="O1018" s="86"/>
      <c r="P1018" s="86"/>
      <c r="Q1018" s="86"/>
      <c r="R1018" s="86"/>
      <c r="S1018" s="86"/>
      <c r="T1018" s="86"/>
      <c r="U1018" s="86"/>
      <c r="V1018" s="86"/>
      <c r="W1018" s="86"/>
      <c r="X1018" s="86"/>
      <c r="Y1018" s="86"/>
      <c r="Z1018" s="86"/>
      <c r="AA1018" s="86"/>
      <c r="AB1018" s="86"/>
      <c r="AC1018" s="86"/>
      <c r="AD1018" s="86"/>
      <c r="AE1018" s="86"/>
    </row>
    <row r="1019" spans="1:31">
      <c r="A1019" s="86"/>
      <c r="B1019" s="86"/>
      <c r="C1019" s="86"/>
      <c r="D1019" s="86"/>
      <c r="E1019" s="86"/>
      <c r="F1019" s="86"/>
      <c r="G1019" s="86"/>
      <c r="H1019" s="86"/>
      <c r="I1019" s="86"/>
      <c r="J1019" s="86"/>
      <c r="K1019" s="86"/>
      <c r="L1019" s="86"/>
      <c r="M1019" s="86"/>
      <c r="N1019" s="86"/>
      <c r="O1019" s="86"/>
      <c r="P1019" s="86"/>
      <c r="Q1019" s="86"/>
      <c r="R1019" s="86"/>
      <c r="S1019" s="86"/>
      <c r="T1019" s="86"/>
      <c r="U1019" s="86"/>
      <c r="V1019" s="86"/>
      <c r="W1019" s="86"/>
      <c r="X1019" s="86"/>
      <c r="Y1019" s="86"/>
      <c r="Z1019" s="86"/>
      <c r="AA1019" s="86"/>
      <c r="AB1019" s="86"/>
      <c r="AC1019" s="86"/>
      <c r="AD1019" s="86"/>
      <c r="AE1019" s="86"/>
    </row>
    <row r="1020" spans="1:31">
      <c r="A1020" s="86"/>
      <c r="B1020" s="86"/>
      <c r="C1020" s="86"/>
      <c r="D1020" s="86"/>
      <c r="E1020" s="86"/>
      <c r="F1020" s="86"/>
      <c r="G1020" s="86"/>
      <c r="H1020" s="86"/>
      <c r="I1020" s="86"/>
      <c r="J1020" s="86"/>
      <c r="K1020" s="86"/>
      <c r="L1020" s="86"/>
      <c r="M1020" s="86"/>
      <c r="N1020" s="86"/>
      <c r="O1020" s="86"/>
      <c r="P1020" s="86"/>
      <c r="Q1020" s="86"/>
      <c r="R1020" s="86"/>
      <c r="S1020" s="86"/>
      <c r="T1020" s="86"/>
      <c r="U1020" s="86"/>
      <c r="V1020" s="86"/>
      <c r="W1020" s="86"/>
      <c r="X1020" s="86"/>
      <c r="Y1020" s="86"/>
      <c r="Z1020" s="86"/>
      <c r="AA1020" s="86"/>
      <c r="AB1020" s="86"/>
      <c r="AC1020" s="86"/>
      <c r="AD1020" s="86"/>
      <c r="AE1020" s="86"/>
    </row>
    <row r="1021" spans="1:31">
      <c r="A1021" s="86"/>
      <c r="B1021" s="86"/>
      <c r="C1021" s="86"/>
      <c r="D1021" s="86"/>
      <c r="E1021" s="86"/>
      <c r="F1021" s="86"/>
      <c r="G1021" s="86"/>
      <c r="H1021" s="86"/>
      <c r="I1021" s="86"/>
      <c r="J1021" s="86"/>
      <c r="K1021" s="86"/>
      <c r="L1021" s="86"/>
      <c r="M1021" s="86"/>
      <c r="N1021" s="86"/>
      <c r="O1021" s="86"/>
      <c r="P1021" s="86"/>
      <c r="Q1021" s="86"/>
      <c r="R1021" s="86"/>
      <c r="S1021" s="86"/>
      <c r="T1021" s="86"/>
      <c r="U1021" s="86"/>
      <c r="V1021" s="86"/>
      <c r="W1021" s="86"/>
      <c r="X1021" s="86"/>
      <c r="Y1021" s="86"/>
      <c r="Z1021" s="86"/>
      <c r="AA1021" s="86"/>
      <c r="AB1021" s="86"/>
      <c r="AC1021" s="86"/>
      <c r="AD1021" s="86"/>
      <c r="AE1021" s="86"/>
    </row>
    <row r="1022" spans="1:31">
      <c r="A1022" s="86"/>
      <c r="B1022" s="86"/>
      <c r="C1022" s="86"/>
      <c r="D1022" s="86"/>
      <c r="E1022" s="86"/>
      <c r="F1022" s="86"/>
      <c r="G1022" s="86"/>
      <c r="H1022" s="86"/>
      <c r="I1022" s="86"/>
      <c r="J1022" s="86"/>
      <c r="K1022" s="86"/>
      <c r="L1022" s="86"/>
      <c r="M1022" s="86"/>
      <c r="N1022" s="86"/>
      <c r="O1022" s="86"/>
      <c r="P1022" s="86"/>
      <c r="Q1022" s="86"/>
      <c r="R1022" s="86"/>
      <c r="S1022" s="86"/>
      <c r="T1022" s="86"/>
      <c r="U1022" s="86"/>
      <c r="V1022" s="86"/>
      <c r="W1022" s="86"/>
      <c r="X1022" s="86"/>
      <c r="Y1022" s="86"/>
      <c r="Z1022" s="86"/>
      <c r="AA1022" s="86"/>
      <c r="AB1022" s="86"/>
      <c r="AC1022" s="86"/>
      <c r="AD1022" s="86"/>
      <c r="AE1022" s="86"/>
    </row>
    <row r="1023" spans="1:31">
      <c r="A1023" s="86"/>
      <c r="B1023" s="86"/>
      <c r="C1023" s="86"/>
      <c r="D1023" s="86"/>
      <c r="E1023" s="86"/>
      <c r="F1023" s="86"/>
      <c r="G1023" s="86"/>
      <c r="H1023" s="86"/>
      <c r="I1023" s="86"/>
      <c r="J1023" s="86"/>
      <c r="K1023" s="86"/>
      <c r="L1023" s="86"/>
      <c r="M1023" s="86"/>
      <c r="N1023" s="86"/>
      <c r="O1023" s="86"/>
      <c r="P1023" s="86"/>
      <c r="Q1023" s="86"/>
      <c r="R1023" s="86"/>
      <c r="S1023" s="86"/>
      <c r="T1023" s="86"/>
      <c r="U1023" s="86"/>
      <c r="V1023" s="86"/>
      <c r="W1023" s="86"/>
      <c r="X1023" s="86"/>
      <c r="Y1023" s="86"/>
      <c r="Z1023" s="86"/>
      <c r="AA1023" s="86"/>
      <c r="AB1023" s="86"/>
      <c r="AC1023" s="86"/>
      <c r="AD1023" s="86"/>
      <c r="AE1023" s="86"/>
    </row>
    <row r="1024" spans="1:31">
      <c r="A1024" s="86"/>
      <c r="B1024" s="86"/>
      <c r="C1024" s="86"/>
      <c r="D1024" s="86"/>
      <c r="E1024" s="86"/>
      <c r="F1024" s="86"/>
      <c r="G1024" s="86"/>
      <c r="H1024" s="86"/>
      <c r="I1024" s="86"/>
      <c r="J1024" s="86"/>
      <c r="K1024" s="86"/>
      <c r="L1024" s="86"/>
      <c r="M1024" s="86"/>
      <c r="N1024" s="86"/>
      <c r="O1024" s="86"/>
      <c r="P1024" s="86"/>
      <c r="Q1024" s="86"/>
      <c r="R1024" s="86"/>
      <c r="S1024" s="86"/>
      <c r="T1024" s="86"/>
      <c r="U1024" s="86"/>
      <c r="V1024" s="86"/>
      <c r="W1024" s="86"/>
      <c r="X1024" s="86"/>
      <c r="Y1024" s="86"/>
      <c r="Z1024" s="86"/>
      <c r="AA1024" s="86"/>
      <c r="AB1024" s="86"/>
      <c r="AC1024" s="86"/>
      <c r="AD1024" s="86"/>
      <c r="AE1024" s="86"/>
    </row>
    <row r="1025" spans="1:31">
      <c r="A1025" s="86"/>
      <c r="B1025" s="86"/>
      <c r="C1025" s="86"/>
      <c r="D1025" s="86"/>
      <c r="E1025" s="86"/>
      <c r="F1025" s="86"/>
      <c r="G1025" s="86"/>
      <c r="H1025" s="86"/>
      <c r="I1025" s="86"/>
      <c r="J1025" s="86"/>
      <c r="K1025" s="86"/>
      <c r="L1025" s="86"/>
      <c r="M1025" s="86"/>
      <c r="N1025" s="86"/>
      <c r="O1025" s="86"/>
      <c r="P1025" s="86"/>
      <c r="Q1025" s="86"/>
      <c r="R1025" s="86"/>
      <c r="S1025" s="86"/>
      <c r="T1025" s="86"/>
      <c r="U1025" s="86"/>
      <c r="V1025" s="86"/>
      <c r="W1025" s="86"/>
      <c r="X1025" s="86"/>
      <c r="Y1025" s="86"/>
      <c r="Z1025" s="86"/>
      <c r="AA1025" s="86"/>
      <c r="AB1025" s="86"/>
      <c r="AC1025" s="86"/>
      <c r="AD1025" s="86"/>
      <c r="AE1025" s="86"/>
    </row>
    <row r="1026" spans="1:31">
      <c r="A1026" s="86"/>
      <c r="B1026" s="86"/>
      <c r="C1026" s="86"/>
      <c r="D1026" s="86"/>
      <c r="E1026" s="86"/>
      <c r="F1026" s="86"/>
      <c r="G1026" s="86"/>
      <c r="H1026" s="86"/>
      <c r="I1026" s="86"/>
      <c r="J1026" s="86"/>
      <c r="K1026" s="86"/>
      <c r="L1026" s="86"/>
      <c r="M1026" s="86"/>
      <c r="N1026" s="86"/>
      <c r="O1026" s="86"/>
      <c r="P1026" s="86"/>
      <c r="Q1026" s="86"/>
      <c r="R1026" s="86"/>
      <c r="S1026" s="86"/>
      <c r="T1026" s="86"/>
      <c r="U1026" s="86"/>
      <c r="V1026" s="86"/>
      <c r="W1026" s="86"/>
      <c r="X1026" s="86"/>
      <c r="Y1026" s="86"/>
      <c r="Z1026" s="86"/>
      <c r="AA1026" s="86"/>
      <c r="AB1026" s="86"/>
      <c r="AC1026" s="86"/>
      <c r="AD1026" s="86"/>
      <c r="AE1026" s="86"/>
    </row>
    <row r="1027" spans="1:31">
      <c r="A1027" s="86"/>
      <c r="B1027" s="86"/>
      <c r="C1027" s="86"/>
      <c r="D1027" s="86"/>
      <c r="E1027" s="86"/>
      <c r="F1027" s="86"/>
      <c r="G1027" s="86"/>
      <c r="H1027" s="86"/>
      <c r="I1027" s="86"/>
      <c r="J1027" s="86"/>
      <c r="K1027" s="86"/>
      <c r="L1027" s="86"/>
      <c r="M1027" s="86"/>
      <c r="N1027" s="86"/>
      <c r="O1027" s="86"/>
      <c r="P1027" s="86"/>
      <c r="Q1027" s="86"/>
      <c r="R1027" s="86"/>
      <c r="S1027" s="86"/>
      <c r="T1027" s="86"/>
      <c r="U1027" s="86"/>
      <c r="V1027" s="86"/>
      <c r="W1027" s="86"/>
      <c r="X1027" s="86"/>
      <c r="Y1027" s="86"/>
      <c r="Z1027" s="86"/>
      <c r="AA1027" s="86"/>
      <c r="AB1027" s="86"/>
      <c r="AC1027" s="86"/>
      <c r="AD1027" s="86"/>
      <c r="AE1027" s="86"/>
    </row>
    <row r="1028" spans="1:31">
      <c r="A1028" s="86"/>
      <c r="B1028" s="86"/>
      <c r="C1028" s="86"/>
      <c r="D1028" s="86"/>
      <c r="E1028" s="86"/>
      <c r="F1028" s="86"/>
      <c r="G1028" s="86"/>
      <c r="H1028" s="86"/>
      <c r="I1028" s="86"/>
      <c r="J1028" s="86"/>
      <c r="K1028" s="86"/>
      <c r="L1028" s="86"/>
      <c r="M1028" s="86"/>
      <c r="N1028" s="86"/>
      <c r="O1028" s="86"/>
      <c r="P1028" s="86"/>
      <c r="Q1028" s="86"/>
      <c r="R1028" s="86"/>
      <c r="S1028" s="86"/>
      <c r="T1028" s="86"/>
      <c r="U1028" s="86"/>
      <c r="V1028" s="86"/>
      <c r="W1028" s="86"/>
      <c r="X1028" s="86"/>
      <c r="Y1028" s="86"/>
      <c r="Z1028" s="86"/>
      <c r="AA1028" s="86"/>
      <c r="AB1028" s="86"/>
      <c r="AC1028" s="86"/>
      <c r="AD1028" s="86"/>
      <c r="AE1028" s="86"/>
    </row>
    <row r="1029" spans="1:31">
      <c r="A1029" s="86"/>
      <c r="B1029" s="86"/>
      <c r="C1029" s="86"/>
      <c r="D1029" s="86"/>
      <c r="E1029" s="86"/>
      <c r="F1029" s="86"/>
      <c r="G1029" s="86"/>
      <c r="H1029" s="86"/>
      <c r="I1029" s="86"/>
      <c r="J1029" s="86"/>
      <c r="K1029" s="86"/>
      <c r="L1029" s="86"/>
      <c r="M1029" s="86"/>
      <c r="N1029" s="86"/>
      <c r="O1029" s="86"/>
      <c r="P1029" s="86"/>
      <c r="Q1029" s="86"/>
      <c r="R1029" s="86"/>
      <c r="S1029" s="86"/>
      <c r="T1029" s="86"/>
      <c r="U1029" s="86"/>
      <c r="V1029" s="86"/>
      <c r="W1029" s="86"/>
      <c r="X1029" s="86"/>
      <c r="Y1029" s="86"/>
      <c r="Z1029" s="86"/>
      <c r="AA1029" s="86"/>
      <c r="AB1029" s="86"/>
      <c r="AC1029" s="86"/>
      <c r="AD1029" s="86"/>
      <c r="AE1029" s="86"/>
    </row>
    <row r="1030" spans="1:31">
      <c r="A1030" s="86"/>
      <c r="B1030" s="86"/>
      <c r="C1030" s="86"/>
      <c r="D1030" s="86"/>
      <c r="E1030" s="86"/>
      <c r="F1030" s="86"/>
      <c r="G1030" s="86"/>
      <c r="H1030" s="86"/>
      <c r="I1030" s="86"/>
      <c r="J1030" s="86"/>
      <c r="K1030" s="86"/>
      <c r="L1030" s="86"/>
      <c r="M1030" s="86"/>
      <c r="N1030" s="86"/>
      <c r="O1030" s="86"/>
      <c r="P1030" s="86"/>
      <c r="Q1030" s="86"/>
      <c r="R1030" s="86"/>
      <c r="S1030" s="86"/>
      <c r="T1030" s="86"/>
      <c r="U1030" s="86"/>
      <c r="V1030" s="86"/>
      <c r="W1030" s="86"/>
      <c r="X1030" s="86"/>
      <c r="Y1030" s="86"/>
      <c r="Z1030" s="86"/>
      <c r="AA1030" s="86"/>
      <c r="AB1030" s="86"/>
      <c r="AC1030" s="86"/>
      <c r="AD1030" s="86"/>
      <c r="AE1030" s="86"/>
    </row>
    <row r="1031" spans="1:31">
      <c r="A1031" s="86"/>
      <c r="B1031" s="86"/>
      <c r="C1031" s="86"/>
      <c r="D1031" s="86"/>
      <c r="E1031" s="86"/>
      <c r="F1031" s="86"/>
      <c r="G1031" s="86"/>
      <c r="H1031" s="86"/>
      <c r="I1031" s="86"/>
      <c r="J1031" s="86"/>
      <c r="K1031" s="86"/>
      <c r="L1031" s="86"/>
      <c r="M1031" s="86"/>
      <c r="N1031" s="86"/>
      <c r="O1031" s="86"/>
      <c r="P1031" s="86"/>
      <c r="Q1031" s="86"/>
      <c r="R1031" s="86"/>
      <c r="S1031" s="86"/>
      <c r="T1031" s="86"/>
      <c r="U1031" s="86"/>
      <c r="V1031" s="86"/>
      <c r="W1031" s="86"/>
      <c r="X1031" s="86"/>
      <c r="Y1031" s="86"/>
      <c r="Z1031" s="86"/>
      <c r="AA1031" s="86"/>
      <c r="AB1031" s="86"/>
      <c r="AC1031" s="86"/>
      <c r="AD1031" s="86"/>
      <c r="AE1031" s="86"/>
    </row>
    <row r="1032" spans="1:31">
      <c r="A1032" s="86"/>
      <c r="B1032" s="86"/>
      <c r="C1032" s="86"/>
      <c r="D1032" s="86"/>
      <c r="E1032" s="86"/>
      <c r="F1032" s="86"/>
      <c r="G1032" s="86"/>
      <c r="H1032" s="86"/>
      <c r="I1032" s="86"/>
      <c r="J1032" s="86"/>
      <c r="K1032" s="86"/>
      <c r="L1032" s="86"/>
      <c r="M1032" s="86"/>
      <c r="N1032" s="86"/>
      <c r="O1032" s="86"/>
      <c r="P1032" s="86"/>
      <c r="Q1032" s="86"/>
      <c r="R1032" s="86"/>
      <c r="S1032" s="86"/>
      <c r="T1032" s="86"/>
      <c r="U1032" s="86"/>
      <c r="V1032" s="86"/>
      <c r="W1032" s="86"/>
      <c r="X1032" s="86"/>
      <c r="Y1032" s="86"/>
      <c r="Z1032" s="86"/>
      <c r="AA1032" s="86"/>
      <c r="AB1032" s="86"/>
      <c r="AC1032" s="86"/>
      <c r="AD1032" s="86"/>
      <c r="AE1032" s="86"/>
    </row>
    <row r="1033" spans="1:31">
      <c r="A1033" s="86"/>
      <c r="B1033" s="86"/>
      <c r="C1033" s="86"/>
      <c r="D1033" s="86"/>
      <c r="E1033" s="86"/>
      <c r="F1033" s="86"/>
      <c r="G1033" s="86"/>
      <c r="H1033" s="86"/>
      <c r="I1033" s="86"/>
      <c r="J1033" s="86"/>
      <c r="K1033" s="86"/>
      <c r="L1033" s="86"/>
      <c r="M1033" s="86"/>
      <c r="N1033" s="86"/>
      <c r="O1033" s="86"/>
      <c r="P1033" s="86"/>
      <c r="Q1033" s="86"/>
      <c r="R1033" s="86"/>
      <c r="S1033" s="86"/>
      <c r="T1033" s="86"/>
      <c r="U1033" s="86"/>
      <c r="V1033" s="86"/>
      <c r="W1033" s="86"/>
      <c r="X1033" s="86"/>
      <c r="Y1033" s="86"/>
      <c r="Z1033" s="86"/>
      <c r="AA1033" s="86"/>
      <c r="AB1033" s="86"/>
      <c r="AC1033" s="86"/>
      <c r="AD1033" s="86"/>
      <c r="AE1033" s="86"/>
    </row>
    <row r="1034" spans="1:31">
      <c r="A1034" s="86"/>
      <c r="B1034" s="86"/>
      <c r="C1034" s="86"/>
      <c r="D1034" s="86"/>
      <c r="E1034" s="86"/>
      <c r="F1034" s="86"/>
      <c r="G1034" s="86"/>
      <c r="H1034" s="86"/>
      <c r="I1034" s="86"/>
      <c r="J1034" s="86"/>
      <c r="K1034" s="86"/>
      <c r="L1034" s="86"/>
      <c r="M1034" s="86"/>
      <c r="N1034" s="86"/>
      <c r="O1034" s="86"/>
      <c r="P1034" s="86"/>
      <c r="Q1034" s="86"/>
      <c r="R1034" s="86"/>
      <c r="S1034" s="86"/>
      <c r="T1034" s="86"/>
      <c r="U1034" s="86"/>
      <c r="V1034" s="86"/>
      <c r="W1034" s="86"/>
      <c r="X1034" s="86"/>
      <c r="Y1034" s="86"/>
      <c r="Z1034" s="86"/>
      <c r="AA1034" s="86"/>
      <c r="AB1034" s="86"/>
      <c r="AC1034" s="86"/>
      <c r="AD1034" s="86"/>
      <c r="AE1034" s="86"/>
    </row>
    <row r="1035" spans="1:31">
      <c r="A1035" s="86"/>
      <c r="B1035" s="86"/>
      <c r="C1035" s="86"/>
      <c r="D1035" s="86"/>
      <c r="E1035" s="86"/>
      <c r="F1035" s="86"/>
      <c r="G1035" s="86"/>
      <c r="H1035" s="86"/>
      <c r="I1035" s="86"/>
      <c r="J1035" s="86"/>
      <c r="K1035" s="86"/>
      <c r="L1035" s="86"/>
      <c r="M1035" s="86"/>
      <c r="N1035" s="86"/>
      <c r="O1035" s="86"/>
      <c r="P1035" s="86"/>
      <c r="Q1035" s="86"/>
      <c r="R1035" s="86"/>
      <c r="S1035" s="86"/>
      <c r="T1035" s="86"/>
      <c r="U1035" s="86"/>
      <c r="V1035" s="86"/>
      <c r="W1035" s="86"/>
      <c r="X1035" s="86"/>
      <c r="Y1035" s="86"/>
      <c r="Z1035" s="86"/>
      <c r="AA1035" s="86"/>
      <c r="AB1035" s="86"/>
      <c r="AC1035" s="86"/>
      <c r="AD1035" s="86"/>
      <c r="AE1035" s="86"/>
    </row>
    <row r="1036" spans="1:31">
      <c r="A1036" s="86"/>
      <c r="B1036" s="86"/>
      <c r="C1036" s="86"/>
      <c r="D1036" s="86"/>
      <c r="E1036" s="86"/>
      <c r="F1036" s="86"/>
      <c r="G1036" s="86"/>
      <c r="H1036" s="86"/>
      <c r="I1036" s="86"/>
      <c r="J1036" s="86"/>
      <c r="K1036" s="86"/>
      <c r="L1036" s="86"/>
      <c r="M1036" s="86"/>
      <c r="N1036" s="86"/>
      <c r="O1036" s="86"/>
      <c r="P1036" s="86"/>
      <c r="Q1036" s="86"/>
      <c r="R1036" s="86"/>
      <c r="S1036" s="86"/>
      <c r="T1036" s="86"/>
      <c r="U1036" s="86"/>
      <c r="V1036" s="86"/>
      <c r="W1036" s="86"/>
      <c r="X1036" s="86"/>
      <c r="Y1036" s="86"/>
      <c r="Z1036" s="86"/>
      <c r="AA1036" s="86"/>
      <c r="AB1036" s="86"/>
      <c r="AC1036" s="86"/>
      <c r="AD1036" s="86"/>
      <c r="AE1036" s="86"/>
    </row>
    <row r="1037" spans="1:31">
      <c r="A1037" s="86"/>
      <c r="B1037" s="86"/>
      <c r="C1037" s="86"/>
      <c r="D1037" s="86"/>
      <c r="E1037" s="86"/>
      <c r="F1037" s="86"/>
      <c r="G1037" s="86"/>
      <c r="H1037" s="86"/>
      <c r="I1037" s="86"/>
      <c r="J1037" s="86"/>
      <c r="K1037" s="86"/>
      <c r="L1037" s="86"/>
      <c r="M1037" s="86"/>
      <c r="N1037" s="86"/>
      <c r="O1037" s="86"/>
      <c r="P1037" s="86"/>
      <c r="Q1037" s="86"/>
      <c r="R1037" s="86"/>
      <c r="S1037" s="86"/>
      <c r="T1037" s="86"/>
      <c r="U1037" s="86"/>
      <c r="V1037" s="86"/>
      <c r="W1037" s="86"/>
      <c r="X1037" s="86"/>
      <c r="Y1037" s="86"/>
      <c r="Z1037" s="86"/>
      <c r="AA1037" s="86"/>
      <c r="AB1037" s="86"/>
      <c r="AC1037" s="86"/>
      <c r="AD1037" s="86"/>
      <c r="AE1037" s="86"/>
    </row>
    <row r="1038" spans="1:31">
      <c r="A1038" s="86"/>
      <c r="B1038" s="86"/>
      <c r="C1038" s="86"/>
      <c r="D1038" s="86"/>
      <c r="E1038" s="86"/>
      <c r="F1038" s="86"/>
      <c r="G1038" s="86"/>
      <c r="H1038" s="86"/>
      <c r="I1038" s="86"/>
      <c r="J1038" s="86"/>
      <c r="K1038" s="86"/>
      <c r="L1038" s="86"/>
      <c r="M1038" s="86"/>
      <c r="N1038" s="86"/>
      <c r="O1038" s="86"/>
      <c r="P1038" s="86"/>
      <c r="Q1038" s="86"/>
      <c r="R1038" s="86"/>
      <c r="S1038" s="86"/>
      <c r="T1038" s="86"/>
      <c r="U1038" s="86"/>
      <c r="V1038" s="86"/>
      <c r="W1038" s="86"/>
      <c r="X1038" s="86"/>
      <c r="Y1038" s="86"/>
      <c r="Z1038" s="86"/>
      <c r="AA1038" s="86"/>
      <c r="AB1038" s="86"/>
      <c r="AC1038" s="86"/>
      <c r="AD1038" s="86"/>
      <c r="AE1038" s="86"/>
    </row>
    <row r="1039" spans="1:31">
      <c r="A1039" s="86"/>
      <c r="B1039" s="86"/>
      <c r="C1039" s="86"/>
      <c r="D1039" s="86"/>
      <c r="E1039" s="86"/>
      <c r="F1039" s="86"/>
      <c r="G1039" s="86"/>
      <c r="H1039" s="86"/>
      <c r="I1039" s="86"/>
      <c r="J1039" s="86"/>
      <c r="K1039" s="86"/>
      <c r="L1039" s="86"/>
      <c r="M1039" s="86"/>
      <c r="N1039" s="86"/>
      <c r="O1039" s="86"/>
      <c r="P1039" s="86"/>
      <c r="Q1039" s="86"/>
      <c r="R1039" s="86"/>
      <c r="S1039" s="86"/>
      <c r="T1039" s="86"/>
      <c r="U1039" s="86"/>
      <c r="V1039" s="86"/>
      <c r="W1039" s="86"/>
      <c r="X1039" s="86"/>
      <c r="Y1039" s="86"/>
      <c r="Z1039" s="86"/>
      <c r="AA1039" s="86"/>
      <c r="AB1039" s="86"/>
      <c r="AC1039" s="86"/>
      <c r="AD1039" s="86"/>
      <c r="AE1039" s="86"/>
    </row>
    <row r="1040" spans="1:31">
      <c r="A1040" s="86"/>
      <c r="B1040" s="86"/>
      <c r="C1040" s="86"/>
      <c r="D1040" s="86"/>
      <c r="E1040" s="86"/>
      <c r="F1040" s="86"/>
      <c r="G1040" s="86"/>
      <c r="H1040" s="86"/>
      <c r="I1040" s="86"/>
      <c r="J1040" s="86"/>
      <c r="K1040" s="86"/>
      <c r="L1040" s="86"/>
      <c r="M1040" s="86"/>
      <c r="N1040" s="86"/>
      <c r="O1040" s="86"/>
      <c r="P1040" s="86"/>
      <c r="Q1040" s="86"/>
      <c r="R1040" s="86"/>
      <c r="S1040" s="86"/>
      <c r="T1040" s="86"/>
      <c r="U1040" s="86"/>
      <c r="V1040" s="86"/>
      <c r="W1040" s="86"/>
      <c r="X1040" s="86"/>
      <c r="Y1040" s="86"/>
      <c r="Z1040" s="86"/>
      <c r="AA1040" s="86"/>
      <c r="AB1040" s="86"/>
      <c r="AC1040" s="86"/>
      <c r="AD1040" s="86"/>
      <c r="AE1040" s="86"/>
    </row>
    <row r="1041" spans="1:31">
      <c r="A1041" s="86"/>
      <c r="B1041" s="86"/>
      <c r="C1041" s="86"/>
      <c r="D1041" s="86"/>
      <c r="E1041" s="86"/>
      <c r="F1041" s="86"/>
      <c r="G1041" s="86"/>
      <c r="H1041" s="86"/>
      <c r="I1041" s="86"/>
      <c r="J1041" s="86"/>
      <c r="K1041" s="86"/>
      <c r="L1041" s="86"/>
      <c r="M1041" s="86"/>
      <c r="N1041" s="86"/>
      <c r="O1041" s="86"/>
      <c r="P1041" s="86"/>
      <c r="Q1041" s="86"/>
      <c r="R1041" s="86"/>
      <c r="S1041" s="86"/>
      <c r="T1041" s="86"/>
      <c r="U1041" s="86"/>
      <c r="V1041" s="86"/>
      <c r="W1041" s="86"/>
      <c r="X1041" s="86"/>
      <c r="Y1041" s="86"/>
      <c r="Z1041" s="86"/>
      <c r="AA1041" s="86"/>
      <c r="AB1041" s="86"/>
      <c r="AC1041" s="86"/>
      <c r="AD1041" s="86"/>
      <c r="AE1041" s="86"/>
    </row>
    <row r="1042" spans="1:31">
      <c r="A1042" s="86"/>
      <c r="B1042" s="86"/>
      <c r="C1042" s="86"/>
      <c r="D1042" s="86"/>
      <c r="E1042" s="86"/>
      <c r="F1042" s="86"/>
      <c r="G1042" s="86"/>
      <c r="H1042" s="86"/>
      <c r="I1042" s="86"/>
      <c r="J1042" s="86"/>
      <c r="K1042" s="86"/>
      <c r="L1042" s="86"/>
      <c r="M1042" s="86"/>
      <c r="N1042" s="86"/>
      <c r="O1042" s="86"/>
      <c r="P1042" s="86"/>
      <c r="Q1042" s="86"/>
      <c r="R1042" s="86"/>
      <c r="S1042" s="86"/>
      <c r="T1042" s="86"/>
      <c r="U1042" s="86"/>
      <c r="V1042" s="86"/>
      <c r="W1042" s="86"/>
      <c r="X1042" s="86"/>
      <c r="Y1042" s="86"/>
      <c r="Z1042" s="86"/>
      <c r="AA1042" s="86"/>
      <c r="AB1042" s="86"/>
      <c r="AC1042" s="86"/>
      <c r="AD1042" s="86"/>
      <c r="AE1042" s="86"/>
    </row>
    <row r="1043" spans="1:31">
      <c r="A1043" s="86"/>
      <c r="B1043" s="86"/>
      <c r="C1043" s="86"/>
      <c r="D1043" s="86"/>
      <c r="E1043" s="86"/>
      <c r="F1043" s="86"/>
      <c r="G1043" s="86"/>
      <c r="H1043" s="86"/>
      <c r="I1043" s="86"/>
      <c r="J1043" s="86"/>
      <c r="K1043" s="86"/>
      <c r="L1043" s="86"/>
      <c r="M1043" s="86"/>
      <c r="N1043" s="86"/>
      <c r="O1043" s="86"/>
      <c r="P1043" s="86"/>
      <c r="Q1043" s="86"/>
      <c r="R1043" s="86"/>
      <c r="S1043" s="86"/>
      <c r="T1043" s="86"/>
      <c r="U1043" s="86"/>
      <c r="V1043" s="86"/>
      <c r="W1043" s="86"/>
      <c r="X1043" s="86"/>
      <c r="Y1043" s="86"/>
      <c r="Z1043" s="86"/>
      <c r="AA1043" s="86"/>
      <c r="AB1043" s="86"/>
      <c r="AC1043" s="86"/>
      <c r="AD1043" s="86"/>
      <c r="AE1043" s="86"/>
    </row>
    <row r="1044" spans="1:31">
      <c r="A1044" s="86"/>
      <c r="B1044" s="86"/>
      <c r="C1044" s="86"/>
      <c r="D1044" s="86"/>
      <c r="E1044" s="86"/>
      <c r="F1044" s="86"/>
      <c r="G1044" s="86"/>
      <c r="H1044" s="86"/>
      <c r="I1044" s="86"/>
      <c r="J1044" s="86"/>
      <c r="K1044" s="86"/>
      <c r="L1044" s="86"/>
      <c r="M1044" s="86"/>
      <c r="N1044" s="86"/>
      <c r="O1044" s="86"/>
      <c r="P1044" s="86"/>
      <c r="Q1044" s="86"/>
      <c r="R1044" s="86"/>
      <c r="S1044" s="86"/>
      <c r="T1044" s="86"/>
      <c r="U1044" s="86"/>
      <c r="V1044" s="86"/>
      <c r="W1044" s="86"/>
      <c r="X1044" s="86"/>
      <c r="Y1044" s="86"/>
      <c r="Z1044" s="86"/>
      <c r="AA1044" s="86"/>
      <c r="AB1044" s="86"/>
      <c r="AC1044" s="86"/>
      <c r="AD1044" s="86"/>
      <c r="AE1044" s="86"/>
    </row>
    <row r="1045" spans="1:31">
      <c r="A1045" s="86"/>
      <c r="B1045" s="86"/>
      <c r="C1045" s="86"/>
      <c r="D1045" s="86"/>
      <c r="E1045" s="86"/>
      <c r="F1045" s="86"/>
      <c r="G1045" s="86"/>
      <c r="H1045" s="86"/>
      <c r="I1045" s="86"/>
      <c r="J1045" s="86"/>
      <c r="K1045" s="86"/>
      <c r="L1045" s="86"/>
      <c r="M1045" s="86"/>
      <c r="N1045" s="86"/>
      <c r="O1045" s="86"/>
      <c r="P1045" s="86"/>
      <c r="Q1045" s="86"/>
      <c r="R1045" s="86"/>
      <c r="S1045" s="86"/>
      <c r="T1045" s="86"/>
      <c r="U1045" s="86"/>
      <c r="V1045" s="86"/>
      <c r="W1045" s="86"/>
      <c r="X1045" s="86"/>
      <c r="Y1045" s="86"/>
      <c r="Z1045" s="86"/>
      <c r="AA1045" s="86"/>
      <c r="AB1045" s="86"/>
      <c r="AC1045" s="86"/>
      <c r="AD1045" s="86"/>
      <c r="AE1045" s="86"/>
    </row>
    <row r="1046" spans="1:31">
      <c r="A1046" s="86"/>
      <c r="B1046" s="86"/>
      <c r="C1046" s="86"/>
      <c r="D1046" s="86"/>
      <c r="E1046" s="86"/>
      <c r="F1046" s="86"/>
      <c r="G1046" s="86"/>
      <c r="H1046" s="86"/>
      <c r="I1046" s="86"/>
      <c r="J1046" s="86"/>
      <c r="K1046" s="86"/>
      <c r="L1046" s="86"/>
      <c r="M1046" s="86"/>
      <c r="N1046" s="86"/>
      <c r="O1046" s="86"/>
      <c r="P1046" s="86"/>
      <c r="Q1046" s="86"/>
      <c r="R1046" s="86"/>
      <c r="S1046" s="86"/>
      <c r="T1046" s="86"/>
      <c r="U1046" s="86"/>
      <c r="V1046" s="86"/>
      <c r="W1046" s="86"/>
      <c r="X1046" s="86"/>
      <c r="Y1046" s="86"/>
      <c r="Z1046" s="86"/>
      <c r="AA1046" s="86"/>
      <c r="AB1046" s="86"/>
      <c r="AC1046" s="86"/>
      <c r="AD1046" s="86"/>
      <c r="AE1046" s="86"/>
    </row>
    <row r="1047" spans="1:31">
      <c r="A1047" s="86"/>
      <c r="B1047" s="86"/>
      <c r="C1047" s="86"/>
      <c r="D1047" s="86"/>
      <c r="E1047" s="86"/>
      <c r="F1047" s="86"/>
      <c r="G1047" s="86"/>
      <c r="H1047" s="86"/>
      <c r="I1047" s="86"/>
      <c r="J1047" s="86"/>
      <c r="K1047" s="86"/>
      <c r="L1047" s="86"/>
      <c r="M1047" s="86"/>
      <c r="N1047" s="86"/>
      <c r="O1047" s="86"/>
      <c r="P1047" s="86"/>
      <c r="Q1047" s="86"/>
      <c r="R1047" s="86"/>
      <c r="S1047" s="86"/>
      <c r="T1047" s="86"/>
      <c r="U1047" s="86"/>
      <c r="V1047" s="86"/>
      <c r="W1047" s="86"/>
      <c r="X1047" s="86"/>
      <c r="Y1047" s="86"/>
      <c r="Z1047" s="86"/>
      <c r="AA1047" s="86"/>
      <c r="AB1047" s="86"/>
      <c r="AC1047" s="86"/>
      <c r="AD1047" s="86"/>
      <c r="AE1047" s="86"/>
    </row>
    <row r="1048" spans="1:31">
      <c r="A1048" s="86"/>
      <c r="B1048" s="86"/>
      <c r="C1048" s="86"/>
      <c r="D1048" s="86"/>
      <c r="E1048" s="86"/>
      <c r="F1048" s="86"/>
      <c r="G1048" s="86"/>
      <c r="H1048" s="86"/>
      <c r="I1048" s="86"/>
      <c r="J1048" s="86"/>
      <c r="K1048" s="86"/>
      <c r="L1048" s="86"/>
      <c r="M1048" s="86"/>
      <c r="N1048" s="86"/>
      <c r="O1048" s="86"/>
      <c r="P1048" s="86"/>
      <c r="Q1048" s="86"/>
      <c r="R1048" s="86"/>
      <c r="S1048" s="86"/>
      <c r="T1048" s="86"/>
      <c r="U1048" s="86"/>
      <c r="V1048" s="86"/>
      <c r="W1048" s="86"/>
      <c r="X1048" s="86"/>
      <c r="Y1048" s="86"/>
      <c r="Z1048" s="86"/>
      <c r="AA1048" s="86"/>
      <c r="AB1048" s="86"/>
      <c r="AC1048" s="86"/>
      <c r="AD1048" s="86"/>
      <c r="AE1048" s="86"/>
    </row>
    <row r="1049" spans="1:31">
      <c r="A1049" s="86"/>
      <c r="B1049" s="86"/>
      <c r="C1049" s="86"/>
      <c r="D1049" s="86"/>
      <c r="E1049" s="86"/>
      <c r="F1049" s="86"/>
      <c r="G1049" s="86"/>
      <c r="H1049" s="86"/>
      <c r="I1049" s="86"/>
      <c r="J1049" s="86"/>
      <c r="K1049" s="86"/>
      <c r="L1049" s="86"/>
      <c r="M1049" s="86"/>
      <c r="N1049" s="86"/>
      <c r="O1049" s="86"/>
      <c r="P1049" s="86"/>
      <c r="Q1049" s="86"/>
      <c r="R1049" s="86"/>
      <c r="S1049" s="86"/>
      <c r="T1049" s="86"/>
      <c r="U1049" s="86"/>
      <c r="V1049" s="86"/>
      <c r="W1049" s="86"/>
      <c r="X1049" s="86"/>
      <c r="Y1049" s="86"/>
      <c r="Z1049" s="86"/>
      <c r="AA1049" s="86"/>
      <c r="AB1049" s="86"/>
      <c r="AC1049" s="86"/>
      <c r="AD1049" s="86"/>
      <c r="AE1049" s="86"/>
    </row>
    <row r="1050" spans="1:31">
      <c r="A1050" s="86"/>
      <c r="B1050" s="86"/>
      <c r="C1050" s="86"/>
      <c r="D1050" s="86"/>
      <c r="E1050" s="86"/>
      <c r="F1050" s="86"/>
      <c r="G1050" s="86"/>
      <c r="H1050" s="86"/>
      <c r="I1050" s="86"/>
      <c r="J1050" s="86"/>
      <c r="K1050" s="86"/>
      <c r="L1050" s="86"/>
      <c r="M1050" s="86"/>
      <c r="N1050" s="86"/>
      <c r="O1050" s="86"/>
      <c r="P1050" s="86"/>
      <c r="Q1050" s="86"/>
      <c r="R1050" s="86"/>
      <c r="S1050" s="86"/>
      <c r="T1050" s="86"/>
      <c r="U1050" s="86"/>
      <c r="V1050" s="86"/>
      <c r="W1050" s="86"/>
      <c r="X1050" s="86"/>
      <c r="Y1050" s="86"/>
      <c r="Z1050" s="86"/>
      <c r="AA1050" s="86"/>
      <c r="AB1050" s="86"/>
      <c r="AC1050" s="86"/>
      <c r="AD1050" s="86"/>
      <c r="AE1050" s="86"/>
    </row>
    <row r="1051" spans="1:31">
      <c r="A1051" s="86"/>
      <c r="B1051" s="86"/>
      <c r="C1051" s="86"/>
      <c r="D1051" s="86"/>
      <c r="E1051" s="86"/>
      <c r="F1051" s="86"/>
      <c r="G1051" s="86"/>
      <c r="H1051" s="86"/>
      <c r="I1051" s="86"/>
      <c r="J1051" s="86"/>
      <c r="K1051" s="86"/>
      <c r="L1051" s="86"/>
      <c r="M1051" s="86"/>
      <c r="N1051" s="86"/>
      <c r="O1051" s="86"/>
      <c r="P1051" s="86"/>
      <c r="Q1051" s="86"/>
      <c r="R1051" s="86"/>
      <c r="S1051" s="86"/>
      <c r="T1051" s="86"/>
      <c r="U1051" s="86"/>
      <c r="V1051" s="86"/>
      <c r="W1051" s="86"/>
      <c r="X1051" s="86"/>
      <c r="Y1051" s="86"/>
      <c r="Z1051" s="86"/>
      <c r="AA1051" s="86"/>
      <c r="AB1051" s="86"/>
      <c r="AC1051" s="86"/>
      <c r="AD1051" s="86"/>
      <c r="AE1051" s="86"/>
    </row>
    <row r="1052" spans="1:31">
      <c r="A1052" s="86"/>
      <c r="B1052" s="86"/>
      <c r="C1052" s="86"/>
      <c r="D1052" s="86"/>
      <c r="E1052" s="86"/>
      <c r="F1052" s="86"/>
      <c r="G1052" s="86"/>
      <c r="H1052" s="86"/>
      <c r="I1052" s="86"/>
      <c r="J1052" s="86"/>
      <c r="K1052" s="86"/>
      <c r="L1052" s="86"/>
      <c r="M1052" s="86"/>
      <c r="N1052" s="86"/>
      <c r="O1052" s="86"/>
      <c r="P1052" s="86"/>
      <c r="Q1052" s="86"/>
      <c r="R1052" s="86"/>
      <c r="S1052" s="86"/>
      <c r="T1052" s="86"/>
      <c r="U1052" s="86"/>
      <c r="V1052" s="86"/>
      <c r="W1052" s="86"/>
      <c r="X1052" s="86"/>
      <c r="Y1052" s="86"/>
      <c r="Z1052" s="86"/>
      <c r="AA1052" s="86"/>
      <c r="AB1052" s="86"/>
      <c r="AC1052" s="86"/>
      <c r="AD1052" s="86"/>
      <c r="AE1052" s="86"/>
    </row>
    <row r="1053" spans="1:31">
      <c r="A1053" s="86"/>
      <c r="B1053" s="86"/>
      <c r="C1053" s="86"/>
      <c r="D1053" s="86"/>
      <c r="E1053" s="86"/>
      <c r="F1053" s="86"/>
      <c r="G1053" s="86"/>
      <c r="H1053" s="86"/>
      <c r="I1053" s="86"/>
      <c r="J1053" s="86"/>
      <c r="K1053" s="86"/>
      <c r="L1053" s="86"/>
      <c r="M1053" s="86"/>
      <c r="N1053" s="86"/>
      <c r="O1053" s="86"/>
      <c r="P1053" s="86"/>
      <c r="Q1053" s="86"/>
      <c r="R1053" s="86"/>
      <c r="S1053" s="86"/>
      <c r="T1053" s="86"/>
      <c r="U1053" s="86"/>
      <c r="V1053" s="86"/>
      <c r="W1053" s="86"/>
      <c r="X1053" s="86"/>
      <c r="Y1053" s="86"/>
      <c r="Z1053" s="86"/>
      <c r="AA1053" s="86"/>
      <c r="AB1053" s="86"/>
      <c r="AC1053" s="86"/>
      <c r="AD1053" s="86"/>
      <c r="AE1053" s="86"/>
    </row>
    <row r="1054" spans="1:31">
      <c r="A1054" s="86"/>
      <c r="B1054" s="86"/>
      <c r="C1054" s="86"/>
      <c r="D1054" s="86"/>
      <c r="E1054" s="86"/>
      <c r="F1054" s="86"/>
      <c r="G1054" s="86"/>
      <c r="H1054" s="86"/>
      <c r="I1054" s="86"/>
      <c r="J1054" s="86"/>
      <c r="K1054" s="86"/>
      <c r="L1054" s="86"/>
      <c r="M1054" s="86"/>
      <c r="N1054" s="86"/>
      <c r="O1054" s="86"/>
      <c r="P1054" s="86"/>
      <c r="Q1054" s="86"/>
      <c r="R1054" s="86"/>
      <c r="S1054" s="86"/>
      <c r="T1054" s="86"/>
      <c r="U1054" s="86"/>
      <c r="V1054" s="86"/>
      <c r="W1054" s="86"/>
      <c r="X1054" s="86"/>
      <c r="Y1054" s="86"/>
      <c r="Z1054" s="86"/>
      <c r="AA1054" s="86"/>
      <c r="AB1054" s="86"/>
      <c r="AC1054" s="86"/>
      <c r="AD1054" s="86"/>
      <c r="AE1054" s="86"/>
    </row>
    <row r="1055" spans="1:31">
      <c r="A1055" s="86"/>
      <c r="B1055" s="86"/>
      <c r="C1055" s="86"/>
      <c r="D1055" s="86"/>
      <c r="E1055" s="86"/>
      <c r="F1055" s="86"/>
      <c r="G1055" s="86"/>
      <c r="H1055" s="86"/>
      <c r="I1055" s="86"/>
      <c r="J1055" s="86"/>
      <c r="K1055" s="86"/>
      <c r="L1055" s="86"/>
      <c r="M1055" s="86"/>
      <c r="N1055" s="86"/>
      <c r="O1055" s="86"/>
      <c r="P1055" s="86"/>
      <c r="Q1055" s="86"/>
      <c r="R1055" s="86"/>
      <c r="S1055" s="86"/>
      <c r="T1055" s="86"/>
      <c r="U1055" s="86"/>
      <c r="V1055" s="86"/>
      <c r="W1055" s="86"/>
      <c r="X1055" s="86"/>
      <c r="Y1055" s="86"/>
      <c r="Z1055" s="86"/>
      <c r="AA1055" s="86"/>
      <c r="AB1055" s="86"/>
      <c r="AC1055" s="86"/>
      <c r="AD1055" s="86"/>
      <c r="AE1055" s="86"/>
    </row>
    <row r="1056" spans="1:31">
      <c r="A1056" s="86"/>
      <c r="B1056" s="86"/>
      <c r="C1056" s="86"/>
      <c r="D1056" s="86"/>
      <c r="E1056" s="86"/>
      <c r="F1056" s="86"/>
      <c r="G1056" s="86"/>
      <c r="H1056" s="86"/>
      <c r="I1056" s="86"/>
      <c r="J1056" s="86"/>
      <c r="K1056" s="86"/>
      <c r="L1056" s="86"/>
      <c r="M1056" s="86"/>
      <c r="N1056" s="86"/>
      <c r="O1056" s="86"/>
      <c r="P1056" s="86"/>
      <c r="Q1056" s="86"/>
      <c r="R1056" s="86"/>
      <c r="S1056" s="86"/>
      <c r="T1056" s="86"/>
      <c r="U1056" s="86"/>
      <c r="V1056" s="86"/>
      <c r="W1056" s="86"/>
      <c r="X1056" s="86"/>
      <c r="Y1056" s="86"/>
      <c r="Z1056" s="86"/>
      <c r="AA1056" s="86"/>
      <c r="AB1056" s="86"/>
      <c r="AC1056" s="86"/>
      <c r="AD1056" s="86"/>
      <c r="AE1056" s="86"/>
    </row>
    <row r="1057" spans="1:31">
      <c r="A1057" s="86"/>
      <c r="B1057" s="86"/>
      <c r="C1057" s="86"/>
      <c r="D1057" s="86"/>
      <c r="E1057" s="86"/>
      <c r="F1057" s="86"/>
      <c r="G1057" s="86"/>
      <c r="H1057" s="86"/>
      <c r="I1057" s="86"/>
      <c r="J1057" s="86"/>
      <c r="K1057" s="86"/>
      <c r="L1057" s="86"/>
      <c r="M1057" s="86"/>
      <c r="N1057" s="86"/>
      <c r="O1057" s="86"/>
      <c r="P1057" s="86"/>
      <c r="Q1057" s="86"/>
      <c r="R1057" s="86"/>
      <c r="S1057" s="86"/>
      <c r="T1057" s="86"/>
      <c r="U1057" s="86"/>
      <c r="V1057" s="86"/>
      <c r="W1057" s="86"/>
      <c r="X1057" s="86"/>
      <c r="Y1057" s="86"/>
      <c r="Z1057" s="86"/>
      <c r="AA1057" s="86"/>
      <c r="AB1057" s="86"/>
      <c r="AC1057" s="86"/>
      <c r="AD1057" s="86"/>
      <c r="AE1057" s="86"/>
    </row>
    <row r="1058" spans="1:31">
      <c r="A1058" s="86"/>
      <c r="B1058" s="86"/>
      <c r="C1058" s="86"/>
      <c r="D1058" s="86"/>
      <c r="E1058" s="86"/>
      <c r="F1058" s="86"/>
      <c r="G1058" s="86"/>
      <c r="H1058" s="86"/>
      <c r="I1058" s="86"/>
      <c r="J1058" s="86"/>
      <c r="K1058" s="86"/>
      <c r="L1058" s="86"/>
      <c r="M1058" s="86"/>
      <c r="N1058" s="86"/>
      <c r="O1058" s="86"/>
      <c r="P1058" s="86"/>
      <c r="Q1058" s="86"/>
      <c r="R1058" s="86"/>
      <c r="S1058" s="86"/>
      <c r="T1058" s="86"/>
      <c r="U1058" s="86"/>
      <c r="V1058" s="86"/>
      <c r="W1058" s="86"/>
      <c r="X1058" s="86"/>
      <c r="Y1058" s="86"/>
      <c r="Z1058" s="86"/>
      <c r="AA1058" s="86"/>
      <c r="AB1058" s="86"/>
      <c r="AC1058" s="86"/>
      <c r="AD1058" s="86"/>
      <c r="AE1058" s="86"/>
    </row>
    <row r="1059" spans="1:31">
      <c r="A1059" s="86"/>
      <c r="B1059" s="86"/>
      <c r="C1059" s="86"/>
      <c r="D1059" s="86"/>
      <c r="E1059" s="86"/>
      <c r="F1059" s="86"/>
      <c r="G1059" s="86"/>
      <c r="H1059" s="86"/>
      <c r="I1059" s="86"/>
      <c r="J1059" s="86"/>
      <c r="K1059" s="86"/>
      <c r="L1059" s="86"/>
      <c r="M1059" s="86"/>
      <c r="N1059" s="86"/>
      <c r="O1059" s="86"/>
      <c r="P1059" s="86"/>
      <c r="Q1059" s="86"/>
      <c r="R1059" s="86"/>
      <c r="S1059" s="86"/>
      <c r="T1059" s="86"/>
      <c r="U1059" s="86"/>
      <c r="V1059" s="86"/>
      <c r="W1059" s="86"/>
      <c r="X1059" s="86"/>
      <c r="Y1059" s="86"/>
      <c r="Z1059" s="86"/>
      <c r="AA1059" s="86"/>
      <c r="AB1059" s="86"/>
      <c r="AC1059" s="86"/>
      <c r="AD1059" s="86"/>
      <c r="AE1059" s="86"/>
    </row>
    <row r="1060" spans="1:31">
      <c r="A1060" s="86"/>
      <c r="B1060" s="86"/>
      <c r="C1060" s="86"/>
      <c r="D1060" s="86"/>
      <c r="E1060" s="86"/>
      <c r="F1060" s="86"/>
      <c r="G1060" s="86"/>
      <c r="H1060" s="86"/>
      <c r="I1060" s="86"/>
      <c r="J1060" s="86"/>
      <c r="K1060" s="86"/>
      <c r="L1060" s="86"/>
      <c r="M1060" s="86"/>
      <c r="N1060" s="86"/>
      <c r="O1060" s="86"/>
      <c r="P1060" s="86"/>
      <c r="Q1060" s="86"/>
      <c r="R1060" s="86"/>
      <c r="S1060" s="86"/>
      <c r="T1060" s="86"/>
      <c r="U1060" s="86"/>
      <c r="V1060" s="86"/>
      <c r="W1060" s="86"/>
      <c r="X1060" s="86"/>
      <c r="Y1060" s="86"/>
      <c r="Z1060" s="86"/>
      <c r="AA1060" s="86"/>
      <c r="AB1060" s="86"/>
      <c r="AC1060" s="86"/>
      <c r="AD1060" s="86"/>
      <c r="AE1060" s="86"/>
    </row>
    <row r="1061" spans="1:31">
      <c r="A1061" s="86"/>
      <c r="B1061" s="86"/>
      <c r="C1061" s="86"/>
      <c r="D1061" s="86"/>
      <c r="E1061" s="86"/>
      <c r="F1061" s="86"/>
      <c r="G1061" s="86"/>
      <c r="H1061" s="86"/>
      <c r="I1061" s="86"/>
      <c r="J1061" s="86"/>
      <c r="K1061" s="86"/>
      <c r="L1061" s="86"/>
      <c r="M1061" s="86"/>
      <c r="N1061" s="86"/>
      <c r="O1061" s="86"/>
      <c r="P1061" s="86"/>
      <c r="Q1061" s="86"/>
      <c r="R1061" s="86"/>
      <c r="S1061" s="86"/>
      <c r="T1061" s="86"/>
      <c r="U1061" s="86"/>
      <c r="V1061" s="86"/>
      <c r="W1061" s="86"/>
      <c r="X1061" s="86"/>
      <c r="Y1061" s="86"/>
      <c r="Z1061" s="86"/>
      <c r="AA1061" s="86"/>
      <c r="AB1061" s="86"/>
      <c r="AC1061" s="86"/>
      <c r="AD1061" s="86"/>
      <c r="AE1061" s="86"/>
    </row>
    <row r="1062" spans="1:31">
      <c r="A1062" s="86"/>
      <c r="B1062" s="86"/>
      <c r="C1062" s="86"/>
      <c r="D1062" s="86"/>
      <c r="E1062" s="86"/>
      <c r="F1062" s="86"/>
      <c r="G1062" s="86"/>
      <c r="H1062" s="86"/>
      <c r="I1062" s="86"/>
      <c r="J1062" s="86"/>
      <c r="K1062" s="86"/>
      <c r="L1062" s="86"/>
      <c r="M1062" s="86"/>
      <c r="N1062" s="86"/>
      <c r="O1062" s="86"/>
      <c r="P1062" s="86"/>
      <c r="Q1062" s="86"/>
      <c r="R1062" s="86"/>
      <c r="S1062" s="86"/>
      <c r="T1062" s="86"/>
      <c r="U1062" s="86"/>
      <c r="V1062" s="86"/>
      <c r="W1062" s="86"/>
      <c r="X1062" s="86"/>
      <c r="Y1062" s="86"/>
      <c r="Z1062" s="86"/>
      <c r="AA1062" s="86"/>
      <c r="AB1062" s="86"/>
      <c r="AC1062" s="86"/>
      <c r="AD1062" s="86"/>
      <c r="AE1062" s="86"/>
    </row>
    <row r="1063" spans="1:31">
      <c r="A1063" s="86"/>
      <c r="B1063" s="86"/>
      <c r="C1063" s="86"/>
      <c r="D1063" s="86"/>
      <c r="E1063" s="86"/>
      <c r="F1063" s="86"/>
      <c r="G1063" s="86"/>
      <c r="H1063" s="86"/>
      <c r="I1063" s="86"/>
      <c r="J1063" s="86"/>
      <c r="K1063" s="86"/>
      <c r="L1063" s="86"/>
      <c r="M1063" s="86"/>
      <c r="N1063" s="86"/>
      <c r="O1063" s="86"/>
      <c r="P1063" s="86"/>
      <c r="Q1063" s="86"/>
      <c r="R1063" s="86"/>
      <c r="S1063" s="86"/>
      <c r="T1063" s="86"/>
      <c r="U1063" s="86"/>
      <c r="V1063" s="86"/>
      <c r="W1063" s="86"/>
      <c r="X1063" s="86"/>
      <c r="Y1063" s="86"/>
      <c r="Z1063" s="86"/>
      <c r="AA1063" s="86"/>
      <c r="AB1063" s="86"/>
      <c r="AC1063" s="86"/>
      <c r="AD1063" s="86"/>
      <c r="AE1063" s="86"/>
    </row>
    <row r="1064" spans="1:31">
      <c r="A1064" s="86"/>
      <c r="B1064" s="86"/>
      <c r="C1064" s="86"/>
      <c r="D1064" s="86"/>
      <c r="E1064" s="86"/>
      <c r="F1064" s="86"/>
      <c r="G1064" s="86"/>
      <c r="H1064" s="86"/>
      <c r="I1064" s="86"/>
      <c r="J1064" s="86"/>
      <c r="K1064" s="86"/>
      <c r="L1064" s="86"/>
      <c r="M1064" s="86"/>
      <c r="N1064" s="86"/>
      <c r="O1064" s="86"/>
      <c r="P1064" s="86"/>
      <c r="Q1064" s="86"/>
      <c r="R1064" s="86"/>
      <c r="S1064" s="86"/>
      <c r="T1064" s="86"/>
      <c r="U1064" s="86"/>
      <c r="V1064" s="86"/>
      <c r="W1064" s="86"/>
      <c r="X1064" s="86"/>
      <c r="Y1064" s="86"/>
      <c r="Z1064" s="86"/>
      <c r="AA1064" s="86"/>
      <c r="AB1064" s="86"/>
      <c r="AC1064" s="86"/>
      <c r="AD1064" s="86"/>
      <c r="AE1064" s="86"/>
    </row>
    <row r="1065" spans="1:31">
      <c r="A1065" s="86"/>
      <c r="B1065" s="86"/>
      <c r="C1065" s="86"/>
      <c r="D1065" s="86"/>
      <c r="E1065" s="86"/>
      <c r="F1065" s="86"/>
      <c r="G1065" s="86"/>
      <c r="H1065" s="86"/>
      <c r="I1065" s="86"/>
      <c r="J1065" s="86"/>
      <c r="K1065" s="86"/>
      <c r="L1065" s="86"/>
      <c r="M1065" s="86"/>
      <c r="N1065" s="86"/>
      <c r="O1065" s="86"/>
      <c r="P1065" s="86"/>
      <c r="Q1065" s="86"/>
      <c r="R1065" s="86"/>
      <c r="S1065" s="86"/>
      <c r="T1065" s="86"/>
      <c r="U1065" s="86"/>
      <c r="V1065" s="86"/>
      <c r="W1065" s="86"/>
      <c r="X1065" s="86"/>
      <c r="Y1065" s="86"/>
      <c r="Z1065" s="86"/>
      <c r="AA1065" s="86"/>
      <c r="AB1065" s="86"/>
      <c r="AC1065" s="86"/>
      <c r="AD1065" s="86"/>
      <c r="AE1065" s="86"/>
    </row>
    <row r="1066" spans="1:31">
      <c r="A1066" s="86"/>
      <c r="B1066" s="86"/>
      <c r="C1066" s="86"/>
      <c r="D1066" s="86"/>
      <c r="E1066" s="86"/>
      <c r="F1066" s="86"/>
      <c r="G1066" s="86"/>
      <c r="H1066" s="86"/>
      <c r="I1066" s="86"/>
      <c r="J1066" s="86"/>
      <c r="K1066" s="86"/>
      <c r="L1066" s="86"/>
      <c r="M1066" s="86"/>
      <c r="N1066" s="86"/>
      <c r="O1066" s="86"/>
      <c r="P1066" s="86"/>
      <c r="Q1066" s="86"/>
      <c r="R1066" s="86"/>
      <c r="S1066" s="86"/>
      <c r="T1066" s="86"/>
      <c r="U1066" s="86"/>
      <c r="V1066" s="86"/>
      <c r="W1066" s="86"/>
      <c r="X1066" s="86"/>
      <c r="Y1066" s="86"/>
      <c r="Z1066" s="86"/>
      <c r="AA1066" s="86"/>
      <c r="AB1066" s="86"/>
      <c r="AC1066" s="86"/>
      <c r="AD1066" s="86"/>
      <c r="AE1066" s="86"/>
    </row>
    <row r="1067" spans="1:31">
      <c r="A1067" s="86"/>
      <c r="B1067" s="86"/>
      <c r="C1067" s="86"/>
      <c r="D1067" s="86"/>
      <c r="E1067" s="86"/>
      <c r="F1067" s="86"/>
      <c r="G1067" s="86"/>
      <c r="H1067" s="86"/>
      <c r="I1067" s="86"/>
      <c r="J1067" s="86"/>
      <c r="K1067" s="86"/>
      <c r="L1067" s="86"/>
      <c r="M1067" s="86"/>
      <c r="N1067" s="86"/>
      <c r="O1067" s="86"/>
      <c r="P1067" s="86"/>
      <c r="Q1067" s="86"/>
      <c r="R1067" s="86"/>
      <c r="S1067" s="86"/>
      <c r="T1067" s="86"/>
      <c r="U1067" s="86"/>
      <c r="V1067" s="86"/>
      <c r="W1067" s="86"/>
      <c r="X1067" s="86"/>
      <c r="Y1067" s="86"/>
      <c r="Z1067" s="86"/>
      <c r="AA1067" s="86"/>
      <c r="AB1067" s="86"/>
      <c r="AC1067" s="86"/>
      <c r="AD1067" s="86"/>
      <c r="AE1067" s="86"/>
    </row>
    <row r="1068" spans="1:31">
      <c r="A1068" s="86"/>
      <c r="B1068" s="86"/>
      <c r="C1068" s="86"/>
      <c r="D1068" s="86"/>
      <c r="E1068" s="86"/>
      <c r="F1068" s="86"/>
      <c r="G1068" s="86"/>
      <c r="H1068" s="86"/>
      <c r="I1068" s="86"/>
      <c r="J1068" s="86"/>
      <c r="K1068" s="86"/>
      <c r="L1068" s="86"/>
      <c r="M1068" s="86"/>
      <c r="N1068" s="86"/>
      <c r="O1068" s="86"/>
      <c r="P1068" s="86"/>
      <c r="Q1068" s="86"/>
      <c r="R1068" s="86"/>
      <c r="S1068" s="86"/>
      <c r="T1068" s="86"/>
      <c r="U1068" s="86"/>
      <c r="V1068" s="86"/>
      <c r="W1068" s="86"/>
      <c r="X1068" s="86"/>
      <c r="Y1068" s="86"/>
      <c r="Z1068" s="86"/>
      <c r="AA1068" s="86"/>
      <c r="AB1068" s="86"/>
      <c r="AC1068" s="86"/>
      <c r="AD1068" s="86"/>
      <c r="AE1068" s="86"/>
    </row>
    <row r="1069" spans="1:31">
      <c r="A1069" s="86"/>
      <c r="B1069" s="86"/>
      <c r="C1069" s="86"/>
      <c r="D1069" s="86"/>
      <c r="E1069" s="86"/>
      <c r="F1069" s="86"/>
      <c r="G1069" s="86"/>
      <c r="H1069" s="86"/>
      <c r="I1069" s="86"/>
      <c r="J1069" s="86"/>
      <c r="K1069" s="86"/>
      <c r="L1069" s="86"/>
      <c r="M1069" s="86"/>
      <c r="N1069" s="86"/>
      <c r="O1069" s="86"/>
      <c r="P1069" s="86"/>
      <c r="Q1069" s="86"/>
      <c r="R1069" s="86"/>
      <c r="S1069" s="86"/>
      <c r="T1069" s="86"/>
      <c r="U1069" s="86"/>
      <c r="V1069" s="86"/>
      <c r="W1069" s="86"/>
      <c r="X1069" s="86"/>
      <c r="Y1069" s="86"/>
      <c r="Z1069" s="86"/>
      <c r="AA1069" s="86"/>
      <c r="AB1069" s="86"/>
      <c r="AC1069" s="86"/>
      <c r="AD1069" s="86"/>
      <c r="AE1069" s="86"/>
    </row>
    <row r="1070" spans="1:31">
      <c r="A1070" s="86"/>
      <c r="B1070" s="86"/>
      <c r="C1070" s="86"/>
      <c r="D1070" s="86"/>
      <c r="E1070" s="86"/>
      <c r="F1070" s="86"/>
      <c r="G1070" s="86"/>
      <c r="H1070" s="86"/>
      <c r="I1070" s="86"/>
      <c r="J1070" s="86"/>
      <c r="K1070" s="86"/>
      <c r="L1070" s="86"/>
      <c r="M1070" s="86"/>
      <c r="N1070" s="86"/>
      <c r="O1070" s="86"/>
      <c r="P1070" s="86"/>
      <c r="Q1070" s="86"/>
      <c r="R1070" s="86"/>
      <c r="S1070" s="86"/>
      <c r="T1070" s="86"/>
      <c r="U1070" s="86"/>
      <c r="V1070" s="86"/>
      <c r="W1070" s="86"/>
      <c r="X1070" s="86"/>
      <c r="Y1070" s="86"/>
      <c r="Z1070" s="86"/>
      <c r="AA1070" s="86"/>
      <c r="AB1070" s="86"/>
      <c r="AC1070" s="86"/>
      <c r="AD1070" s="86"/>
      <c r="AE1070" s="86"/>
    </row>
    <row r="1071" spans="1:31">
      <c r="A1071" s="86"/>
      <c r="B1071" s="86"/>
      <c r="C1071" s="86"/>
      <c r="D1071" s="86"/>
      <c r="E1071" s="86"/>
      <c r="F1071" s="86"/>
      <c r="G1071" s="86"/>
      <c r="H1071" s="86"/>
      <c r="I1071" s="86"/>
      <c r="J1071" s="86"/>
      <c r="K1071" s="86"/>
      <c r="L1071" s="86"/>
      <c r="M1071" s="86"/>
      <c r="N1071" s="86"/>
      <c r="O1071" s="86"/>
      <c r="P1071" s="86"/>
      <c r="Q1071" s="86"/>
      <c r="R1071" s="86"/>
      <c r="S1071" s="86"/>
      <c r="T1071" s="86"/>
      <c r="U1071" s="86"/>
      <c r="V1071" s="86"/>
      <c r="W1071" s="86"/>
      <c r="X1071" s="86"/>
      <c r="Y1071" s="86"/>
      <c r="Z1071" s="86"/>
      <c r="AA1071" s="86"/>
      <c r="AB1071" s="86"/>
      <c r="AC1071" s="86"/>
      <c r="AD1071" s="86"/>
      <c r="AE1071" s="86"/>
    </row>
    <row r="1072" spans="1:31">
      <c r="A1072" s="86"/>
      <c r="B1072" s="86"/>
      <c r="C1072" s="86"/>
      <c r="D1072" s="86"/>
      <c r="E1072" s="86"/>
      <c r="F1072" s="86"/>
      <c r="G1072" s="86"/>
      <c r="H1072" s="86"/>
      <c r="I1072" s="86"/>
      <c r="J1072" s="86"/>
      <c r="K1072" s="86"/>
      <c r="L1072" s="86"/>
      <c r="M1072" s="86"/>
      <c r="N1072" s="86"/>
      <c r="O1072" s="86"/>
      <c r="P1072" s="86"/>
      <c r="Q1072" s="86"/>
      <c r="R1072" s="86"/>
      <c r="S1072" s="86"/>
      <c r="T1072" s="86"/>
      <c r="U1072" s="86"/>
      <c r="V1072" s="86"/>
      <c r="W1072" s="86"/>
      <c r="X1072" s="86"/>
      <c r="Y1072" s="86"/>
      <c r="Z1072" s="86"/>
      <c r="AA1072" s="86"/>
      <c r="AB1072" s="86"/>
      <c r="AC1072" s="86"/>
      <c r="AD1072" s="86"/>
      <c r="AE1072" s="86"/>
    </row>
    <row r="1073" spans="1:31">
      <c r="A1073" s="86"/>
      <c r="B1073" s="86"/>
      <c r="C1073" s="86"/>
      <c r="D1073" s="86"/>
      <c r="E1073" s="86"/>
      <c r="F1073" s="86"/>
      <c r="G1073" s="86"/>
      <c r="H1073" s="86"/>
      <c r="I1073" s="86"/>
      <c r="J1073" s="86"/>
      <c r="K1073" s="86"/>
      <c r="L1073" s="86"/>
      <c r="M1073" s="86"/>
      <c r="N1073" s="86"/>
      <c r="O1073" s="86"/>
      <c r="P1073" s="86"/>
      <c r="Q1073" s="86"/>
      <c r="R1073" s="86"/>
      <c r="S1073" s="86"/>
      <c r="T1073" s="86"/>
      <c r="U1073" s="86"/>
      <c r="V1073" s="86"/>
      <c r="W1073" s="86"/>
      <c r="X1073" s="86"/>
      <c r="Y1073" s="86"/>
      <c r="Z1073" s="86"/>
      <c r="AA1073" s="86"/>
      <c r="AB1073" s="86"/>
      <c r="AC1073" s="86"/>
      <c r="AD1073" s="86"/>
      <c r="AE1073" s="86"/>
    </row>
    <row r="1074" spans="1:31">
      <c r="A1074" s="86"/>
      <c r="B1074" s="86"/>
      <c r="C1074" s="86"/>
      <c r="D1074" s="86"/>
      <c r="E1074" s="86"/>
      <c r="F1074" s="86"/>
      <c r="G1074" s="86"/>
      <c r="H1074" s="86"/>
      <c r="I1074" s="86"/>
      <c r="J1074" s="86"/>
      <c r="K1074" s="86"/>
      <c r="L1074" s="86"/>
      <c r="M1074" s="86"/>
      <c r="N1074" s="86"/>
      <c r="O1074" s="86"/>
      <c r="P1074" s="86"/>
      <c r="Q1074" s="86"/>
      <c r="R1074" s="86"/>
      <c r="S1074" s="86"/>
      <c r="T1074" s="86"/>
      <c r="U1074" s="86"/>
      <c r="V1074" s="86"/>
      <c r="W1074" s="86"/>
      <c r="X1074" s="86"/>
      <c r="Y1074" s="86"/>
      <c r="Z1074" s="86"/>
      <c r="AA1074" s="86"/>
      <c r="AB1074" s="86"/>
      <c r="AC1074" s="86"/>
      <c r="AD1074" s="86"/>
      <c r="AE1074" s="86"/>
    </row>
    <row r="1075" spans="1:31">
      <c r="A1075" s="86"/>
      <c r="B1075" s="86"/>
      <c r="C1075" s="86"/>
      <c r="D1075" s="86"/>
      <c r="E1075" s="86"/>
      <c r="F1075" s="86"/>
      <c r="G1075" s="86"/>
      <c r="H1075" s="86"/>
      <c r="I1075" s="86"/>
      <c r="J1075" s="86"/>
      <c r="K1075" s="86"/>
      <c r="L1075" s="86"/>
      <c r="M1075" s="86"/>
      <c r="N1075" s="86"/>
      <c r="O1075" s="86"/>
      <c r="P1075" s="86"/>
      <c r="Q1075" s="86"/>
      <c r="R1075" s="86"/>
      <c r="S1075" s="86"/>
      <c r="T1075" s="86"/>
      <c r="U1075" s="86"/>
      <c r="V1075" s="86"/>
      <c r="W1075" s="86"/>
      <c r="X1075" s="86"/>
      <c r="Y1075" s="86"/>
      <c r="Z1075" s="86"/>
      <c r="AA1075" s="86"/>
      <c r="AB1075" s="86"/>
      <c r="AC1075" s="86"/>
      <c r="AD1075" s="86"/>
      <c r="AE1075" s="86"/>
    </row>
    <row r="1076" spans="1:31">
      <c r="A1076" s="86"/>
      <c r="B1076" s="86"/>
      <c r="C1076" s="86"/>
      <c r="D1076" s="86"/>
      <c r="E1076" s="86"/>
      <c r="F1076" s="86"/>
      <c r="G1076" s="86"/>
      <c r="H1076" s="86"/>
      <c r="I1076" s="86"/>
      <c r="J1076" s="86"/>
      <c r="K1076" s="86"/>
      <c r="L1076" s="86"/>
      <c r="M1076" s="86"/>
      <c r="N1076" s="86"/>
      <c r="O1076" s="86"/>
      <c r="P1076" s="86"/>
      <c r="Q1076" s="86"/>
      <c r="R1076" s="86"/>
      <c r="S1076" s="86"/>
      <c r="T1076" s="86"/>
      <c r="U1076" s="86"/>
      <c r="V1076" s="86"/>
      <c r="W1076" s="86"/>
      <c r="X1076" s="86"/>
      <c r="Y1076" s="86"/>
      <c r="Z1076" s="86"/>
      <c r="AA1076" s="86"/>
      <c r="AB1076" s="86"/>
      <c r="AC1076" s="86"/>
      <c r="AD1076" s="86"/>
      <c r="AE1076" s="86"/>
    </row>
    <row r="1077" spans="1:31">
      <c r="A1077" s="86"/>
      <c r="B1077" s="86"/>
      <c r="C1077" s="86"/>
      <c r="D1077" s="86"/>
      <c r="E1077" s="86"/>
      <c r="F1077" s="86"/>
      <c r="G1077" s="86"/>
      <c r="H1077" s="86"/>
      <c r="I1077" s="86"/>
      <c r="J1077" s="86"/>
      <c r="K1077" s="86"/>
      <c r="L1077" s="86"/>
      <c r="M1077" s="86"/>
      <c r="N1077" s="86"/>
      <c r="O1077" s="86"/>
      <c r="P1077" s="86"/>
      <c r="Q1077" s="86"/>
      <c r="R1077" s="86"/>
      <c r="S1077" s="86"/>
      <c r="T1077" s="86"/>
      <c r="U1077" s="86"/>
      <c r="V1077" s="86"/>
      <c r="W1077" s="86"/>
      <c r="X1077" s="86"/>
      <c r="Y1077" s="86"/>
      <c r="Z1077" s="86"/>
      <c r="AA1077" s="86"/>
      <c r="AB1077" s="86"/>
      <c r="AC1077" s="86"/>
      <c r="AD1077" s="86"/>
      <c r="AE1077" s="86"/>
    </row>
    <row r="1078" spans="1:31">
      <c r="A1078" s="86"/>
      <c r="B1078" s="86"/>
      <c r="C1078" s="86"/>
      <c r="D1078" s="86"/>
      <c r="E1078" s="86"/>
      <c r="F1078" s="86"/>
      <c r="G1078" s="86"/>
      <c r="H1078" s="86"/>
      <c r="I1078" s="86"/>
      <c r="J1078" s="86"/>
      <c r="K1078" s="86"/>
      <c r="L1078" s="86"/>
      <c r="M1078" s="86"/>
      <c r="N1078" s="86"/>
      <c r="O1078" s="86"/>
      <c r="P1078" s="86"/>
      <c r="Q1078" s="86"/>
      <c r="R1078" s="86"/>
      <c r="S1078" s="86"/>
      <c r="T1078" s="86"/>
      <c r="U1078" s="86"/>
      <c r="V1078" s="86"/>
      <c r="W1078" s="86"/>
      <c r="X1078" s="86"/>
      <c r="Y1078" s="86"/>
      <c r="Z1078" s="86"/>
      <c r="AA1078" s="86"/>
      <c r="AB1078" s="86"/>
      <c r="AC1078" s="86"/>
      <c r="AD1078" s="86"/>
      <c r="AE1078" s="86"/>
    </row>
    <row r="1079" spans="1:31">
      <c r="A1079" s="86"/>
      <c r="B1079" s="86"/>
      <c r="C1079" s="86"/>
      <c r="D1079" s="86"/>
      <c r="E1079" s="86"/>
      <c r="F1079" s="86"/>
      <c r="G1079" s="86"/>
      <c r="H1079" s="86"/>
      <c r="I1079" s="86"/>
      <c r="J1079" s="86"/>
      <c r="K1079" s="86"/>
      <c r="L1079" s="86"/>
      <c r="M1079" s="86"/>
      <c r="N1079" s="86"/>
      <c r="O1079" s="86"/>
      <c r="P1079" s="86"/>
      <c r="Q1079" s="86"/>
      <c r="R1079" s="86"/>
      <c r="S1079" s="86"/>
      <c r="T1079" s="86"/>
      <c r="U1079" s="86"/>
      <c r="V1079" s="86"/>
      <c r="W1079" s="86"/>
      <c r="X1079" s="86"/>
      <c r="Y1079" s="86"/>
      <c r="Z1079" s="86"/>
      <c r="AA1079" s="86"/>
      <c r="AB1079" s="86"/>
      <c r="AC1079" s="86"/>
      <c r="AD1079" s="86"/>
      <c r="AE1079" s="86"/>
    </row>
    <row r="1080" spans="1:31">
      <c r="A1080" s="86"/>
      <c r="B1080" s="86"/>
      <c r="C1080" s="86"/>
      <c r="D1080" s="86"/>
      <c r="E1080" s="86"/>
      <c r="F1080" s="86"/>
      <c r="G1080" s="86"/>
      <c r="H1080" s="86"/>
      <c r="I1080" s="86"/>
      <c r="J1080" s="86"/>
      <c r="K1080" s="86"/>
      <c r="L1080" s="86"/>
      <c r="M1080" s="86"/>
      <c r="N1080" s="86"/>
      <c r="O1080" s="86"/>
      <c r="P1080" s="86"/>
      <c r="Q1080" s="86"/>
      <c r="R1080" s="86"/>
      <c r="S1080" s="86"/>
      <c r="T1080" s="86"/>
      <c r="U1080" s="86"/>
      <c r="V1080" s="86"/>
      <c r="W1080" s="86"/>
      <c r="X1080" s="86"/>
      <c r="Y1080" s="86"/>
      <c r="Z1080" s="86"/>
      <c r="AA1080" s="86"/>
      <c r="AB1080" s="86"/>
      <c r="AC1080" s="86"/>
      <c r="AD1080" s="86"/>
      <c r="AE1080" s="86"/>
    </row>
    <row r="1081" spans="1:31">
      <c r="A1081" s="86"/>
      <c r="B1081" s="86"/>
      <c r="C1081" s="86"/>
      <c r="D1081" s="86"/>
      <c r="E1081" s="86"/>
      <c r="F1081" s="86"/>
      <c r="G1081" s="86"/>
      <c r="H1081" s="86"/>
      <c r="I1081" s="86"/>
      <c r="J1081" s="86"/>
      <c r="K1081" s="86"/>
      <c r="L1081" s="86"/>
      <c r="M1081" s="86"/>
      <c r="N1081" s="86"/>
      <c r="O1081" s="86"/>
      <c r="P1081" s="86"/>
      <c r="Q1081" s="86"/>
      <c r="R1081" s="86"/>
      <c r="S1081" s="86"/>
      <c r="T1081" s="86"/>
      <c r="U1081" s="86"/>
      <c r="V1081" s="86"/>
      <c r="W1081" s="86"/>
      <c r="X1081" s="86"/>
      <c r="Y1081" s="86"/>
      <c r="Z1081" s="86"/>
      <c r="AA1081" s="86"/>
      <c r="AB1081" s="86"/>
      <c r="AC1081" s="86"/>
      <c r="AD1081" s="86"/>
      <c r="AE1081" s="86"/>
    </row>
    <row r="1082" spans="1:31">
      <c r="A1082" s="86"/>
      <c r="B1082" s="86"/>
      <c r="C1082" s="86"/>
      <c r="D1082" s="86"/>
      <c r="E1082" s="86"/>
      <c r="F1082" s="86"/>
      <c r="G1082" s="86"/>
      <c r="H1082" s="86"/>
      <c r="I1082" s="86"/>
      <c r="J1082" s="86"/>
      <c r="K1082" s="86"/>
      <c r="L1082" s="86"/>
      <c r="M1082" s="86"/>
      <c r="N1082" s="86"/>
      <c r="O1082" s="86"/>
      <c r="P1082" s="86"/>
      <c r="Q1082" s="86"/>
      <c r="R1082" s="86"/>
      <c r="S1082" s="86"/>
      <c r="T1082" s="86"/>
      <c r="U1082" s="86"/>
      <c r="V1082" s="86"/>
      <c r="W1082" s="86"/>
      <c r="X1082" s="86"/>
      <c r="Y1082" s="86"/>
      <c r="Z1082" s="86"/>
      <c r="AA1082" s="86"/>
      <c r="AB1082" s="86"/>
      <c r="AC1082" s="86"/>
      <c r="AD1082" s="86"/>
      <c r="AE1082" s="86"/>
    </row>
    <row r="1083" spans="1:31">
      <c r="A1083" s="86"/>
      <c r="B1083" s="86"/>
      <c r="C1083" s="86"/>
      <c r="D1083" s="86"/>
      <c r="E1083" s="86"/>
      <c r="F1083" s="86"/>
      <c r="G1083" s="86"/>
      <c r="H1083" s="86"/>
      <c r="I1083" s="86"/>
      <c r="J1083" s="86"/>
      <c r="K1083" s="86"/>
      <c r="L1083" s="86"/>
      <c r="M1083" s="86"/>
      <c r="N1083" s="86"/>
      <c r="O1083" s="86"/>
      <c r="P1083" s="86"/>
      <c r="Q1083" s="86"/>
      <c r="R1083" s="86"/>
      <c r="S1083" s="86"/>
      <c r="T1083" s="86"/>
      <c r="U1083" s="86"/>
      <c r="V1083" s="86"/>
      <c r="W1083" s="86"/>
      <c r="X1083" s="86"/>
      <c r="Y1083" s="86"/>
      <c r="Z1083" s="86"/>
      <c r="AA1083" s="86"/>
      <c r="AB1083" s="86"/>
      <c r="AC1083" s="86"/>
      <c r="AD1083" s="86"/>
      <c r="AE1083" s="86"/>
    </row>
    <row r="1084" spans="1:31">
      <c r="A1084" s="86"/>
      <c r="B1084" s="86"/>
      <c r="C1084" s="86"/>
      <c r="D1084" s="86"/>
      <c r="E1084" s="86"/>
      <c r="F1084" s="86"/>
      <c r="G1084" s="86"/>
      <c r="H1084" s="86"/>
      <c r="I1084" s="86"/>
      <c r="J1084" s="86"/>
      <c r="K1084" s="86"/>
      <c r="L1084" s="86"/>
      <c r="M1084" s="86"/>
      <c r="N1084" s="86"/>
      <c r="O1084" s="86"/>
      <c r="P1084" s="86"/>
      <c r="Q1084" s="86"/>
      <c r="R1084" s="86"/>
      <c r="S1084" s="86"/>
      <c r="T1084" s="86"/>
      <c r="U1084" s="86"/>
      <c r="V1084" s="86"/>
      <c r="W1084" s="86"/>
      <c r="X1084" s="86"/>
      <c r="Y1084" s="86"/>
      <c r="Z1084" s="86"/>
      <c r="AA1084" s="86"/>
      <c r="AB1084" s="86"/>
      <c r="AC1084" s="86"/>
      <c r="AD1084" s="86"/>
      <c r="AE1084" s="86"/>
    </row>
    <row r="1085" spans="1:31">
      <c r="A1085" s="86"/>
      <c r="B1085" s="86"/>
      <c r="C1085" s="86"/>
      <c r="D1085" s="86"/>
      <c r="E1085" s="86"/>
      <c r="F1085" s="86"/>
      <c r="G1085" s="86"/>
      <c r="H1085" s="86"/>
      <c r="I1085" s="86"/>
      <c r="J1085" s="86"/>
      <c r="K1085" s="86"/>
      <c r="L1085" s="86"/>
      <c r="M1085" s="86"/>
      <c r="N1085" s="86"/>
      <c r="O1085" s="86"/>
      <c r="P1085" s="86"/>
      <c r="Q1085" s="86"/>
      <c r="R1085" s="86"/>
      <c r="S1085" s="86"/>
      <c r="T1085" s="86"/>
      <c r="U1085" s="86"/>
      <c r="V1085" s="86"/>
      <c r="W1085" s="86"/>
      <c r="X1085" s="86"/>
      <c r="Y1085" s="86"/>
      <c r="Z1085" s="86"/>
      <c r="AA1085" s="86"/>
      <c r="AB1085" s="86"/>
      <c r="AC1085" s="86"/>
      <c r="AD1085" s="86"/>
      <c r="AE1085" s="86"/>
    </row>
    <row r="1086" spans="1:31">
      <c r="A1086" s="86"/>
      <c r="B1086" s="86"/>
      <c r="C1086" s="86"/>
      <c r="D1086" s="86"/>
      <c r="E1086" s="86"/>
      <c r="F1086" s="86"/>
      <c r="G1086" s="86"/>
      <c r="H1086" s="86"/>
      <c r="I1086" s="86"/>
      <c r="J1086" s="86"/>
      <c r="K1086" s="86"/>
      <c r="L1086" s="86"/>
      <c r="M1086" s="86"/>
      <c r="N1086" s="86"/>
      <c r="O1086" s="86"/>
      <c r="P1086" s="86"/>
      <c r="Q1086" s="86"/>
      <c r="R1086" s="86"/>
      <c r="S1086" s="86"/>
      <c r="T1086" s="86"/>
      <c r="U1086" s="86"/>
      <c r="V1086" s="86"/>
      <c r="W1086" s="86"/>
      <c r="X1086" s="86"/>
      <c r="Y1086" s="86"/>
      <c r="Z1086" s="86"/>
      <c r="AA1086" s="86"/>
      <c r="AB1086" s="86"/>
      <c r="AC1086" s="86"/>
      <c r="AD1086" s="86"/>
      <c r="AE1086" s="86"/>
    </row>
    <row r="1087" spans="1:31">
      <c r="A1087" s="86"/>
      <c r="B1087" s="86"/>
      <c r="C1087" s="86"/>
      <c r="D1087" s="86"/>
      <c r="E1087" s="86"/>
      <c r="F1087" s="86"/>
      <c r="G1087" s="86"/>
      <c r="H1087" s="86"/>
      <c r="I1087" s="86"/>
      <c r="J1087" s="86"/>
      <c r="K1087" s="86"/>
      <c r="L1087" s="86"/>
      <c r="M1087" s="86"/>
      <c r="N1087" s="86"/>
      <c r="O1087" s="86"/>
      <c r="P1087" s="86"/>
      <c r="Q1087" s="86"/>
      <c r="R1087" s="86"/>
      <c r="S1087" s="86"/>
      <c r="T1087" s="86"/>
      <c r="U1087" s="86"/>
      <c r="V1087" s="86"/>
      <c r="W1087" s="86"/>
      <c r="X1087" s="86"/>
      <c r="Y1087" s="86"/>
      <c r="Z1087" s="86"/>
      <c r="AA1087" s="86"/>
      <c r="AB1087" s="86"/>
      <c r="AC1087" s="86"/>
      <c r="AD1087" s="86"/>
      <c r="AE1087" s="86"/>
    </row>
    <row r="1088" spans="1:31">
      <c r="A1088" s="86"/>
      <c r="B1088" s="86"/>
      <c r="C1088" s="86"/>
      <c r="D1088" s="86"/>
      <c r="E1088" s="86"/>
      <c r="F1088" s="86"/>
      <c r="G1088" s="86"/>
      <c r="H1088" s="86"/>
      <c r="I1088" s="86"/>
      <c r="J1088" s="86"/>
      <c r="K1088" s="86"/>
      <c r="L1088" s="86"/>
      <c r="M1088" s="86"/>
      <c r="N1088" s="86"/>
      <c r="O1088" s="86"/>
      <c r="P1088" s="86"/>
      <c r="Q1088" s="86"/>
      <c r="R1088" s="86"/>
      <c r="S1088" s="86"/>
      <c r="T1088" s="86"/>
      <c r="U1088" s="86"/>
      <c r="V1088" s="86"/>
      <c r="W1088" s="86"/>
      <c r="X1088" s="86"/>
      <c r="Y1088" s="86"/>
      <c r="Z1088" s="86"/>
      <c r="AA1088" s="86"/>
      <c r="AB1088" s="86"/>
      <c r="AC1088" s="86"/>
      <c r="AD1088" s="86"/>
      <c r="AE1088" s="86"/>
    </row>
    <row r="1089" spans="1:31">
      <c r="A1089" s="86"/>
      <c r="B1089" s="86"/>
      <c r="C1089" s="86"/>
      <c r="D1089" s="86"/>
      <c r="E1089" s="86"/>
      <c r="F1089" s="86"/>
      <c r="G1089" s="86"/>
      <c r="H1089" s="86"/>
      <c r="I1089" s="86"/>
      <c r="J1089" s="86"/>
      <c r="K1089" s="86"/>
      <c r="L1089" s="86"/>
      <c r="M1089" s="86"/>
      <c r="N1089" s="86"/>
      <c r="O1089" s="86"/>
      <c r="P1089" s="86"/>
      <c r="Q1089" s="86"/>
      <c r="R1089" s="86"/>
      <c r="S1089" s="86"/>
      <c r="T1089" s="86"/>
      <c r="U1089" s="86"/>
      <c r="V1089" s="86"/>
      <c r="W1089" s="86"/>
      <c r="X1089" s="86"/>
      <c r="Y1089" s="86"/>
      <c r="Z1089" s="86"/>
      <c r="AA1089" s="86"/>
      <c r="AB1089" s="86"/>
      <c r="AC1089" s="86"/>
      <c r="AD1089" s="86"/>
      <c r="AE1089" s="86"/>
    </row>
    <row r="1090" spans="1:31">
      <c r="A1090" s="86"/>
      <c r="B1090" s="86"/>
      <c r="C1090" s="86"/>
      <c r="D1090" s="86"/>
      <c r="E1090" s="86"/>
      <c r="F1090" s="86"/>
      <c r="G1090" s="86"/>
      <c r="H1090" s="86"/>
      <c r="I1090" s="86"/>
      <c r="J1090" s="86"/>
      <c r="K1090" s="86"/>
      <c r="L1090" s="86"/>
      <c r="M1090" s="86"/>
      <c r="N1090" s="86"/>
      <c r="O1090" s="86"/>
      <c r="P1090" s="86"/>
      <c r="Q1090" s="86"/>
      <c r="R1090" s="86"/>
      <c r="S1090" s="86"/>
      <c r="T1090" s="86"/>
      <c r="U1090" s="86"/>
      <c r="V1090" s="86"/>
      <c r="W1090" s="86"/>
      <c r="X1090" s="86"/>
      <c r="Y1090" s="86"/>
      <c r="Z1090" s="86"/>
      <c r="AA1090" s="86"/>
      <c r="AB1090" s="86"/>
      <c r="AC1090" s="86"/>
      <c r="AD1090" s="86"/>
      <c r="AE1090" s="86"/>
    </row>
    <row r="1091" spans="1:31">
      <c r="A1091" s="86"/>
      <c r="B1091" s="86"/>
      <c r="C1091" s="86"/>
      <c r="D1091" s="86"/>
      <c r="E1091" s="86"/>
      <c r="F1091" s="86"/>
      <c r="G1091" s="86"/>
      <c r="H1091" s="86"/>
      <c r="I1091" s="86"/>
      <c r="J1091" s="86"/>
      <c r="K1091" s="86"/>
      <c r="L1091" s="86"/>
      <c r="M1091" s="86"/>
      <c r="N1091" s="86"/>
      <c r="O1091" s="86"/>
      <c r="P1091" s="86"/>
      <c r="Q1091" s="86"/>
      <c r="R1091" s="86"/>
      <c r="S1091" s="86"/>
      <c r="T1091" s="86"/>
      <c r="U1091" s="86"/>
      <c r="V1091" s="86"/>
      <c r="W1091" s="86"/>
      <c r="X1091" s="86"/>
      <c r="Y1091" s="86"/>
      <c r="Z1091" s="86"/>
      <c r="AA1091" s="86"/>
      <c r="AB1091" s="86"/>
      <c r="AC1091" s="86"/>
      <c r="AD1091" s="86"/>
      <c r="AE1091" s="86"/>
    </row>
    <row r="1092" spans="1:31">
      <c r="A1092" s="86"/>
      <c r="B1092" s="86"/>
      <c r="C1092" s="86"/>
      <c r="D1092" s="86"/>
      <c r="E1092" s="86"/>
      <c r="F1092" s="86"/>
      <c r="G1092" s="86"/>
      <c r="H1092" s="86"/>
      <c r="I1092" s="86"/>
      <c r="J1092" s="86"/>
      <c r="K1092" s="86"/>
      <c r="L1092" s="86"/>
      <c r="M1092" s="86"/>
      <c r="N1092" s="86"/>
      <c r="O1092" s="86"/>
      <c r="P1092" s="86"/>
      <c r="Q1092" s="86"/>
      <c r="R1092" s="86"/>
      <c r="S1092" s="86"/>
      <c r="T1092" s="86"/>
      <c r="U1092" s="86"/>
      <c r="V1092" s="86"/>
      <c r="W1092" s="86"/>
      <c r="X1092" s="86"/>
      <c r="Y1092" s="86"/>
      <c r="Z1092" s="86"/>
      <c r="AA1092" s="86"/>
      <c r="AB1092" s="86"/>
      <c r="AC1092" s="86"/>
      <c r="AD1092" s="86"/>
      <c r="AE1092" s="86"/>
    </row>
    <row r="1093" spans="1:31">
      <c r="A1093" s="86"/>
      <c r="B1093" s="86"/>
      <c r="C1093" s="86"/>
      <c r="D1093" s="86"/>
      <c r="E1093" s="86"/>
      <c r="F1093" s="86"/>
      <c r="G1093" s="86"/>
      <c r="H1093" s="86"/>
      <c r="I1093" s="86"/>
      <c r="J1093" s="86"/>
      <c r="K1093" s="86"/>
      <c r="L1093" s="86"/>
      <c r="M1093" s="86"/>
      <c r="N1093" s="86"/>
      <c r="O1093" s="86"/>
      <c r="P1093" s="86"/>
      <c r="Q1093" s="86"/>
      <c r="R1093" s="86"/>
      <c r="S1093" s="86"/>
      <c r="T1093" s="86"/>
      <c r="U1093" s="86"/>
      <c r="V1093" s="86"/>
      <c r="W1093" s="86"/>
      <c r="X1093" s="86"/>
      <c r="Y1093" s="86"/>
      <c r="Z1093" s="86"/>
      <c r="AA1093" s="86"/>
      <c r="AB1093" s="86"/>
      <c r="AC1093" s="86"/>
      <c r="AD1093" s="86"/>
      <c r="AE1093" s="86"/>
    </row>
    <row r="1094" spans="1:31">
      <c r="A1094" s="86"/>
      <c r="B1094" s="86"/>
      <c r="C1094" s="86"/>
      <c r="D1094" s="86"/>
      <c r="E1094" s="86"/>
      <c r="F1094" s="86"/>
      <c r="G1094" s="86"/>
      <c r="H1094" s="86"/>
      <c r="I1094" s="86"/>
      <c r="J1094" s="86"/>
      <c r="K1094" s="86"/>
      <c r="L1094" s="86"/>
      <c r="M1094" s="86"/>
      <c r="N1094" s="86"/>
      <c r="O1094" s="86"/>
      <c r="P1094" s="86"/>
      <c r="Q1094" s="86"/>
      <c r="R1094" s="86"/>
      <c r="S1094" s="86"/>
      <c r="T1094" s="86"/>
      <c r="U1094" s="86"/>
      <c r="V1094" s="86"/>
      <c r="W1094" s="86"/>
      <c r="X1094" s="86"/>
      <c r="Y1094" s="86"/>
      <c r="Z1094" s="86"/>
      <c r="AA1094" s="86"/>
      <c r="AB1094" s="86"/>
      <c r="AC1094" s="86"/>
      <c r="AD1094" s="86"/>
      <c r="AE1094" s="86"/>
    </row>
    <row r="1095" spans="1:31">
      <c r="A1095" s="86"/>
      <c r="B1095" s="86"/>
      <c r="C1095" s="86"/>
      <c r="D1095" s="86"/>
      <c r="E1095" s="86"/>
      <c r="F1095" s="86"/>
      <c r="G1095" s="86"/>
      <c r="H1095" s="86"/>
      <c r="I1095" s="86"/>
      <c r="J1095" s="86"/>
      <c r="K1095" s="86"/>
      <c r="L1095" s="86"/>
      <c r="M1095" s="86"/>
      <c r="N1095" s="86"/>
      <c r="O1095" s="86"/>
      <c r="P1095" s="86"/>
      <c r="Q1095" s="86"/>
      <c r="R1095" s="86"/>
      <c r="S1095" s="86"/>
      <c r="T1095" s="86"/>
      <c r="U1095" s="86"/>
      <c r="V1095" s="86"/>
      <c r="W1095" s="86"/>
      <c r="X1095" s="86"/>
      <c r="Y1095" s="86"/>
      <c r="Z1095" s="86"/>
      <c r="AA1095" s="86"/>
      <c r="AB1095" s="86"/>
      <c r="AC1095" s="86"/>
      <c r="AD1095" s="86"/>
      <c r="AE1095" s="86"/>
    </row>
    <row r="1096" spans="1:31">
      <c r="A1096" s="86"/>
      <c r="B1096" s="86"/>
      <c r="C1096" s="86"/>
      <c r="D1096" s="86"/>
      <c r="E1096" s="86"/>
      <c r="F1096" s="86"/>
      <c r="G1096" s="86"/>
      <c r="H1096" s="86"/>
      <c r="I1096" s="86"/>
      <c r="J1096" s="86"/>
      <c r="K1096" s="86"/>
      <c r="L1096" s="86"/>
      <c r="M1096" s="86"/>
      <c r="N1096" s="86"/>
      <c r="O1096" s="86"/>
      <c r="P1096" s="86"/>
      <c r="Q1096" s="86"/>
      <c r="R1096" s="86"/>
      <c r="S1096" s="86"/>
      <c r="T1096" s="86"/>
      <c r="U1096" s="86"/>
      <c r="V1096" s="86"/>
      <c r="W1096" s="86"/>
      <c r="X1096" s="86"/>
      <c r="Y1096" s="86"/>
      <c r="Z1096" s="86"/>
      <c r="AA1096" s="86"/>
      <c r="AB1096" s="86"/>
      <c r="AC1096" s="86"/>
      <c r="AD1096" s="86"/>
      <c r="AE1096" s="86"/>
    </row>
    <row r="1097" spans="1:31">
      <c r="A1097" s="86"/>
      <c r="B1097" s="86"/>
      <c r="C1097" s="86"/>
      <c r="D1097" s="86"/>
      <c r="E1097" s="86"/>
      <c r="F1097" s="86"/>
      <c r="G1097" s="86"/>
      <c r="H1097" s="86"/>
      <c r="I1097" s="86"/>
      <c r="J1097" s="86"/>
      <c r="K1097" s="86"/>
      <c r="L1097" s="86"/>
      <c r="M1097" s="86"/>
      <c r="N1097" s="86"/>
      <c r="O1097" s="86"/>
      <c r="P1097" s="86"/>
      <c r="Q1097" s="86"/>
      <c r="R1097" s="86"/>
      <c r="S1097" s="86"/>
      <c r="T1097" s="86"/>
      <c r="U1097" s="86"/>
      <c r="V1097" s="86"/>
      <c r="W1097" s="86"/>
      <c r="X1097" s="86"/>
      <c r="Y1097" s="86"/>
      <c r="Z1097" s="86"/>
      <c r="AA1097" s="86"/>
      <c r="AB1097" s="86"/>
      <c r="AC1097" s="86"/>
      <c r="AD1097" s="86"/>
      <c r="AE1097" s="86"/>
    </row>
    <row r="1098" spans="1:31">
      <c r="A1098" s="86"/>
      <c r="B1098" s="86"/>
      <c r="C1098" s="86"/>
      <c r="D1098" s="86"/>
      <c r="E1098" s="86"/>
      <c r="F1098" s="86"/>
      <c r="G1098" s="86"/>
      <c r="H1098" s="86"/>
      <c r="I1098" s="86"/>
      <c r="J1098" s="86"/>
      <c r="K1098" s="86"/>
      <c r="L1098" s="86"/>
      <c r="M1098" s="86"/>
      <c r="N1098" s="86"/>
      <c r="O1098" s="86"/>
      <c r="P1098" s="86"/>
      <c r="Q1098" s="86"/>
      <c r="R1098" s="86"/>
      <c r="S1098" s="86"/>
      <c r="T1098" s="86"/>
      <c r="U1098" s="86"/>
      <c r="V1098" s="86"/>
      <c r="W1098" s="86"/>
      <c r="X1098" s="86"/>
      <c r="Y1098" s="86"/>
      <c r="Z1098" s="86"/>
      <c r="AA1098" s="86"/>
      <c r="AB1098" s="86"/>
      <c r="AC1098" s="86"/>
      <c r="AD1098" s="86"/>
      <c r="AE1098" s="86"/>
    </row>
    <row r="1099" spans="1:31">
      <c r="A1099" s="86"/>
      <c r="B1099" s="86"/>
      <c r="C1099" s="86"/>
      <c r="D1099" s="86"/>
      <c r="E1099" s="86"/>
      <c r="F1099" s="86"/>
      <c r="G1099" s="86"/>
      <c r="H1099" s="86"/>
      <c r="I1099" s="86"/>
      <c r="J1099" s="86"/>
      <c r="K1099" s="86"/>
      <c r="L1099" s="86"/>
      <c r="M1099" s="86"/>
      <c r="N1099" s="86"/>
      <c r="O1099" s="86"/>
      <c r="P1099" s="86"/>
      <c r="Q1099" s="86"/>
      <c r="R1099" s="86"/>
      <c r="S1099" s="86"/>
      <c r="T1099" s="86"/>
      <c r="U1099" s="86"/>
      <c r="V1099" s="86"/>
      <c r="W1099" s="86"/>
      <c r="X1099" s="86"/>
      <c r="Y1099" s="86"/>
      <c r="Z1099" s="86"/>
      <c r="AA1099" s="86"/>
      <c r="AB1099" s="86"/>
      <c r="AC1099" s="86"/>
      <c r="AD1099" s="86"/>
      <c r="AE1099" s="86"/>
    </row>
    <row r="1100" spans="1:31">
      <c r="A1100" s="86"/>
      <c r="B1100" s="86"/>
      <c r="C1100" s="86"/>
      <c r="D1100" s="86"/>
      <c r="E1100" s="86"/>
      <c r="F1100" s="86"/>
      <c r="G1100" s="86"/>
      <c r="H1100" s="86"/>
      <c r="I1100" s="86"/>
      <c r="J1100" s="86"/>
      <c r="K1100" s="86"/>
      <c r="L1100" s="86"/>
      <c r="M1100" s="86"/>
      <c r="N1100" s="86"/>
      <c r="O1100" s="86"/>
      <c r="P1100" s="86"/>
      <c r="Q1100" s="86"/>
      <c r="R1100" s="86"/>
      <c r="S1100" s="86"/>
      <c r="T1100" s="86"/>
      <c r="U1100" s="86"/>
      <c r="V1100" s="86"/>
      <c r="W1100" s="86"/>
      <c r="X1100" s="86"/>
      <c r="Y1100" s="86"/>
      <c r="Z1100" s="86"/>
      <c r="AA1100" s="86"/>
      <c r="AB1100" s="86"/>
      <c r="AC1100" s="86"/>
      <c r="AD1100" s="86"/>
      <c r="AE1100" s="86"/>
    </row>
    <row r="1101" spans="1:31">
      <c r="A1101" s="86"/>
      <c r="B1101" s="86"/>
      <c r="C1101" s="86"/>
      <c r="D1101" s="86"/>
      <c r="E1101" s="86"/>
      <c r="F1101" s="86"/>
      <c r="G1101" s="86"/>
      <c r="H1101" s="86"/>
      <c r="I1101" s="86"/>
      <c r="J1101" s="86"/>
      <c r="K1101" s="86"/>
      <c r="L1101" s="86"/>
      <c r="M1101" s="86"/>
      <c r="N1101" s="86"/>
      <c r="O1101" s="86"/>
      <c r="P1101" s="86"/>
      <c r="Q1101" s="86"/>
      <c r="R1101" s="86"/>
      <c r="S1101" s="86"/>
      <c r="T1101" s="86"/>
      <c r="U1101" s="86"/>
      <c r="V1101" s="86"/>
      <c r="W1101" s="86"/>
      <c r="X1101" s="86"/>
      <c r="Y1101" s="86"/>
      <c r="Z1101" s="86"/>
      <c r="AA1101" s="86"/>
      <c r="AB1101" s="86"/>
      <c r="AC1101" s="86"/>
      <c r="AD1101" s="86"/>
      <c r="AE1101" s="86"/>
    </row>
    <row r="1102" spans="1:31">
      <c r="A1102" s="86"/>
      <c r="B1102" s="86"/>
      <c r="C1102" s="86"/>
      <c r="D1102" s="86"/>
      <c r="E1102" s="86"/>
      <c r="F1102" s="86"/>
      <c r="G1102" s="86"/>
      <c r="H1102" s="86"/>
      <c r="I1102" s="86"/>
      <c r="J1102" s="86"/>
      <c r="K1102" s="86"/>
      <c r="L1102" s="86"/>
      <c r="M1102" s="86"/>
      <c r="N1102" s="86"/>
      <c r="O1102" s="86"/>
      <c r="P1102" s="86"/>
      <c r="Q1102" s="86"/>
      <c r="R1102" s="86"/>
      <c r="S1102" s="86"/>
      <c r="T1102" s="86"/>
      <c r="U1102" s="86"/>
      <c r="V1102" s="86"/>
      <c r="W1102" s="86"/>
      <c r="X1102" s="86"/>
      <c r="Y1102" s="86"/>
      <c r="Z1102" s="86"/>
      <c r="AA1102" s="86"/>
      <c r="AB1102" s="86"/>
      <c r="AC1102" s="86"/>
      <c r="AD1102" s="86"/>
      <c r="AE1102" s="86"/>
    </row>
    <row r="1103" spans="1:31">
      <c r="A1103" s="86"/>
      <c r="B1103" s="86"/>
      <c r="C1103" s="86"/>
      <c r="D1103" s="86"/>
      <c r="E1103" s="86"/>
      <c r="F1103" s="86"/>
      <c r="G1103" s="86"/>
      <c r="H1103" s="86"/>
      <c r="I1103" s="86"/>
      <c r="J1103" s="86"/>
      <c r="K1103" s="86"/>
      <c r="L1103" s="86"/>
      <c r="M1103" s="86"/>
      <c r="N1103" s="86"/>
      <c r="O1103" s="86"/>
      <c r="P1103" s="86"/>
      <c r="Q1103" s="86"/>
      <c r="R1103" s="86"/>
      <c r="S1103" s="86"/>
      <c r="T1103" s="86"/>
      <c r="U1103" s="86"/>
      <c r="V1103" s="86"/>
      <c r="W1103" s="86"/>
      <c r="X1103" s="86"/>
      <c r="Y1103" s="86"/>
      <c r="Z1103" s="86"/>
      <c r="AA1103" s="86"/>
      <c r="AB1103" s="86"/>
      <c r="AC1103" s="86"/>
      <c r="AD1103" s="86"/>
      <c r="AE1103" s="86"/>
    </row>
    <row r="1104" spans="1:31">
      <c r="A1104" s="86"/>
      <c r="B1104" s="86"/>
      <c r="C1104" s="86"/>
      <c r="D1104" s="86"/>
      <c r="E1104" s="86"/>
      <c r="F1104" s="86"/>
      <c r="G1104" s="86"/>
      <c r="H1104" s="86"/>
      <c r="I1104" s="86"/>
      <c r="J1104" s="86"/>
      <c r="K1104" s="86"/>
      <c r="L1104" s="86"/>
      <c r="M1104" s="86"/>
      <c r="N1104" s="86"/>
      <c r="O1104" s="86"/>
      <c r="P1104" s="86"/>
      <c r="Q1104" s="86"/>
      <c r="R1104" s="86"/>
      <c r="S1104" s="86"/>
      <c r="T1104" s="86"/>
      <c r="U1104" s="86"/>
      <c r="V1104" s="86"/>
      <c r="W1104" s="86"/>
      <c r="X1104" s="86"/>
      <c r="Y1104" s="86"/>
      <c r="Z1104" s="86"/>
      <c r="AA1104" s="86"/>
      <c r="AB1104" s="86"/>
      <c r="AC1104" s="86"/>
      <c r="AD1104" s="86"/>
      <c r="AE1104" s="86"/>
    </row>
    <row r="1105" spans="1:31">
      <c r="A1105" s="86"/>
      <c r="B1105" s="86"/>
      <c r="C1105" s="86"/>
      <c r="D1105" s="86"/>
      <c r="E1105" s="86"/>
      <c r="F1105" s="86"/>
      <c r="G1105" s="86"/>
      <c r="H1105" s="86"/>
      <c r="I1105" s="86"/>
      <c r="J1105" s="86"/>
      <c r="K1105" s="86"/>
      <c r="L1105" s="86"/>
      <c r="M1105" s="86"/>
      <c r="N1105" s="86"/>
      <c r="O1105" s="86"/>
      <c r="P1105" s="86"/>
      <c r="Q1105" s="86"/>
      <c r="R1105" s="86"/>
      <c r="S1105" s="86"/>
      <c r="T1105" s="86"/>
      <c r="U1105" s="86"/>
      <c r="V1105" s="86"/>
      <c r="W1105" s="86"/>
      <c r="X1105" s="86"/>
      <c r="Y1105" s="86"/>
      <c r="Z1105" s="86"/>
      <c r="AA1105" s="86"/>
      <c r="AB1105" s="86"/>
      <c r="AC1105" s="86"/>
      <c r="AD1105" s="86"/>
      <c r="AE1105" s="86"/>
    </row>
    <row r="1106" spans="1:31">
      <c r="A1106" s="86"/>
      <c r="B1106" s="86"/>
      <c r="C1106" s="86"/>
      <c r="D1106" s="86"/>
      <c r="E1106" s="86"/>
      <c r="F1106" s="86"/>
      <c r="G1106" s="86"/>
      <c r="H1106" s="86"/>
      <c r="I1106" s="86"/>
      <c r="J1106" s="86"/>
      <c r="K1106" s="86"/>
      <c r="L1106" s="86"/>
      <c r="M1106" s="86"/>
      <c r="N1106" s="86"/>
      <c r="O1106" s="86"/>
      <c r="P1106" s="86"/>
      <c r="Q1106" s="86"/>
      <c r="R1106" s="86"/>
      <c r="S1106" s="86"/>
      <c r="T1106" s="86"/>
      <c r="U1106" s="86"/>
      <c r="V1106" s="86"/>
      <c r="W1106" s="86"/>
      <c r="X1106" s="86"/>
      <c r="Y1106" s="86"/>
      <c r="Z1106" s="86"/>
      <c r="AA1106" s="86"/>
      <c r="AB1106" s="86"/>
      <c r="AC1106" s="86"/>
      <c r="AD1106" s="86"/>
      <c r="AE1106" s="86"/>
    </row>
    <row r="1107" spans="1:31">
      <c r="A1107" s="86"/>
      <c r="B1107" s="86"/>
      <c r="C1107" s="86"/>
      <c r="D1107" s="86"/>
      <c r="E1107" s="86"/>
      <c r="F1107" s="86"/>
      <c r="G1107" s="86"/>
      <c r="H1107" s="86"/>
      <c r="I1107" s="86"/>
      <c r="J1107" s="86"/>
      <c r="K1107" s="86"/>
      <c r="L1107" s="86"/>
      <c r="M1107" s="86"/>
      <c r="N1107" s="86"/>
      <c r="O1107" s="86"/>
      <c r="P1107" s="86"/>
      <c r="Q1107" s="86"/>
      <c r="R1107" s="86"/>
      <c r="S1107" s="86"/>
      <c r="T1107" s="86"/>
      <c r="U1107" s="86"/>
      <c r="V1107" s="86"/>
      <c r="W1107" s="86"/>
      <c r="X1107" s="86"/>
      <c r="Y1107" s="86"/>
      <c r="Z1107" s="86"/>
      <c r="AA1107" s="86"/>
      <c r="AB1107" s="86"/>
      <c r="AC1107" s="86"/>
      <c r="AD1107" s="86"/>
      <c r="AE1107" s="86"/>
    </row>
    <row r="1108" spans="1:31">
      <c r="A1108" s="86"/>
      <c r="B1108" s="86"/>
      <c r="C1108" s="86"/>
      <c r="D1108" s="86"/>
      <c r="E1108" s="86"/>
      <c r="F1108" s="86"/>
      <c r="G1108" s="86"/>
      <c r="H1108" s="86"/>
      <c r="I1108" s="86"/>
      <c r="J1108" s="86"/>
      <c r="K1108" s="86"/>
      <c r="L1108" s="86"/>
      <c r="M1108" s="86"/>
      <c r="N1108" s="86"/>
      <c r="O1108" s="86"/>
      <c r="P1108" s="86"/>
      <c r="Q1108" s="86"/>
      <c r="R1108" s="86"/>
      <c r="S1108" s="86"/>
      <c r="T1108" s="86"/>
      <c r="U1108" s="86"/>
      <c r="V1108" s="86"/>
      <c r="W1108" s="86"/>
      <c r="X1108" s="86"/>
      <c r="Y1108" s="86"/>
      <c r="Z1108" s="86"/>
      <c r="AA1108" s="86"/>
      <c r="AB1108" s="86"/>
      <c r="AC1108" s="86"/>
      <c r="AD1108" s="86"/>
      <c r="AE1108" s="86"/>
    </row>
    <row r="1109" spans="1:31">
      <c r="A1109" s="86"/>
      <c r="B1109" s="86"/>
      <c r="C1109" s="86"/>
      <c r="D1109" s="86"/>
      <c r="E1109" s="86"/>
      <c r="F1109" s="86"/>
      <c r="G1109" s="86"/>
      <c r="H1109" s="86"/>
      <c r="I1109" s="86"/>
      <c r="J1109" s="86"/>
      <c r="K1109" s="86"/>
      <c r="L1109" s="86"/>
      <c r="M1109" s="86"/>
      <c r="N1109" s="86"/>
      <c r="O1109" s="86"/>
      <c r="P1109" s="86"/>
      <c r="Q1109" s="86"/>
      <c r="R1109" s="86"/>
      <c r="S1109" s="86"/>
      <c r="T1109" s="86"/>
      <c r="U1109" s="86"/>
      <c r="V1109" s="86"/>
      <c r="W1109" s="86"/>
      <c r="X1109" s="86"/>
      <c r="Y1109" s="86"/>
      <c r="Z1109" s="86"/>
      <c r="AA1109" s="86"/>
      <c r="AB1109" s="86"/>
      <c r="AC1109" s="86"/>
      <c r="AD1109" s="86"/>
      <c r="AE1109" s="86"/>
    </row>
    <row r="1110" spans="1:31">
      <c r="A1110" s="86"/>
      <c r="B1110" s="86"/>
      <c r="C1110" s="86"/>
      <c r="D1110" s="86"/>
      <c r="E1110" s="86"/>
      <c r="F1110" s="86"/>
      <c r="G1110" s="86"/>
      <c r="H1110" s="86"/>
      <c r="I1110" s="86"/>
      <c r="J1110" s="86"/>
      <c r="K1110" s="86"/>
      <c r="L1110" s="86"/>
      <c r="M1110" s="86"/>
      <c r="N1110" s="86"/>
      <c r="O1110" s="86"/>
      <c r="P1110" s="86"/>
      <c r="Q1110" s="86"/>
      <c r="R1110" s="86"/>
      <c r="S1110" s="86"/>
      <c r="T1110" s="86"/>
      <c r="U1110" s="86"/>
      <c r="V1110" s="86"/>
      <c r="W1110" s="86"/>
      <c r="X1110" s="86"/>
      <c r="Y1110" s="86"/>
      <c r="Z1110" s="86"/>
      <c r="AA1110" s="86"/>
      <c r="AB1110" s="86"/>
      <c r="AC1110" s="86"/>
      <c r="AD1110" s="86"/>
      <c r="AE1110" s="86"/>
    </row>
    <row r="1111" spans="1:31">
      <c r="A1111" s="86"/>
      <c r="B1111" s="86"/>
      <c r="C1111" s="86"/>
      <c r="D1111" s="86"/>
      <c r="E1111" s="86"/>
      <c r="F1111" s="86"/>
      <c r="G1111" s="86"/>
      <c r="H1111" s="86"/>
      <c r="I1111" s="86"/>
      <c r="J1111" s="86"/>
      <c r="K1111" s="86"/>
      <c r="L1111" s="86"/>
      <c r="M1111" s="86"/>
      <c r="N1111" s="86"/>
      <c r="O1111" s="86"/>
      <c r="P1111" s="86"/>
      <c r="Q1111" s="86"/>
      <c r="R1111" s="86"/>
      <c r="S1111" s="86"/>
      <c r="T1111" s="86"/>
      <c r="U1111" s="86"/>
      <c r="V1111" s="86"/>
      <c r="W1111" s="86"/>
      <c r="X1111" s="86"/>
      <c r="Y1111" s="86"/>
      <c r="Z1111" s="86"/>
      <c r="AA1111" s="86"/>
      <c r="AB1111" s="86"/>
      <c r="AC1111" s="86"/>
      <c r="AD1111" s="86"/>
      <c r="AE1111" s="86"/>
    </row>
    <row r="1112" spans="1:31">
      <c r="A1112" s="86"/>
      <c r="B1112" s="86"/>
      <c r="C1112" s="86"/>
      <c r="D1112" s="86"/>
      <c r="E1112" s="86"/>
      <c r="F1112" s="86"/>
      <c r="G1112" s="86"/>
      <c r="H1112" s="86"/>
      <c r="I1112" s="86"/>
      <c r="J1112" s="86"/>
      <c r="K1112" s="86"/>
      <c r="L1112" s="86"/>
      <c r="M1112" s="86"/>
      <c r="N1112" s="86"/>
      <c r="O1112" s="86"/>
      <c r="P1112" s="86"/>
      <c r="Q1112" s="86"/>
      <c r="R1112" s="86"/>
      <c r="S1112" s="86"/>
      <c r="T1112" s="86"/>
      <c r="U1112" s="86"/>
      <c r="V1112" s="86"/>
      <c r="W1112" s="86"/>
      <c r="X1112" s="86"/>
      <c r="Y1112" s="86"/>
      <c r="Z1112" s="86"/>
      <c r="AA1112" s="86"/>
      <c r="AB1112" s="86"/>
      <c r="AC1112" s="86"/>
      <c r="AD1112" s="86"/>
      <c r="AE1112" s="86"/>
    </row>
    <row r="1113" spans="1:31">
      <c r="A1113" s="86"/>
      <c r="B1113" s="86"/>
      <c r="C1113" s="86"/>
      <c r="D1113" s="86"/>
      <c r="E1113" s="86"/>
      <c r="F1113" s="86"/>
      <c r="G1113" s="86"/>
      <c r="H1113" s="86"/>
      <c r="I1113" s="86"/>
      <c r="J1113" s="86"/>
      <c r="K1113" s="86"/>
      <c r="L1113" s="86"/>
      <c r="M1113" s="86"/>
      <c r="N1113" s="86"/>
      <c r="O1113" s="86"/>
      <c r="P1113" s="86"/>
      <c r="Q1113" s="86"/>
      <c r="R1113" s="86"/>
      <c r="S1113" s="86"/>
      <c r="T1113" s="86"/>
      <c r="U1113" s="86"/>
      <c r="V1113" s="86"/>
      <c r="W1113" s="86"/>
      <c r="X1113" s="86"/>
      <c r="Y1113" s="86"/>
      <c r="Z1113" s="86"/>
      <c r="AA1113" s="86"/>
      <c r="AB1113" s="86"/>
      <c r="AC1113" s="86"/>
      <c r="AD1113" s="86"/>
      <c r="AE1113" s="86"/>
    </row>
    <row r="1114" spans="1:31">
      <c r="A1114" s="86"/>
      <c r="B1114" s="86"/>
      <c r="C1114" s="86"/>
      <c r="D1114" s="86"/>
      <c r="E1114" s="86"/>
      <c r="F1114" s="86"/>
      <c r="G1114" s="86"/>
      <c r="H1114" s="86"/>
      <c r="I1114" s="86"/>
      <c r="J1114" s="86"/>
      <c r="K1114" s="86"/>
      <c r="L1114" s="86"/>
      <c r="M1114" s="86"/>
      <c r="N1114" s="86"/>
      <c r="O1114" s="86"/>
      <c r="P1114" s="86"/>
      <c r="Q1114" s="86"/>
      <c r="R1114" s="86"/>
      <c r="S1114" s="86"/>
      <c r="T1114" s="86"/>
      <c r="U1114" s="86"/>
      <c r="V1114" s="86"/>
      <c r="W1114" s="86"/>
      <c r="X1114" s="86"/>
      <c r="Y1114" s="86"/>
      <c r="Z1114" s="86"/>
      <c r="AA1114" s="86"/>
      <c r="AB1114" s="86"/>
      <c r="AC1114" s="86"/>
      <c r="AD1114" s="86"/>
      <c r="AE1114" s="86"/>
    </row>
    <row r="1115" spans="1:31">
      <c r="A1115" s="86"/>
      <c r="B1115" s="86"/>
      <c r="C1115" s="86"/>
      <c r="D1115" s="86"/>
      <c r="E1115" s="86"/>
      <c r="F1115" s="86"/>
      <c r="G1115" s="86"/>
      <c r="H1115" s="86"/>
      <c r="I1115" s="86"/>
      <c r="J1115" s="86"/>
      <c r="K1115" s="86"/>
      <c r="L1115" s="86"/>
      <c r="M1115" s="86"/>
      <c r="N1115" s="86"/>
      <c r="O1115" s="86"/>
      <c r="P1115" s="86"/>
      <c r="Q1115" s="86"/>
      <c r="R1115" s="86"/>
      <c r="S1115" s="86"/>
      <c r="T1115" s="86"/>
      <c r="U1115" s="86"/>
      <c r="V1115" s="86"/>
      <c r="W1115" s="86"/>
      <c r="X1115" s="86"/>
      <c r="Y1115" s="86"/>
      <c r="Z1115" s="86"/>
      <c r="AA1115" s="86"/>
      <c r="AB1115" s="86"/>
      <c r="AC1115" s="86"/>
      <c r="AD1115" s="86"/>
      <c r="AE1115" s="86"/>
    </row>
    <row r="1116" spans="1:31">
      <c r="A1116" s="86"/>
      <c r="B1116" s="86"/>
      <c r="C1116" s="86"/>
      <c r="D1116" s="86"/>
      <c r="E1116" s="86"/>
      <c r="F1116" s="86"/>
      <c r="G1116" s="86"/>
      <c r="H1116" s="86"/>
      <c r="I1116" s="86"/>
      <c r="J1116" s="86"/>
      <c r="K1116" s="86"/>
      <c r="L1116" s="86"/>
      <c r="M1116" s="86"/>
      <c r="N1116" s="86"/>
      <c r="O1116" s="86"/>
      <c r="P1116" s="86"/>
      <c r="Q1116" s="86"/>
      <c r="R1116" s="86"/>
      <c r="S1116" s="86"/>
      <c r="T1116" s="86"/>
      <c r="U1116" s="86"/>
      <c r="V1116" s="86"/>
      <c r="W1116" s="86"/>
      <c r="X1116" s="86"/>
      <c r="Y1116" s="86"/>
      <c r="Z1116" s="86"/>
      <c r="AA1116" s="86"/>
      <c r="AB1116" s="86"/>
      <c r="AC1116" s="86"/>
      <c r="AD1116" s="86"/>
      <c r="AE1116" s="86"/>
    </row>
    <row r="1117" spans="1:31">
      <c r="A1117" s="86"/>
      <c r="B1117" s="86"/>
      <c r="C1117" s="86"/>
      <c r="D1117" s="86"/>
      <c r="E1117" s="86"/>
      <c r="F1117" s="86"/>
      <c r="G1117" s="86"/>
      <c r="H1117" s="86"/>
      <c r="I1117" s="86"/>
      <c r="J1117" s="86"/>
      <c r="K1117" s="86"/>
      <c r="L1117" s="86"/>
      <c r="M1117" s="86"/>
      <c r="N1117" s="86"/>
      <c r="O1117" s="86"/>
      <c r="P1117" s="86"/>
      <c r="Q1117" s="86"/>
      <c r="R1117" s="86"/>
      <c r="S1117" s="86"/>
      <c r="T1117" s="86"/>
      <c r="U1117" s="86"/>
      <c r="V1117" s="86"/>
      <c r="W1117" s="86"/>
      <c r="X1117" s="86"/>
      <c r="Y1117" s="86"/>
      <c r="Z1117" s="86"/>
      <c r="AA1117" s="86"/>
      <c r="AB1117" s="86"/>
      <c r="AC1117" s="86"/>
      <c r="AD1117" s="86"/>
      <c r="AE1117" s="86"/>
    </row>
    <row r="1118" spans="1:31">
      <c r="A1118" s="86"/>
      <c r="B1118" s="86"/>
      <c r="C1118" s="86"/>
      <c r="D1118" s="86"/>
      <c r="E1118" s="86"/>
      <c r="F1118" s="86"/>
      <c r="G1118" s="86"/>
      <c r="H1118" s="86"/>
      <c r="I1118" s="86"/>
      <c r="J1118" s="86"/>
      <c r="K1118" s="86"/>
      <c r="L1118" s="86"/>
      <c r="M1118" s="86"/>
      <c r="N1118" s="86"/>
      <c r="O1118" s="86"/>
      <c r="P1118" s="86"/>
      <c r="Q1118" s="86"/>
      <c r="R1118" s="86"/>
      <c r="S1118" s="86"/>
      <c r="T1118" s="86"/>
      <c r="U1118" s="86"/>
      <c r="V1118" s="86"/>
      <c r="W1118" s="86"/>
      <c r="X1118" s="86"/>
      <c r="Y1118" s="86"/>
      <c r="Z1118" s="86"/>
      <c r="AA1118" s="86"/>
      <c r="AB1118" s="86"/>
      <c r="AC1118" s="86"/>
      <c r="AD1118" s="86"/>
      <c r="AE1118" s="86"/>
    </row>
    <row r="1119" spans="1:31">
      <c r="A1119" s="86"/>
      <c r="B1119" s="86"/>
      <c r="C1119" s="86"/>
      <c r="D1119" s="86"/>
      <c r="E1119" s="86"/>
      <c r="F1119" s="86"/>
      <c r="G1119" s="86"/>
      <c r="H1119" s="86"/>
      <c r="I1119" s="86"/>
      <c r="J1119" s="86"/>
      <c r="K1119" s="86"/>
      <c r="L1119" s="86"/>
      <c r="M1119" s="86"/>
      <c r="N1119" s="86"/>
      <c r="O1119" s="86"/>
      <c r="P1119" s="86"/>
      <c r="Q1119" s="86"/>
      <c r="R1119" s="86"/>
      <c r="S1119" s="86"/>
      <c r="T1119" s="86"/>
      <c r="U1119" s="86"/>
      <c r="V1119" s="86"/>
      <c r="W1119" s="86"/>
      <c r="X1119" s="86"/>
      <c r="Y1119" s="86"/>
      <c r="Z1119" s="86"/>
      <c r="AA1119" s="86"/>
      <c r="AB1119" s="86"/>
      <c r="AC1119" s="86"/>
      <c r="AD1119" s="86"/>
      <c r="AE1119" s="86"/>
    </row>
    <row r="1120" spans="1:31">
      <c r="A1120" s="86"/>
      <c r="B1120" s="86"/>
      <c r="C1120" s="86"/>
      <c r="D1120" s="86"/>
      <c r="E1120" s="86"/>
      <c r="F1120" s="86"/>
      <c r="G1120" s="86"/>
      <c r="H1120" s="86"/>
      <c r="I1120" s="86"/>
      <c r="J1120" s="86"/>
      <c r="K1120" s="86"/>
      <c r="L1120" s="86"/>
      <c r="M1120" s="86"/>
      <c r="N1120" s="86"/>
      <c r="O1120" s="86"/>
      <c r="P1120" s="86"/>
      <c r="Q1120" s="86"/>
      <c r="R1120" s="86"/>
      <c r="S1120" s="86"/>
      <c r="T1120" s="86"/>
      <c r="U1120" s="86"/>
      <c r="V1120" s="86"/>
      <c r="W1120" s="86"/>
      <c r="X1120" s="86"/>
      <c r="Y1120" s="86"/>
      <c r="Z1120" s="86"/>
      <c r="AA1120" s="86"/>
      <c r="AB1120" s="86"/>
      <c r="AC1120" s="86"/>
      <c r="AD1120" s="86"/>
      <c r="AE1120" s="86"/>
    </row>
    <row r="1121" spans="1:31">
      <c r="A1121" s="86"/>
      <c r="B1121" s="86"/>
      <c r="C1121" s="86"/>
      <c r="D1121" s="86"/>
      <c r="E1121" s="86"/>
      <c r="F1121" s="86"/>
      <c r="G1121" s="86"/>
      <c r="H1121" s="86"/>
      <c r="I1121" s="86"/>
      <c r="J1121" s="86"/>
      <c r="K1121" s="86"/>
      <c r="L1121" s="86"/>
      <c r="M1121" s="86"/>
      <c r="N1121" s="86"/>
      <c r="O1121" s="86"/>
      <c r="P1121" s="86"/>
      <c r="Q1121" s="86"/>
      <c r="R1121" s="86"/>
      <c r="S1121" s="86"/>
      <c r="T1121" s="86"/>
      <c r="U1121" s="86"/>
      <c r="V1121" s="86"/>
      <c r="W1121" s="86"/>
      <c r="X1121" s="86"/>
      <c r="Y1121" s="86"/>
      <c r="Z1121" s="86"/>
      <c r="AA1121" s="86"/>
      <c r="AB1121" s="86"/>
      <c r="AC1121" s="86"/>
      <c r="AD1121" s="86"/>
      <c r="AE1121" s="86"/>
    </row>
    <row r="1122" spans="1:31">
      <c r="A1122" s="86"/>
      <c r="B1122" s="86"/>
      <c r="C1122" s="86"/>
      <c r="D1122" s="86"/>
      <c r="E1122" s="86"/>
      <c r="F1122" s="86"/>
      <c r="G1122" s="86"/>
      <c r="H1122" s="86"/>
      <c r="I1122" s="86"/>
      <c r="J1122" s="86"/>
      <c r="K1122" s="86"/>
      <c r="L1122" s="86"/>
      <c r="M1122" s="86"/>
      <c r="N1122" s="86"/>
      <c r="O1122" s="86"/>
      <c r="P1122" s="86"/>
      <c r="Q1122" s="86"/>
      <c r="R1122" s="86"/>
      <c r="S1122" s="86"/>
      <c r="T1122" s="86"/>
      <c r="U1122" s="86"/>
      <c r="V1122" s="86"/>
      <c r="W1122" s="86"/>
      <c r="X1122" s="86"/>
      <c r="Y1122" s="86"/>
      <c r="Z1122" s="86"/>
      <c r="AA1122" s="86"/>
      <c r="AB1122" s="86"/>
      <c r="AC1122" s="86"/>
      <c r="AD1122" s="86"/>
      <c r="AE1122" s="86"/>
    </row>
    <row r="1123" spans="1:31">
      <c r="A1123" s="86"/>
      <c r="B1123" s="86"/>
      <c r="C1123" s="86"/>
      <c r="D1123" s="86"/>
      <c r="E1123" s="86"/>
      <c r="F1123" s="86"/>
      <c r="G1123" s="86"/>
      <c r="H1123" s="86"/>
      <c r="I1123" s="86"/>
      <c r="J1123" s="86"/>
      <c r="K1123" s="86"/>
      <c r="L1123" s="86"/>
      <c r="M1123" s="86"/>
      <c r="N1123" s="86"/>
      <c r="O1123" s="86"/>
      <c r="P1123" s="86"/>
      <c r="Q1123" s="86"/>
      <c r="R1123" s="86"/>
      <c r="S1123" s="86"/>
      <c r="T1123" s="86"/>
      <c r="U1123" s="86"/>
      <c r="V1123" s="86"/>
      <c r="W1123" s="86"/>
      <c r="X1123" s="86"/>
      <c r="Y1123" s="86"/>
      <c r="Z1123" s="86"/>
      <c r="AA1123" s="86"/>
      <c r="AB1123" s="86"/>
      <c r="AC1123" s="86"/>
      <c r="AD1123" s="86"/>
      <c r="AE1123" s="86"/>
    </row>
    <row r="1124" spans="1:31">
      <c r="A1124" s="86"/>
      <c r="B1124" s="86"/>
      <c r="C1124" s="86"/>
      <c r="D1124" s="86"/>
      <c r="E1124" s="86"/>
      <c r="F1124" s="86"/>
      <c r="G1124" s="86"/>
      <c r="H1124" s="86"/>
      <c r="I1124" s="86"/>
      <c r="J1124" s="86"/>
      <c r="K1124" s="86"/>
      <c r="L1124" s="86"/>
      <c r="M1124" s="86"/>
      <c r="N1124" s="86"/>
      <c r="O1124" s="86"/>
      <c r="P1124" s="86"/>
      <c r="Q1124" s="86"/>
      <c r="R1124" s="86"/>
      <c r="S1124" s="86"/>
      <c r="T1124" s="86"/>
      <c r="U1124" s="86"/>
      <c r="V1124" s="86"/>
      <c r="W1124" s="86"/>
      <c r="X1124" s="86"/>
      <c r="Y1124" s="86"/>
      <c r="Z1124" s="86"/>
      <c r="AA1124" s="86"/>
      <c r="AB1124" s="86"/>
      <c r="AC1124" s="86"/>
      <c r="AD1124" s="86"/>
      <c r="AE1124" s="86"/>
    </row>
    <row r="1125" spans="1:31">
      <c r="A1125" s="86"/>
      <c r="B1125" s="86"/>
      <c r="C1125" s="86"/>
      <c r="D1125" s="86"/>
      <c r="E1125" s="86"/>
      <c r="F1125" s="86"/>
      <c r="G1125" s="86"/>
      <c r="H1125" s="86"/>
      <c r="I1125" s="86"/>
      <c r="J1125" s="86"/>
      <c r="K1125" s="86"/>
      <c r="L1125" s="86"/>
      <c r="M1125" s="86"/>
      <c r="N1125" s="86"/>
      <c r="O1125" s="86"/>
      <c r="P1125" s="86"/>
      <c r="Q1125" s="86"/>
      <c r="R1125" s="86"/>
      <c r="S1125" s="86"/>
      <c r="T1125" s="86"/>
      <c r="U1125" s="86"/>
      <c r="V1125" s="86"/>
      <c r="W1125" s="86"/>
      <c r="X1125" s="86"/>
      <c r="Y1125" s="86"/>
      <c r="Z1125" s="86"/>
      <c r="AA1125" s="86"/>
      <c r="AB1125" s="86"/>
      <c r="AC1125" s="86"/>
      <c r="AD1125" s="86"/>
      <c r="AE1125" s="86"/>
    </row>
    <row r="1126" spans="1:31">
      <c r="A1126" s="86"/>
      <c r="B1126" s="86"/>
      <c r="C1126" s="86"/>
      <c r="D1126" s="86"/>
      <c r="E1126" s="86"/>
      <c r="F1126" s="86"/>
      <c r="G1126" s="86"/>
      <c r="H1126" s="86"/>
      <c r="I1126" s="86"/>
      <c r="J1126" s="86"/>
      <c r="K1126" s="86"/>
      <c r="L1126" s="86"/>
      <c r="M1126" s="86"/>
      <c r="N1126" s="86"/>
      <c r="O1126" s="86"/>
      <c r="P1126" s="86"/>
      <c r="Q1126" s="86"/>
      <c r="R1126" s="86"/>
      <c r="S1126" s="86"/>
      <c r="T1126" s="86"/>
      <c r="U1126" s="86"/>
      <c r="V1126" s="86"/>
      <c r="W1126" s="86"/>
      <c r="X1126" s="86"/>
      <c r="Y1126" s="86"/>
      <c r="Z1126" s="86"/>
      <c r="AA1126" s="86"/>
      <c r="AB1126" s="86"/>
      <c r="AC1126" s="86"/>
      <c r="AD1126" s="86"/>
      <c r="AE1126" s="86"/>
    </row>
    <row r="1127" spans="1:31">
      <c r="A1127" s="86"/>
      <c r="B1127" s="86"/>
      <c r="C1127" s="86"/>
      <c r="D1127" s="86"/>
      <c r="E1127" s="86"/>
      <c r="F1127" s="86"/>
      <c r="G1127" s="86"/>
      <c r="H1127" s="86"/>
      <c r="I1127" s="86"/>
      <c r="J1127" s="86"/>
      <c r="K1127" s="86"/>
      <c r="L1127" s="86"/>
      <c r="M1127" s="86"/>
      <c r="N1127" s="86"/>
      <c r="O1127" s="86"/>
      <c r="P1127" s="86"/>
      <c r="Q1127" s="86"/>
      <c r="R1127" s="86"/>
      <c r="S1127" s="86"/>
      <c r="T1127" s="86"/>
      <c r="U1127" s="86"/>
      <c r="V1127" s="86"/>
      <c r="W1127" s="86"/>
      <c r="X1127" s="86"/>
      <c r="Y1127" s="86"/>
      <c r="Z1127" s="86"/>
      <c r="AA1127" s="86"/>
      <c r="AB1127" s="86"/>
      <c r="AC1127" s="86"/>
      <c r="AD1127" s="86"/>
      <c r="AE1127" s="86"/>
    </row>
    <row r="1128" spans="1:31">
      <c r="A1128" s="86"/>
      <c r="B1128" s="86"/>
      <c r="C1128" s="86"/>
      <c r="D1128" s="86"/>
      <c r="E1128" s="86"/>
      <c r="F1128" s="86"/>
      <c r="G1128" s="86"/>
      <c r="H1128" s="86"/>
      <c r="I1128" s="86"/>
      <c r="J1128" s="86"/>
      <c r="K1128" s="86"/>
      <c r="L1128" s="86"/>
      <c r="M1128" s="86"/>
      <c r="N1128" s="86"/>
      <c r="O1128" s="86"/>
      <c r="P1128" s="86"/>
      <c r="Q1128" s="86"/>
      <c r="R1128" s="86"/>
      <c r="S1128" s="86"/>
      <c r="T1128" s="86"/>
      <c r="U1128" s="86"/>
      <c r="V1128" s="86"/>
      <c r="W1128" s="86"/>
      <c r="X1128" s="86"/>
      <c r="Y1128" s="86"/>
      <c r="Z1128" s="86"/>
      <c r="AA1128" s="86"/>
      <c r="AB1128" s="86"/>
      <c r="AC1128" s="86"/>
      <c r="AD1128" s="86"/>
      <c r="AE1128" s="86"/>
    </row>
    <row r="1129" spans="1:31">
      <c r="A1129" s="86"/>
      <c r="B1129" s="86"/>
      <c r="C1129" s="86"/>
      <c r="D1129" s="86"/>
      <c r="E1129" s="86"/>
      <c r="F1129" s="86"/>
      <c r="G1129" s="86"/>
      <c r="H1129" s="86"/>
      <c r="I1129" s="86"/>
      <c r="J1129" s="86"/>
      <c r="K1129" s="86"/>
      <c r="L1129" s="86"/>
      <c r="M1129" s="86"/>
      <c r="N1129" s="86"/>
      <c r="O1129" s="86"/>
      <c r="P1129" s="86"/>
      <c r="Q1129" s="86"/>
      <c r="R1129" s="86"/>
      <c r="S1129" s="86"/>
      <c r="T1129" s="86"/>
      <c r="U1129" s="86"/>
      <c r="V1129" s="86"/>
      <c r="W1129" s="86"/>
      <c r="X1129" s="86"/>
      <c r="Y1129" s="86"/>
      <c r="Z1129" s="86"/>
      <c r="AA1129" s="86"/>
      <c r="AB1129" s="86"/>
      <c r="AC1129" s="86"/>
      <c r="AD1129" s="86"/>
      <c r="AE1129" s="86"/>
    </row>
    <row r="1130" spans="1:31">
      <c r="A1130" s="86"/>
      <c r="B1130" s="86"/>
      <c r="C1130" s="86"/>
      <c r="D1130" s="86"/>
      <c r="E1130" s="86"/>
      <c r="F1130" s="86"/>
      <c r="G1130" s="86"/>
      <c r="H1130" s="86"/>
      <c r="I1130" s="86"/>
      <c r="J1130" s="86"/>
      <c r="K1130" s="86"/>
      <c r="L1130" s="86"/>
      <c r="M1130" s="86"/>
      <c r="N1130" s="86"/>
      <c r="O1130" s="86"/>
      <c r="P1130" s="86"/>
      <c r="Q1130" s="86"/>
      <c r="R1130" s="86"/>
      <c r="S1130" s="86"/>
      <c r="T1130" s="86"/>
      <c r="U1130" s="86"/>
      <c r="V1130" s="86"/>
      <c r="W1130" s="86"/>
      <c r="X1130" s="86"/>
      <c r="Y1130" s="86"/>
      <c r="Z1130" s="86"/>
      <c r="AA1130" s="86"/>
      <c r="AB1130" s="86"/>
      <c r="AC1130" s="86"/>
      <c r="AD1130" s="86"/>
      <c r="AE1130" s="86"/>
    </row>
    <row r="1131" spans="1:31">
      <c r="A1131" s="86"/>
      <c r="B1131" s="86"/>
      <c r="C1131" s="86"/>
      <c r="D1131" s="86"/>
      <c r="E1131" s="86"/>
      <c r="F1131" s="86"/>
      <c r="G1131" s="86"/>
      <c r="H1131" s="86"/>
      <c r="I1131" s="86"/>
      <c r="J1131" s="86"/>
      <c r="K1131" s="86"/>
      <c r="L1131" s="86"/>
      <c r="M1131" s="86"/>
      <c r="N1131" s="86"/>
      <c r="O1131" s="86"/>
      <c r="P1131" s="86"/>
      <c r="Q1131" s="86"/>
      <c r="R1131" s="86"/>
      <c r="S1131" s="86"/>
      <c r="T1131" s="86"/>
      <c r="U1131" s="86"/>
      <c r="V1131" s="86"/>
      <c r="W1131" s="86"/>
      <c r="X1131" s="86"/>
      <c r="Y1131" s="86"/>
      <c r="Z1131" s="86"/>
      <c r="AA1131" s="86"/>
      <c r="AB1131" s="86"/>
      <c r="AC1131" s="86"/>
      <c r="AD1131" s="86"/>
      <c r="AE1131" s="86"/>
    </row>
    <row r="1132" spans="1:31">
      <c r="A1132" s="86"/>
      <c r="B1132" s="86"/>
      <c r="C1132" s="86"/>
      <c r="D1132" s="86"/>
      <c r="E1132" s="86"/>
      <c r="F1132" s="86"/>
      <c r="G1132" s="86"/>
      <c r="H1132" s="86"/>
      <c r="I1132" s="86"/>
      <c r="J1132" s="86"/>
      <c r="K1132" s="86"/>
      <c r="L1132" s="86"/>
      <c r="M1132" s="86"/>
      <c r="N1132" s="86"/>
      <c r="O1132" s="86"/>
      <c r="P1132" s="86"/>
      <c r="Q1132" s="86"/>
      <c r="R1132" s="86"/>
      <c r="S1132" s="86"/>
      <c r="T1132" s="86"/>
      <c r="U1132" s="86"/>
      <c r="V1132" s="86"/>
      <c r="W1132" s="86"/>
      <c r="X1132" s="86"/>
      <c r="Y1132" s="86"/>
      <c r="Z1132" s="86"/>
      <c r="AA1132" s="86"/>
      <c r="AB1132" s="86"/>
      <c r="AC1132" s="86"/>
      <c r="AD1132" s="86"/>
      <c r="AE1132" s="86"/>
    </row>
    <row r="1133" spans="1:31">
      <c r="A1133" s="86"/>
      <c r="B1133" s="86"/>
      <c r="C1133" s="86"/>
      <c r="D1133" s="86"/>
      <c r="E1133" s="86"/>
      <c r="F1133" s="86"/>
      <c r="G1133" s="86"/>
      <c r="H1133" s="86"/>
      <c r="I1133" s="86"/>
      <c r="J1133" s="86"/>
      <c r="K1133" s="86"/>
      <c r="L1133" s="86"/>
      <c r="M1133" s="86"/>
      <c r="N1133" s="86"/>
      <c r="O1133" s="86"/>
      <c r="P1133" s="86"/>
      <c r="Q1133" s="86"/>
      <c r="R1133" s="86"/>
      <c r="S1133" s="86"/>
      <c r="T1133" s="86"/>
      <c r="U1133" s="86"/>
      <c r="V1133" s="86"/>
      <c r="W1133" s="86"/>
      <c r="X1133" s="86"/>
      <c r="Y1133" s="86"/>
      <c r="Z1133" s="86"/>
      <c r="AA1133" s="86"/>
      <c r="AB1133" s="86"/>
      <c r="AC1133" s="86"/>
      <c r="AD1133" s="86"/>
      <c r="AE1133" s="86"/>
    </row>
    <row r="1134" spans="1:31">
      <c r="A1134" s="86"/>
      <c r="B1134" s="86"/>
      <c r="C1134" s="86"/>
      <c r="D1134" s="86"/>
      <c r="E1134" s="86"/>
      <c r="F1134" s="86"/>
      <c r="G1134" s="86"/>
      <c r="H1134" s="86"/>
      <c r="I1134" s="86"/>
      <c r="J1134" s="86"/>
      <c r="K1134" s="86"/>
      <c r="L1134" s="86"/>
      <c r="M1134" s="86"/>
      <c r="N1134" s="86"/>
      <c r="O1134" s="86"/>
      <c r="P1134" s="86"/>
      <c r="Q1134" s="86"/>
      <c r="R1134" s="86"/>
      <c r="S1134" s="86"/>
      <c r="T1134" s="86"/>
      <c r="U1134" s="86"/>
      <c r="V1134" s="86"/>
      <c r="W1134" s="86"/>
      <c r="X1134" s="86"/>
      <c r="Y1134" s="86"/>
      <c r="Z1134" s="86"/>
      <c r="AA1134" s="86"/>
      <c r="AB1134" s="86"/>
      <c r="AC1134" s="86"/>
      <c r="AD1134" s="86"/>
      <c r="AE1134" s="86"/>
    </row>
    <row r="1135" spans="1:31">
      <c r="A1135" s="86"/>
      <c r="B1135" s="86"/>
      <c r="C1135" s="86"/>
      <c r="D1135" s="86"/>
      <c r="E1135" s="86"/>
      <c r="F1135" s="86"/>
      <c r="G1135" s="86"/>
      <c r="H1135" s="86"/>
      <c r="I1135" s="86"/>
      <c r="J1135" s="86"/>
      <c r="K1135" s="86"/>
      <c r="L1135" s="86"/>
      <c r="M1135" s="86"/>
      <c r="N1135" s="86"/>
      <c r="O1135" s="86"/>
      <c r="P1135" s="86"/>
      <c r="Q1135" s="86"/>
      <c r="R1135" s="86"/>
      <c r="S1135" s="86"/>
      <c r="T1135" s="86"/>
      <c r="U1135" s="86"/>
      <c r="V1135" s="86"/>
      <c r="W1135" s="86"/>
      <c r="X1135" s="86"/>
      <c r="Y1135" s="86"/>
      <c r="Z1135" s="86"/>
      <c r="AA1135" s="86"/>
      <c r="AB1135" s="86"/>
      <c r="AC1135" s="86"/>
      <c r="AD1135" s="86"/>
      <c r="AE1135" s="86"/>
    </row>
    <row r="1136" spans="1:31">
      <c r="A1136" s="86"/>
      <c r="B1136" s="86"/>
      <c r="C1136" s="86"/>
      <c r="D1136" s="86"/>
      <c r="E1136" s="86"/>
      <c r="F1136" s="86"/>
      <c r="G1136" s="86"/>
      <c r="H1136" s="86"/>
      <c r="I1136" s="86"/>
      <c r="J1136" s="86"/>
      <c r="K1136" s="86"/>
      <c r="L1136" s="86"/>
      <c r="M1136" s="86"/>
      <c r="N1136" s="86"/>
      <c r="O1136" s="86"/>
      <c r="P1136" s="86"/>
      <c r="Q1136" s="86"/>
      <c r="R1136" s="86"/>
      <c r="S1136" s="86"/>
      <c r="T1136" s="86"/>
      <c r="U1136" s="86"/>
      <c r="V1136" s="86"/>
      <c r="W1136" s="86"/>
      <c r="X1136" s="86"/>
      <c r="Y1136" s="86"/>
      <c r="Z1136" s="86"/>
      <c r="AA1136" s="86"/>
      <c r="AB1136" s="86"/>
      <c r="AC1136" s="86"/>
      <c r="AD1136" s="86"/>
      <c r="AE1136" s="86"/>
    </row>
    <row r="1137" spans="1:31">
      <c r="A1137" s="86"/>
      <c r="B1137" s="86"/>
      <c r="C1137" s="86"/>
      <c r="D1137" s="86"/>
      <c r="E1137" s="86"/>
      <c r="F1137" s="86"/>
      <c r="G1137" s="86"/>
      <c r="H1137" s="86"/>
      <c r="I1137" s="86"/>
      <c r="J1137" s="86"/>
      <c r="K1137" s="86"/>
      <c r="L1137" s="86"/>
      <c r="M1137" s="86"/>
      <c r="N1137" s="86"/>
      <c r="O1137" s="86"/>
      <c r="P1137" s="86"/>
      <c r="Q1137" s="86"/>
      <c r="R1137" s="86"/>
      <c r="S1137" s="86"/>
      <c r="T1137" s="86"/>
      <c r="U1137" s="86"/>
      <c r="V1137" s="86"/>
      <c r="W1137" s="86"/>
      <c r="X1137" s="86"/>
      <c r="Y1137" s="86"/>
      <c r="Z1137" s="86"/>
      <c r="AA1137" s="86"/>
      <c r="AB1137" s="86"/>
      <c r="AC1137" s="86"/>
      <c r="AD1137" s="86"/>
      <c r="AE1137" s="86"/>
    </row>
    <row r="1138" spans="1:31">
      <c r="A1138" s="86"/>
      <c r="B1138" s="86"/>
      <c r="C1138" s="86"/>
      <c r="D1138" s="86"/>
      <c r="E1138" s="86"/>
      <c r="F1138" s="86"/>
      <c r="G1138" s="86"/>
      <c r="H1138" s="86"/>
      <c r="I1138" s="86"/>
      <c r="J1138" s="86"/>
      <c r="K1138" s="86"/>
      <c r="L1138" s="86"/>
      <c r="M1138" s="86"/>
      <c r="N1138" s="86"/>
      <c r="O1138" s="86"/>
      <c r="P1138" s="86"/>
      <c r="Q1138" s="86"/>
      <c r="R1138" s="86"/>
      <c r="S1138" s="86"/>
      <c r="T1138" s="86"/>
      <c r="U1138" s="86"/>
      <c r="V1138" s="86"/>
      <c r="W1138" s="86"/>
      <c r="X1138" s="86"/>
      <c r="Y1138" s="86"/>
      <c r="Z1138" s="86"/>
      <c r="AA1138" s="86"/>
      <c r="AB1138" s="86"/>
      <c r="AC1138" s="86"/>
      <c r="AD1138" s="86"/>
      <c r="AE1138" s="86"/>
    </row>
    <row r="1139" spans="1:31">
      <c r="A1139" s="86"/>
      <c r="B1139" s="86"/>
      <c r="C1139" s="86"/>
      <c r="D1139" s="86"/>
      <c r="E1139" s="86"/>
      <c r="F1139" s="86"/>
      <c r="G1139" s="86"/>
      <c r="H1139" s="86"/>
      <c r="I1139" s="86"/>
      <c r="J1139" s="86"/>
      <c r="K1139" s="86"/>
      <c r="L1139" s="86"/>
      <c r="M1139" s="86"/>
      <c r="N1139" s="86"/>
      <c r="O1139" s="86"/>
      <c r="P1139" s="86"/>
      <c r="Q1139" s="86"/>
      <c r="R1139" s="86"/>
      <c r="S1139" s="86"/>
      <c r="T1139" s="86"/>
      <c r="U1139" s="86"/>
      <c r="V1139" s="86"/>
      <c r="W1139" s="86"/>
      <c r="X1139" s="86"/>
      <c r="Y1139" s="86"/>
      <c r="Z1139" s="86"/>
      <c r="AA1139" s="86"/>
      <c r="AB1139" s="86"/>
      <c r="AC1139" s="86"/>
      <c r="AD1139" s="86"/>
      <c r="AE1139" s="86"/>
    </row>
    <row r="1140" spans="1:31">
      <c r="A1140" s="86"/>
      <c r="B1140" s="86"/>
      <c r="C1140" s="86"/>
      <c r="D1140" s="86"/>
      <c r="E1140" s="86"/>
      <c r="F1140" s="86"/>
      <c r="G1140" s="86"/>
      <c r="H1140" s="86"/>
      <c r="I1140" s="86"/>
      <c r="J1140" s="86"/>
      <c r="K1140" s="86"/>
      <c r="L1140" s="86"/>
      <c r="M1140" s="86"/>
      <c r="N1140" s="86"/>
      <c r="O1140" s="86"/>
      <c r="P1140" s="86"/>
      <c r="Q1140" s="86"/>
      <c r="R1140" s="86"/>
      <c r="S1140" s="86"/>
      <c r="T1140" s="86"/>
      <c r="U1140" s="86"/>
      <c r="V1140" s="86"/>
      <c r="W1140" s="86"/>
      <c r="X1140" s="86"/>
      <c r="Y1140" s="86"/>
      <c r="Z1140" s="86"/>
      <c r="AA1140" s="86"/>
      <c r="AB1140" s="86"/>
      <c r="AC1140" s="86"/>
      <c r="AD1140" s="86"/>
      <c r="AE1140" s="86"/>
    </row>
    <row r="1141" spans="1:31">
      <c r="A1141" s="86"/>
      <c r="B1141" s="86"/>
      <c r="C1141" s="86"/>
      <c r="D1141" s="86"/>
      <c r="E1141" s="86"/>
      <c r="F1141" s="86"/>
      <c r="G1141" s="86"/>
      <c r="H1141" s="86"/>
      <c r="I1141" s="86"/>
      <c r="J1141" s="86"/>
      <c r="K1141" s="86"/>
      <c r="L1141" s="86"/>
      <c r="M1141" s="86"/>
      <c r="N1141" s="86"/>
      <c r="O1141" s="86"/>
      <c r="P1141" s="86"/>
      <c r="Q1141" s="86"/>
      <c r="R1141" s="86"/>
      <c r="S1141" s="86"/>
      <c r="T1141" s="86"/>
      <c r="U1141" s="86"/>
      <c r="V1141" s="86"/>
      <c r="W1141" s="86"/>
      <c r="X1141" s="86"/>
      <c r="Y1141" s="86"/>
      <c r="Z1141" s="86"/>
      <c r="AA1141" s="86"/>
      <c r="AB1141" s="86"/>
      <c r="AC1141" s="86"/>
      <c r="AD1141" s="86"/>
      <c r="AE1141" s="86"/>
    </row>
    <row r="1142" spans="1:31">
      <c r="A1142" s="86"/>
      <c r="B1142" s="86"/>
      <c r="C1142" s="86"/>
      <c r="D1142" s="86"/>
      <c r="E1142" s="86"/>
      <c r="F1142" s="86"/>
      <c r="G1142" s="86"/>
      <c r="H1142" s="86"/>
      <c r="I1142" s="86"/>
      <c r="J1142" s="86"/>
      <c r="K1142" s="86"/>
      <c r="L1142" s="86"/>
      <c r="M1142" s="86"/>
      <c r="N1142" s="86"/>
      <c r="O1142" s="86"/>
      <c r="P1142" s="86"/>
      <c r="Q1142" s="86"/>
      <c r="R1142" s="86"/>
      <c r="S1142" s="86"/>
      <c r="T1142" s="86"/>
      <c r="U1142" s="86"/>
      <c r="V1142" s="86"/>
      <c r="W1142" s="86"/>
      <c r="X1142" s="86"/>
      <c r="Y1142" s="86"/>
      <c r="Z1142" s="86"/>
      <c r="AA1142" s="86"/>
      <c r="AB1142" s="86"/>
      <c r="AC1142" s="86"/>
      <c r="AD1142" s="86"/>
      <c r="AE1142" s="86"/>
    </row>
    <row r="1143" spans="1:31">
      <c r="A1143" s="86"/>
      <c r="B1143" s="86"/>
      <c r="C1143" s="86"/>
      <c r="D1143" s="86"/>
      <c r="E1143" s="86"/>
      <c r="F1143" s="86"/>
      <c r="G1143" s="86"/>
      <c r="H1143" s="86"/>
      <c r="I1143" s="86"/>
      <c r="J1143" s="86"/>
      <c r="K1143" s="86"/>
      <c r="L1143" s="86"/>
      <c r="M1143" s="86"/>
      <c r="N1143" s="86"/>
      <c r="O1143" s="86"/>
      <c r="P1143" s="86"/>
      <c r="Q1143" s="86"/>
      <c r="R1143" s="86"/>
      <c r="S1143" s="86"/>
      <c r="T1143" s="86"/>
      <c r="U1143" s="86"/>
      <c r="V1143" s="86"/>
      <c r="W1143" s="86"/>
      <c r="X1143" s="86"/>
      <c r="Y1143" s="86"/>
      <c r="Z1143" s="86"/>
      <c r="AA1143" s="86"/>
      <c r="AB1143" s="86"/>
      <c r="AC1143" s="86"/>
      <c r="AD1143" s="86"/>
      <c r="AE1143" s="86"/>
    </row>
    <row r="1144" spans="1:31">
      <c r="A1144" s="86"/>
      <c r="B1144" s="86"/>
      <c r="C1144" s="86"/>
      <c r="D1144" s="86"/>
      <c r="E1144" s="86"/>
      <c r="F1144" s="86"/>
      <c r="G1144" s="86"/>
      <c r="H1144" s="86"/>
      <c r="I1144" s="86"/>
      <c r="J1144" s="86"/>
      <c r="K1144" s="86"/>
      <c r="L1144" s="86"/>
      <c r="M1144" s="86"/>
      <c r="N1144" s="86"/>
      <c r="O1144" s="86"/>
      <c r="P1144" s="86"/>
      <c r="Q1144" s="86"/>
      <c r="R1144" s="86"/>
      <c r="S1144" s="86"/>
      <c r="T1144" s="86"/>
      <c r="U1144" s="86"/>
      <c r="V1144" s="86"/>
      <c r="W1144" s="86"/>
      <c r="X1144" s="86"/>
      <c r="Y1144" s="86"/>
      <c r="Z1144" s="86"/>
      <c r="AA1144" s="86"/>
      <c r="AB1144" s="86"/>
      <c r="AC1144" s="86"/>
      <c r="AD1144" s="86"/>
      <c r="AE1144" s="86"/>
    </row>
    <row r="1145" spans="1:31">
      <c r="A1145" s="86"/>
      <c r="B1145" s="86"/>
      <c r="C1145" s="86"/>
      <c r="D1145" s="86"/>
      <c r="E1145" s="86"/>
      <c r="F1145" s="86"/>
      <c r="G1145" s="86"/>
      <c r="H1145" s="86"/>
      <c r="I1145" s="86"/>
      <c r="J1145" s="86"/>
      <c r="K1145" s="86"/>
      <c r="L1145" s="86"/>
      <c r="M1145" s="86"/>
      <c r="N1145" s="86"/>
      <c r="O1145" s="86"/>
      <c r="P1145" s="86"/>
      <c r="Q1145" s="86"/>
      <c r="R1145" s="86"/>
      <c r="S1145" s="86"/>
      <c r="T1145" s="86"/>
      <c r="U1145" s="86"/>
      <c r="V1145" s="86"/>
      <c r="W1145" s="86"/>
      <c r="X1145" s="86"/>
      <c r="Y1145" s="86"/>
      <c r="Z1145" s="86"/>
      <c r="AA1145" s="86"/>
      <c r="AB1145" s="86"/>
      <c r="AC1145" s="86"/>
      <c r="AD1145" s="86"/>
      <c r="AE1145" s="86"/>
    </row>
    <row r="1146" spans="1:31">
      <c r="A1146" s="86"/>
      <c r="B1146" s="86"/>
      <c r="C1146" s="86"/>
      <c r="D1146" s="86"/>
      <c r="E1146" s="86"/>
      <c r="F1146" s="86"/>
      <c r="G1146" s="86"/>
      <c r="H1146" s="86"/>
      <c r="I1146" s="86"/>
      <c r="J1146" s="86"/>
      <c r="K1146" s="86"/>
      <c r="L1146" s="86"/>
      <c r="M1146" s="86"/>
      <c r="N1146" s="86"/>
      <c r="O1146" s="86"/>
      <c r="P1146" s="86"/>
      <c r="Q1146" s="86"/>
      <c r="R1146" s="86"/>
      <c r="S1146" s="86"/>
      <c r="T1146" s="86"/>
      <c r="U1146" s="86"/>
      <c r="V1146" s="86"/>
      <c r="W1146" s="86"/>
      <c r="X1146" s="86"/>
      <c r="Y1146" s="86"/>
      <c r="Z1146" s="86"/>
      <c r="AA1146" s="86"/>
      <c r="AB1146" s="86"/>
      <c r="AC1146" s="86"/>
      <c r="AD1146" s="86"/>
      <c r="AE1146" s="86"/>
    </row>
    <row r="1147" spans="1:31">
      <c r="A1147" s="86"/>
      <c r="B1147" s="86"/>
      <c r="C1147" s="86"/>
      <c r="D1147" s="86"/>
      <c r="E1147" s="86"/>
      <c r="F1147" s="86"/>
      <c r="G1147" s="86"/>
      <c r="H1147" s="86"/>
      <c r="I1147" s="86"/>
      <c r="J1147" s="86"/>
      <c r="K1147" s="86"/>
      <c r="L1147" s="86"/>
      <c r="M1147" s="86"/>
      <c r="N1147" s="86"/>
      <c r="O1147" s="86"/>
      <c r="P1147" s="86"/>
      <c r="Q1147" s="86"/>
      <c r="R1147" s="86"/>
      <c r="S1147" s="86"/>
      <c r="T1147" s="86"/>
      <c r="U1147" s="86"/>
      <c r="V1147" s="86"/>
      <c r="W1147" s="86"/>
      <c r="X1147" s="86"/>
      <c r="Y1147" s="86"/>
      <c r="Z1147" s="86"/>
      <c r="AA1147" s="86"/>
      <c r="AB1147" s="86"/>
      <c r="AC1147" s="86"/>
      <c r="AD1147" s="86"/>
      <c r="AE1147" s="86"/>
    </row>
    <row r="1148" spans="1:31">
      <c r="A1148" s="86"/>
      <c r="B1148" s="86"/>
      <c r="C1148" s="86"/>
      <c r="D1148" s="86"/>
      <c r="E1148" s="86"/>
      <c r="F1148" s="86"/>
      <c r="G1148" s="86"/>
      <c r="H1148" s="86"/>
      <c r="I1148" s="86"/>
      <c r="J1148" s="86"/>
      <c r="K1148" s="86"/>
      <c r="L1148" s="86"/>
      <c r="M1148" s="86"/>
      <c r="N1148" s="86"/>
      <c r="O1148" s="86"/>
      <c r="P1148" s="86"/>
      <c r="Q1148" s="86"/>
      <c r="R1148" s="86"/>
      <c r="S1148" s="86"/>
      <c r="T1148" s="86"/>
      <c r="U1148" s="86"/>
      <c r="V1148" s="86"/>
      <c r="W1148" s="86"/>
      <c r="X1148" s="86"/>
      <c r="Y1148" s="86"/>
      <c r="Z1148" s="86"/>
      <c r="AA1148" s="86"/>
      <c r="AB1148" s="86"/>
      <c r="AC1148" s="86"/>
      <c r="AD1148" s="86"/>
      <c r="AE1148" s="86"/>
    </row>
    <row r="1149" spans="1:31">
      <c r="A1149" s="86"/>
      <c r="B1149" s="86"/>
      <c r="C1149" s="86"/>
      <c r="D1149" s="86"/>
      <c r="E1149" s="86"/>
      <c r="F1149" s="86"/>
      <c r="G1149" s="86"/>
      <c r="H1149" s="86"/>
      <c r="I1149" s="86"/>
      <c r="J1149" s="86"/>
      <c r="K1149" s="86"/>
      <c r="L1149" s="86"/>
      <c r="M1149" s="86"/>
      <c r="N1149" s="86"/>
      <c r="O1149" s="86"/>
      <c r="P1149" s="86"/>
      <c r="Q1149" s="86"/>
      <c r="R1149" s="86"/>
      <c r="S1149" s="86"/>
      <c r="T1149" s="86"/>
      <c r="U1149" s="86"/>
      <c r="V1149" s="86"/>
      <c r="W1149" s="86"/>
      <c r="X1149" s="86"/>
      <c r="Y1149" s="86"/>
      <c r="Z1149" s="86"/>
      <c r="AA1149" s="86"/>
      <c r="AB1149" s="86"/>
      <c r="AC1149" s="86"/>
      <c r="AD1149" s="86"/>
      <c r="AE1149" s="86"/>
    </row>
    <row r="1150" spans="1:31">
      <c r="A1150" s="86"/>
      <c r="B1150" s="86"/>
      <c r="C1150" s="86"/>
      <c r="D1150" s="86"/>
      <c r="E1150" s="86"/>
      <c r="F1150" s="86"/>
      <c r="G1150" s="86"/>
      <c r="H1150" s="86"/>
      <c r="I1150" s="86"/>
      <c r="J1150" s="86"/>
      <c r="K1150" s="86"/>
      <c r="L1150" s="86"/>
      <c r="M1150" s="86"/>
      <c r="N1150" s="86"/>
      <c r="O1150" s="86"/>
      <c r="P1150" s="86"/>
      <c r="Q1150" s="86"/>
      <c r="R1150" s="86"/>
      <c r="S1150" s="86"/>
      <c r="T1150" s="86"/>
      <c r="U1150" s="86"/>
      <c r="V1150" s="86"/>
      <c r="W1150" s="86"/>
      <c r="X1150" s="86"/>
      <c r="Y1150" s="86"/>
      <c r="Z1150" s="86"/>
      <c r="AA1150" s="86"/>
      <c r="AB1150" s="86"/>
      <c r="AC1150" s="86"/>
      <c r="AD1150" s="86"/>
      <c r="AE1150" s="86"/>
    </row>
    <row r="1151" spans="1:31">
      <c r="A1151" s="86"/>
      <c r="B1151" s="86"/>
      <c r="C1151" s="86"/>
      <c r="D1151" s="86"/>
      <c r="E1151" s="86"/>
      <c r="F1151" s="86"/>
      <c r="G1151" s="86"/>
      <c r="H1151" s="86"/>
      <c r="I1151" s="86"/>
      <c r="J1151" s="86"/>
      <c r="K1151" s="86"/>
      <c r="L1151" s="86"/>
      <c r="M1151" s="86"/>
      <c r="N1151" s="86"/>
      <c r="O1151" s="86"/>
      <c r="P1151" s="86"/>
      <c r="Q1151" s="86"/>
      <c r="R1151" s="86"/>
      <c r="S1151" s="86"/>
      <c r="T1151" s="86"/>
      <c r="U1151" s="86"/>
      <c r="V1151" s="86"/>
      <c r="W1151" s="86"/>
      <c r="X1151" s="86"/>
      <c r="Y1151" s="86"/>
      <c r="Z1151" s="86"/>
      <c r="AA1151" s="86"/>
      <c r="AB1151" s="86"/>
      <c r="AC1151" s="86"/>
      <c r="AD1151" s="86"/>
      <c r="AE1151" s="86"/>
    </row>
    <row r="1152" spans="1:31">
      <c r="A1152" s="86"/>
      <c r="B1152" s="86"/>
      <c r="C1152" s="86"/>
      <c r="D1152" s="86"/>
      <c r="E1152" s="86"/>
      <c r="F1152" s="86"/>
      <c r="G1152" s="86"/>
      <c r="H1152" s="86"/>
      <c r="I1152" s="86"/>
      <c r="J1152" s="86"/>
      <c r="K1152" s="86"/>
      <c r="L1152" s="86"/>
      <c r="M1152" s="86"/>
      <c r="N1152" s="86"/>
      <c r="O1152" s="86"/>
      <c r="P1152" s="86"/>
      <c r="Q1152" s="86"/>
      <c r="R1152" s="86"/>
      <c r="S1152" s="86"/>
      <c r="T1152" s="86"/>
      <c r="U1152" s="86"/>
      <c r="V1152" s="86"/>
      <c r="W1152" s="86"/>
      <c r="X1152" s="86"/>
      <c r="Y1152" s="86"/>
      <c r="Z1152" s="86"/>
      <c r="AA1152" s="86"/>
      <c r="AB1152" s="86"/>
      <c r="AC1152" s="86"/>
      <c r="AD1152" s="86"/>
      <c r="AE1152" s="86"/>
    </row>
    <row r="1153" spans="1:31">
      <c r="A1153" s="86"/>
      <c r="B1153" s="86"/>
      <c r="C1153" s="86"/>
      <c r="D1153" s="86"/>
      <c r="E1153" s="86"/>
      <c r="F1153" s="86"/>
      <c r="G1153" s="86"/>
      <c r="H1153" s="86"/>
      <c r="I1153" s="86"/>
      <c r="J1153" s="86"/>
      <c r="K1153" s="86"/>
      <c r="L1153" s="86"/>
      <c r="M1153" s="86"/>
      <c r="N1153" s="86"/>
      <c r="O1153" s="86"/>
      <c r="P1153" s="86"/>
      <c r="Q1153" s="86"/>
      <c r="R1153" s="86"/>
      <c r="S1153" s="86"/>
      <c r="T1153" s="86"/>
      <c r="U1153" s="86"/>
      <c r="V1153" s="86"/>
      <c r="W1153" s="86"/>
      <c r="X1153" s="86"/>
      <c r="Y1153" s="86"/>
      <c r="Z1153" s="86"/>
      <c r="AA1153" s="86"/>
      <c r="AB1153" s="86"/>
      <c r="AC1153" s="86"/>
      <c r="AD1153" s="86"/>
      <c r="AE1153" s="86"/>
    </row>
    <row r="1154" spans="1:31">
      <c r="A1154" s="86"/>
      <c r="B1154" s="86"/>
      <c r="C1154" s="86"/>
      <c r="D1154" s="86"/>
      <c r="E1154" s="86"/>
      <c r="F1154" s="86"/>
      <c r="G1154" s="86"/>
      <c r="H1154" s="86"/>
      <c r="I1154" s="86"/>
      <c r="J1154" s="86"/>
      <c r="K1154" s="86"/>
      <c r="L1154" s="86"/>
      <c r="M1154" s="86"/>
      <c r="N1154" s="86"/>
      <c r="O1154" s="86"/>
      <c r="P1154" s="86"/>
      <c r="Q1154" s="86"/>
      <c r="R1154" s="86"/>
      <c r="S1154" s="86"/>
      <c r="T1154" s="86"/>
      <c r="U1154" s="86"/>
      <c r="V1154" s="86"/>
      <c r="W1154" s="86"/>
      <c r="X1154" s="86"/>
      <c r="Y1154" s="86"/>
      <c r="Z1154" s="86"/>
      <c r="AA1154" s="86"/>
      <c r="AB1154" s="86"/>
      <c r="AC1154" s="86"/>
      <c r="AD1154" s="86"/>
      <c r="AE1154" s="86"/>
    </row>
    <row r="1155" spans="1:31">
      <c r="A1155" s="86"/>
      <c r="B1155" s="86"/>
      <c r="C1155" s="86"/>
      <c r="D1155" s="86"/>
      <c r="E1155" s="86"/>
      <c r="F1155" s="86"/>
      <c r="G1155" s="86"/>
      <c r="H1155" s="86"/>
      <c r="I1155" s="86"/>
      <c r="J1155" s="86"/>
      <c r="K1155" s="86"/>
      <c r="L1155" s="86"/>
      <c r="M1155" s="86"/>
      <c r="N1155" s="86"/>
      <c r="O1155" s="86"/>
      <c r="P1155" s="86"/>
      <c r="Q1155" s="86"/>
      <c r="R1155" s="86"/>
      <c r="S1155" s="86"/>
      <c r="T1155" s="86"/>
      <c r="U1155" s="86"/>
      <c r="V1155" s="86"/>
      <c r="W1155" s="86"/>
      <c r="X1155" s="86"/>
      <c r="Y1155" s="86"/>
      <c r="Z1155" s="86"/>
      <c r="AA1155" s="86"/>
      <c r="AB1155" s="86"/>
      <c r="AC1155" s="86"/>
      <c r="AD1155" s="86"/>
      <c r="AE1155" s="86"/>
    </row>
    <row r="1156" spans="1:31">
      <c r="A1156" s="86"/>
      <c r="B1156" s="86"/>
      <c r="C1156" s="86"/>
      <c r="D1156" s="86"/>
      <c r="E1156" s="86"/>
      <c r="F1156" s="86"/>
      <c r="G1156" s="86"/>
      <c r="H1156" s="86"/>
      <c r="I1156" s="86"/>
      <c r="J1156" s="86"/>
      <c r="K1156" s="86"/>
      <c r="L1156" s="86"/>
      <c r="M1156" s="86"/>
      <c r="N1156" s="86"/>
      <c r="O1156" s="86"/>
      <c r="P1156" s="86"/>
      <c r="Q1156" s="86"/>
      <c r="R1156" s="86"/>
      <c r="S1156" s="86"/>
      <c r="T1156" s="86"/>
      <c r="U1156" s="86"/>
      <c r="V1156" s="86"/>
      <c r="W1156" s="86"/>
      <c r="X1156" s="86"/>
      <c r="Y1156" s="86"/>
      <c r="Z1156" s="86"/>
      <c r="AA1156" s="86"/>
      <c r="AB1156" s="86"/>
      <c r="AC1156" s="86"/>
      <c r="AD1156" s="86"/>
      <c r="AE1156" s="86"/>
    </row>
    <row r="1157" spans="1:31">
      <c r="A1157" s="86"/>
      <c r="B1157" s="86"/>
      <c r="C1157" s="86"/>
      <c r="D1157" s="86"/>
      <c r="E1157" s="86"/>
      <c r="F1157" s="86"/>
      <c r="G1157" s="86"/>
      <c r="H1157" s="86"/>
      <c r="I1157" s="86"/>
      <c r="J1157" s="86"/>
      <c r="K1157" s="86"/>
      <c r="L1157" s="86"/>
      <c r="M1157" s="86"/>
      <c r="N1157" s="86"/>
      <c r="O1157" s="86"/>
      <c r="P1157" s="86"/>
      <c r="Q1157" s="86"/>
      <c r="R1157" s="86"/>
      <c r="S1157" s="86"/>
      <c r="T1157" s="86"/>
      <c r="U1157" s="86"/>
      <c r="V1157" s="86"/>
      <c r="W1157" s="86"/>
      <c r="X1157" s="86"/>
      <c r="Y1157" s="86"/>
      <c r="Z1157" s="86"/>
      <c r="AA1157" s="86"/>
      <c r="AB1157" s="86"/>
      <c r="AC1157" s="86"/>
      <c r="AD1157" s="86"/>
      <c r="AE1157" s="86"/>
    </row>
    <row r="1158" spans="1:31">
      <c r="A1158" s="86"/>
      <c r="B1158" s="86"/>
      <c r="C1158" s="86"/>
      <c r="D1158" s="86"/>
      <c r="E1158" s="86"/>
      <c r="F1158" s="86"/>
      <c r="G1158" s="86"/>
      <c r="H1158" s="86"/>
      <c r="I1158" s="86"/>
      <c r="J1158" s="86"/>
      <c r="K1158" s="86"/>
      <c r="L1158" s="86"/>
      <c r="M1158" s="86"/>
      <c r="N1158" s="86"/>
      <c r="O1158" s="86"/>
      <c r="P1158" s="86"/>
      <c r="Q1158" s="86"/>
      <c r="R1158" s="86"/>
      <c r="S1158" s="86"/>
      <c r="T1158" s="86"/>
      <c r="U1158" s="86"/>
      <c r="V1158" s="86"/>
      <c r="W1158" s="86"/>
      <c r="X1158" s="86"/>
      <c r="Y1158" s="86"/>
      <c r="Z1158" s="86"/>
      <c r="AA1158" s="86"/>
      <c r="AB1158" s="86"/>
      <c r="AC1158" s="86"/>
      <c r="AD1158" s="86"/>
      <c r="AE1158" s="86"/>
    </row>
    <row r="1159" spans="1:31">
      <c r="A1159" s="86"/>
      <c r="B1159" s="86"/>
      <c r="C1159" s="86"/>
      <c r="D1159" s="86"/>
      <c r="E1159" s="86"/>
      <c r="F1159" s="86"/>
      <c r="G1159" s="86"/>
      <c r="H1159" s="86"/>
      <c r="I1159" s="86"/>
      <c r="J1159" s="86"/>
      <c r="K1159" s="86"/>
      <c r="L1159" s="86"/>
      <c r="M1159" s="86"/>
      <c r="N1159" s="86"/>
      <c r="O1159" s="86"/>
      <c r="P1159" s="86"/>
      <c r="Q1159" s="86"/>
      <c r="R1159" s="86"/>
      <c r="S1159" s="86"/>
      <c r="T1159" s="86"/>
      <c r="U1159" s="86"/>
      <c r="V1159" s="86"/>
      <c r="W1159" s="86"/>
      <c r="X1159" s="86"/>
      <c r="Y1159" s="86"/>
      <c r="Z1159" s="86"/>
      <c r="AA1159" s="86"/>
      <c r="AB1159" s="86"/>
      <c r="AC1159" s="86"/>
      <c r="AD1159" s="86"/>
      <c r="AE1159" s="86"/>
    </row>
    <row r="1160" spans="1:31">
      <c r="A1160" s="86"/>
      <c r="B1160" s="86"/>
      <c r="C1160" s="86"/>
      <c r="D1160" s="86"/>
      <c r="E1160" s="86"/>
      <c r="F1160" s="86"/>
      <c r="G1160" s="86"/>
      <c r="H1160" s="86"/>
      <c r="I1160" s="86"/>
      <c r="J1160" s="86"/>
      <c r="K1160" s="86"/>
      <c r="L1160" s="86"/>
      <c r="M1160" s="86"/>
      <c r="N1160" s="86"/>
      <c r="O1160" s="86"/>
      <c r="P1160" s="86"/>
      <c r="Q1160" s="86"/>
      <c r="R1160" s="86"/>
      <c r="S1160" s="86"/>
      <c r="T1160" s="86"/>
      <c r="U1160" s="86"/>
      <c r="V1160" s="86"/>
      <c r="W1160" s="86"/>
      <c r="X1160" s="86"/>
      <c r="Y1160" s="86"/>
      <c r="Z1160" s="86"/>
      <c r="AA1160" s="86"/>
      <c r="AB1160" s="86"/>
      <c r="AC1160" s="86"/>
      <c r="AD1160" s="86"/>
      <c r="AE1160" s="86"/>
    </row>
    <row r="1161" spans="1:31">
      <c r="A1161" s="86"/>
      <c r="B1161" s="86"/>
      <c r="C1161" s="86"/>
      <c r="D1161" s="86"/>
      <c r="E1161" s="86"/>
      <c r="F1161" s="86"/>
      <c r="G1161" s="86"/>
      <c r="H1161" s="86"/>
      <c r="I1161" s="86"/>
      <c r="J1161" s="86"/>
      <c r="K1161" s="86"/>
      <c r="L1161" s="86"/>
      <c r="M1161" s="86"/>
      <c r="N1161" s="86"/>
      <c r="O1161" s="86"/>
      <c r="P1161" s="86"/>
      <c r="Q1161" s="86"/>
      <c r="R1161" s="86"/>
      <c r="S1161" s="86"/>
      <c r="T1161" s="86"/>
      <c r="U1161" s="86"/>
      <c r="V1161" s="86"/>
      <c r="W1161" s="86"/>
      <c r="X1161" s="86"/>
      <c r="Y1161" s="86"/>
      <c r="Z1161" s="86"/>
      <c r="AA1161" s="86"/>
      <c r="AB1161" s="86"/>
      <c r="AC1161" s="86"/>
      <c r="AD1161" s="86"/>
      <c r="AE1161" s="86"/>
    </row>
    <row r="1162" spans="1:31">
      <c r="A1162" s="86"/>
      <c r="B1162" s="86"/>
      <c r="C1162" s="86"/>
      <c r="D1162" s="86"/>
      <c r="E1162" s="86"/>
      <c r="F1162" s="86"/>
      <c r="G1162" s="86"/>
      <c r="H1162" s="86"/>
      <c r="I1162" s="86"/>
      <c r="J1162" s="86"/>
      <c r="K1162" s="86"/>
      <c r="L1162" s="86"/>
      <c r="M1162" s="86"/>
      <c r="N1162" s="86"/>
      <c r="O1162" s="86"/>
      <c r="P1162" s="86"/>
      <c r="Q1162" s="86"/>
      <c r="R1162" s="86"/>
      <c r="S1162" s="86"/>
      <c r="T1162" s="86"/>
      <c r="U1162" s="86"/>
      <c r="V1162" s="86"/>
      <c r="W1162" s="86"/>
      <c r="X1162" s="86"/>
      <c r="Y1162" s="86"/>
      <c r="Z1162" s="86"/>
      <c r="AA1162" s="86"/>
      <c r="AB1162" s="86"/>
      <c r="AC1162" s="86"/>
      <c r="AD1162" s="86"/>
      <c r="AE1162" s="86"/>
    </row>
    <row r="1163" spans="1:31">
      <c r="A1163" s="86"/>
      <c r="B1163" s="86"/>
      <c r="C1163" s="86"/>
      <c r="D1163" s="86"/>
      <c r="E1163" s="86"/>
      <c r="F1163" s="86"/>
      <c r="G1163" s="86"/>
      <c r="H1163" s="86"/>
      <c r="I1163" s="86"/>
      <c r="J1163" s="86"/>
      <c r="K1163" s="86"/>
      <c r="L1163" s="86"/>
      <c r="M1163" s="86"/>
      <c r="N1163" s="86"/>
      <c r="O1163" s="86"/>
      <c r="P1163" s="86"/>
      <c r="Q1163" s="86"/>
      <c r="R1163" s="86"/>
      <c r="S1163" s="86"/>
      <c r="T1163" s="86"/>
      <c r="U1163" s="86"/>
      <c r="V1163" s="86"/>
      <c r="W1163" s="86"/>
      <c r="X1163" s="86"/>
      <c r="Y1163" s="86"/>
      <c r="Z1163" s="86"/>
      <c r="AA1163" s="86"/>
      <c r="AB1163" s="86"/>
      <c r="AC1163" s="86"/>
      <c r="AD1163" s="86"/>
      <c r="AE1163" s="86"/>
    </row>
    <row r="1164" spans="1:31">
      <c r="A1164" s="86"/>
      <c r="B1164" s="86"/>
      <c r="C1164" s="86"/>
      <c r="D1164" s="86"/>
      <c r="E1164" s="86"/>
      <c r="F1164" s="86"/>
      <c r="G1164" s="86"/>
      <c r="H1164" s="86"/>
      <c r="I1164" s="86"/>
      <c r="J1164" s="86"/>
      <c r="K1164" s="86"/>
      <c r="L1164" s="86"/>
      <c r="M1164" s="86"/>
      <c r="N1164" s="86"/>
      <c r="O1164" s="86"/>
      <c r="P1164" s="86"/>
      <c r="Q1164" s="86"/>
      <c r="R1164" s="86"/>
      <c r="S1164" s="86"/>
      <c r="T1164" s="86"/>
      <c r="U1164" s="86"/>
      <c r="V1164" s="86"/>
      <c r="W1164" s="86"/>
      <c r="X1164" s="86"/>
      <c r="Y1164" s="86"/>
      <c r="Z1164" s="86"/>
      <c r="AA1164" s="86"/>
      <c r="AB1164" s="86"/>
      <c r="AC1164" s="86"/>
      <c r="AD1164" s="86"/>
      <c r="AE1164" s="86"/>
    </row>
    <row r="1165" spans="1:31">
      <c r="A1165" s="86"/>
      <c r="B1165" s="86"/>
      <c r="C1165" s="86"/>
      <c r="D1165" s="86"/>
      <c r="E1165" s="86"/>
      <c r="F1165" s="86"/>
      <c r="G1165" s="86"/>
      <c r="H1165" s="86"/>
      <c r="I1165" s="86"/>
      <c r="J1165" s="86"/>
      <c r="K1165" s="86"/>
      <c r="L1165" s="86"/>
      <c r="M1165" s="86"/>
      <c r="N1165" s="86"/>
      <c r="O1165" s="86"/>
      <c r="P1165" s="86"/>
      <c r="Q1165" s="86"/>
      <c r="R1165" s="86"/>
      <c r="S1165" s="86"/>
      <c r="T1165" s="86"/>
      <c r="U1165" s="86"/>
      <c r="V1165" s="86"/>
      <c r="W1165" s="86"/>
      <c r="X1165" s="86"/>
      <c r="Y1165" s="86"/>
      <c r="Z1165" s="86"/>
      <c r="AA1165" s="86"/>
      <c r="AB1165" s="86"/>
      <c r="AC1165" s="86"/>
      <c r="AD1165" s="86"/>
      <c r="AE1165" s="86"/>
    </row>
    <row r="1166" spans="1:31">
      <c r="A1166" s="86"/>
      <c r="B1166" s="86"/>
      <c r="C1166" s="86"/>
      <c r="D1166" s="86"/>
      <c r="E1166" s="86"/>
      <c r="F1166" s="86"/>
      <c r="G1166" s="86"/>
      <c r="H1166" s="86"/>
      <c r="I1166" s="86"/>
      <c r="J1166" s="86"/>
      <c r="K1166" s="86"/>
      <c r="L1166" s="86"/>
      <c r="M1166" s="86"/>
      <c r="N1166" s="86"/>
      <c r="O1166" s="86"/>
      <c r="P1166" s="86"/>
      <c r="Q1166" s="86"/>
      <c r="R1166" s="86"/>
      <c r="S1166" s="86"/>
      <c r="T1166" s="86"/>
      <c r="U1166" s="86"/>
      <c r="V1166" s="86"/>
      <c r="W1166" s="86"/>
      <c r="X1166" s="86"/>
      <c r="Y1166" s="86"/>
      <c r="Z1166" s="86"/>
      <c r="AA1166" s="86"/>
      <c r="AB1166" s="86"/>
      <c r="AC1166" s="86"/>
      <c r="AD1166" s="86"/>
      <c r="AE1166" s="86"/>
    </row>
    <row r="1167" spans="1:31">
      <c r="A1167" s="86"/>
      <c r="B1167" s="86"/>
      <c r="C1167" s="86"/>
      <c r="D1167" s="86"/>
      <c r="E1167" s="86"/>
      <c r="F1167" s="86"/>
      <c r="G1167" s="86"/>
      <c r="H1167" s="86"/>
      <c r="I1167" s="86"/>
      <c r="J1167" s="86"/>
      <c r="K1167" s="86"/>
      <c r="L1167" s="86"/>
      <c r="M1167" s="86"/>
      <c r="N1167" s="86"/>
      <c r="O1167" s="86"/>
      <c r="P1167" s="86"/>
      <c r="Q1167" s="86"/>
      <c r="R1167" s="86"/>
      <c r="S1167" s="86"/>
      <c r="T1167" s="86"/>
      <c r="U1167" s="86"/>
      <c r="V1167" s="86"/>
      <c r="W1167" s="86"/>
      <c r="X1167" s="86"/>
      <c r="Y1167" s="86"/>
      <c r="Z1167" s="86"/>
      <c r="AA1167" s="86"/>
      <c r="AB1167" s="86"/>
      <c r="AC1167" s="86"/>
      <c r="AD1167" s="86"/>
      <c r="AE1167" s="86"/>
    </row>
    <row r="1168" spans="1:31">
      <c r="A1168" s="86"/>
      <c r="B1168" s="86"/>
      <c r="C1168" s="86"/>
      <c r="D1168" s="86"/>
      <c r="E1168" s="86"/>
      <c r="F1168" s="86"/>
      <c r="G1168" s="86"/>
      <c r="H1168" s="86"/>
      <c r="I1168" s="86"/>
      <c r="J1168" s="86"/>
      <c r="K1168" s="86"/>
      <c r="L1168" s="86"/>
      <c r="M1168" s="86"/>
      <c r="N1168" s="86"/>
      <c r="O1168" s="86"/>
      <c r="P1168" s="86"/>
      <c r="Q1168" s="86"/>
      <c r="R1168" s="86"/>
      <c r="S1168" s="86"/>
      <c r="T1168" s="86"/>
      <c r="U1168" s="86"/>
      <c r="V1168" s="86"/>
      <c r="W1168" s="86"/>
      <c r="X1168" s="86"/>
      <c r="Y1168" s="86"/>
      <c r="Z1168" s="86"/>
      <c r="AA1168" s="86"/>
      <c r="AB1168" s="86"/>
      <c r="AC1168" s="86"/>
      <c r="AD1168" s="86"/>
      <c r="AE1168" s="86"/>
    </row>
    <row r="1169" spans="1:31">
      <c r="A1169" s="86"/>
      <c r="B1169" s="86"/>
      <c r="C1169" s="86"/>
      <c r="D1169" s="86"/>
      <c r="E1169" s="86"/>
      <c r="F1169" s="86"/>
      <c r="G1169" s="86"/>
      <c r="H1169" s="86"/>
      <c r="I1169" s="86"/>
      <c r="J1169" s="86"/>
      <c r="K1169" s="86"/>
      <c r="L1169" s="86"/>
      <c r="M1169" s="86"/>
      <c r="N1169" s="86"/>
      <c r="O1169" s="86"/>
      <c r="P1169" s="86"/>
      <c r="Q1169" s="86"/>
      <c r="R1169" s="86"/>
      <c r="S1169" s="86"/>
      <c r="T1169" s="86"/>
      <c r="U1169" s="86"/>
      <c r="V1169" s="86"/>
      <c r="W1169" s="86"/>
      <c r="X1169" s="86"/>
      <c r="Y1169" s="86"/>
      <c r="Z1169" s="86"/>
      <c r="AA1169" s="86"/>
      <c r="AB1169" s="86"/>
      <c r="AC1169" s="86"/>
      <c r="AD1169" s="86"/>
      <c r="AE1169" s="86"/>
    </row>
    <row r="1170" spans="1:31">
      <c r="A1170" s="86"/>
      <c r="B1170" s="86"/>
      <c r="C1170" s="86"/>
      <c r="D1170" s="86"/>
      <c r="E1170" s="86"/>
      <c r="F1170" s="86"/>
      <c r="G1170" s="86"/>
      <c r="H1170" s="86"/>
      <c r="I1170" s="86"/>
      <c r="J1170" s="86"/>
      <c r="K1170" s="86"/>
      <c r="L1170" s="86"/>
      <c r="M1170" s="86"/>
      <c r="N1170" s="86"/>
      <c r="O1170" s="86"/>
      <c r="P1170" s="86"/>
      <c r="Q1170" s="86"/>
      <c r="R1170" s="86"/>
      <c r="S1170" s="86"/>
      <c r="T1170" s="86"/>
      <c r="U1170" s="86"/>
      <c r="V1170" s="86"/>
      <c r="W1170" s="86"/>
      <c r="X1170" s="86"/>
      <c r="Y1170" s="86"/>
      <c r="Z1170" s="86"/>
      <c r="AA1170" s="86"/>
      <c r="AB1170" s="86"/>
      <c r="AC1170" s="86"/>
      <c r="AD1170" s="86"/>
      <c r="AE1170" s="86"/>
    </row>
    <row r="1171" spans="1:31">
      <c r="A1171" s="86"/>
      <c r="B1171" s="86"/>
      <c r="C1171" s="86"/>
      <c r="D1171" s="86"/>
      <c r="E1171" s="86"/>
      <c r="F1171" s="86"/>
      <c r="G1171" s="86"/>
      <c r="H1171" s="86"/>
      <c r="I1171" s="86"/>
      <c r="J1171" s="86"/>
      <c r="K1171" s="86"/>
      <c r="L1171" s="86"/>
      <c r="M1171" s="86"/>
      <c r="N1171" s="86"/>
      <c r="O1171" s="86"/>
      <c r="P1171" s="86"/>
      <c r="Q1171" s="86"/>
      <c r="R1171" s="86"/>
      <c r="S1171" s="86"/>
      <c r="T1171" s="86"/>
      <c r="U1171" s="86"/>
      <c r="V1171" s="86"/>
      <c r="W1171" s="86"/>
      <c r="X1171" s="86"/>
      <c r="Y1171" s="86"/>
      <c r="Z1171" s="86"/>
      <c r="AA1171" s="86"/>
      <c r="AB1171" s="86"/>
      <c r="AC1171" s="86"/>
      <c r="AD1171" s="86"/>
      <c r="AE1171" s="86"/>
    </row>
    <row r="1172" spans="1:31">
      <c r="A1172" s="86"/>
      <c r="B1172" s="86"/>
      <c r="C1172" s="86"/>
      <c r="D1172" s="86"/>
      <c r="E1172" s="86"/>
      <c r="F1172" s="86"/>
      <c r="G1172" s="86"/>
      <c r="H1172" s="86"/>
      <c r="I1172" s="86"/>
      <c r="J1172" s="86"/>
      <c r="K1172" s="86"/>
      <c r="L1172" s="86"/>
      <c r="M1172" s="86"/>
      <c r="N1172" s="86"/>
      <c r="O1172" s="86"/>
      <c r="P1172" s="86"/>
      <c r="Q1172" s="86"/>
      <c r="R1172" s="86"/>
      <c r="S1172" s="86"/>
      <c r="T1172" s="86"/>
      <c r="U1172" s="86"/>
      <c r="V1172" s="86"/>
      <c r="W1172" s="86"/>
      <c r="X1172" s="86"/>
      <c r="Y1172" s="86"/>
      <c r="Z1172" s="86"/>
      <c r="AA1172" s="86"/>
      <c r="AB1172" s="86"/>
      <c r="AC1172" s="86"/>
      <c r="AD1172" s="86"/>
      <c r="AE1172" s="86"/>
    </row>
    <row r="1173" spans="1:31">
      <c r="A1173" s="86"/>
      <c r="B1173" s="86"/>
      <c r="C1173" s="86"/>
      <c r="D1173" s="86"/>
      <c r="E1173" s="86"/>
      <c r="F1173" s="86"/>
      <c r="G1173" s="86"/>
      <c r="H1173" s="86"/>
      <c r="I1173" s="86"/>
      <c r="J1173" s="86"/>
      <c r="K1173" s="86"/>
      <c r="L1173" s="86"/>
      <c r="M1173" s="86"/>
      <c r="N1173" s="86"/>
      <c r="O1173" s="86"/>
      <c r="P1173" s="86"/>
      <c r="Q1173" s="86"/>
      <c r="R1173" s="86"/>
      <c r="S1173" s="86"/>
      <c r="T1173" s="86"/>
      <c r="U1173" s="86"/>
      <c r="V1173" s="86"/>
      <c r="W1173" s="86"/>
      <c r="X1173" s="86"/>
      <c r="Y1173" s="86"/>
      <c r="Z1173" s="86"/>
      <c r="AA1173" s="86"/>
      <c r="AB1173" s="86"/>
      <c r="AC1173" s="86"/>
      <c r="AD1173" s="86"/>
      <c r="AE1173" s="86"/>
    </row>
    <row r="1174" spans="1:31">
      <c r="A1174" s="86"/>
      <c r="B1174" s="86"/>
      <c r="C1174" s="86"/>
      <c r="D1174" s="86"/>
      <c r="E1174" s="86"/>
      <c r="F1174" s="86"/>
      <c r="G1174" s="86"/>
      <c r="H1174" s="86"/>
      <c r="I1174" s="86"/>
      <c r="J1174" s="86"/>
      <c r="K1174" s="86"/>
      <c r="L1174" s="86"/>
      <c r="M1174" s="86"/>
      <c r="N1174" s="86"/>
      <c r="O1174" s="86"/>
      <c r="P1174" s="86"/>
      <c r="Q1174" s="86"/>
      <c r="R1174" s="86"/>
      <c r="S1174" s="86"/>
      <c r="T1174" s="86"/>
      <c r="U1174" s="86"/>
      <c r="V1174" s="86"/>
      <c r="W1174" s="86"/>
      <c r="X1174" s="86"/>
      <c r="Y1174" s="86"/>
      <c r="Z1174" s="86"/>
      <c r="AA1174" s="86"/>
      <c r="AB1174" s="86"/>
      <c r="AC1174" s="86"/>
      <c r="AD1174" s="86"/>
      <c r="AE1174" s="86"/>
    </row>
    <row r="1175" spans="1:31">
      <c r="A1175" s="86"/>
      <c r="B1175" s="86"/>
      <c r="C1175" s="86"/>
      <c r="D1175" s="86"/>
      <c r="E1175" s="86"/>
      <c r="F1175" s="86"/>
      <c r="G1175" s="86"/>
      <c r="H1175" s="86"/>
      <c r="I1175" s="86"/>
      <c r="J1175" s="86"/>
      <c r="K1175" s="86"/>
      <c r="L1175" s="86"/>
      <c r="M1175" s="86"/>
      <c r="N1175" s="86"/>
      <c r="O1175" s="86"/>
      <c r="P1175" s="86"/>
      <c r="Q1175" s="86"/>
      <c r="R1175" s="86"/>
      <c r="S1175" s="86"/>
      <c r="T1175" s="86"/>
      <c r="U1175" s="86"/>
      <c r="V1175" s="86"/>
      <c r="W1175" s="86"/>
      <c r="X1175" s="86"/>
      <c r="Y1175" s="86"/>
      <c r="Z1175" s="86"/>
      <c r="AA1175" s="86"/>
      <c r="AB1175" s="86"/>
      <c r="AC1175" s="86"/>
      <c r="AD1175" s="86"/>
      <c r="AE1175" s="86"/>
    </row>
    <row r="1176" spans="1:31">
      <c r="A1176" s="86"/>
      <c r="B1176" s="86"/>
      <c r="C1176" s="86"/>
      <c r="D1176" s="86"/>
      <c r="E1176" s="86"/>
      <c r="F1176" s="86"/>
      <c r="G1176" s="86"/>
      <c r="H1176" s="86"/>
      <c r="I1176" s="86"/>
      <c r="J1176" s="86"/>
      <c r="K1176" s="86"/>
      <c r="L1176" s="86"/>
      <c r="M1176" s="86"/>
      <c r="N1176" s="86"/>
      <c r="O1176" s="86"/>
      <c r="P1176" s="86"/>
      <c r="Q1176" s="86"/>
      <c r="R1176" s="86"/>
      <c r="S1176" s="86"/>
      <c r="T1176" s="86"/>
      <c r="U1176" s="86"/>
      <c r="V1176" s="86"/>
      <c r="W1176" s="86"/>
      <c r="X1176" s="86"/>
      <c r="Y1176" s="86"/>
      <c r="Z1176" s="86"/>
      <c r="AA1176" s="86"/>
      <c r="AB1176" s="86"/>
      <c r="AC1176" s="86"/>
      <c r="AD1176" s="86"/>
      <c r="AE1176" s="86"/>
    </row>
    <row r="1177" spans="1:31">
      <c r="A1177" s="86"/>
      <c r="B1177" s="86"/>
      <c r="C1177" s="86"/>
      <c r="D1177" s="86"/>
      <c r="E1177" s="86"/>
      <c r="F1177" s="86"/>
      <c r="G1177" s="86"/>
      <c r="H1177" s="86"/>
      <c r="I1177" s="86"/>
      <c r="J1177" s="86"/>
      <c r="K1177" s="86"/>
      <c r="L1177" s="86"/>
      <c r="M1177" s="86"/>
      <c r="N1177" s="86"/>
      <c r="O1177" s="86"/>
      <c r="P1177" s="86"/>
      <c r="Q1177" s="86"/>
      <c r="R1177" s="86"/>
      <c r="S1177" s="86"/>
      <c r="T1177" s="86"/>
      <c r="U1177" s="86"/>
      <c r="V1177" s="86"/>
      <c r="W1177" s="86"/>
      <c r="X1177" s="86"/>
      <c r="Y1177" s="86"/>
      <c r="Z1177" s="86"/>
      <c r="AA1177" s="86"/>
      <c r="AB1177" s="86"/>
      <c r="AC1177" s="86"/>
      <c r="AD1177" s="86"/>
      <c r="AE1177" s="86"/>
    </row>
    <row r="1178" spans="1:31">
      <c r="A1178" s="86"/>
      <c r="B1178" s="86"/>
      <c r="C1178" s="86"/>
      <c r="D1178" s="86"/>
      <c r="E1178" s="86"/>
      <c r="F1178" s="86"/>
      <c r="G1178" s="86"/>
      <c r="H1178" s="86"/>
      <c r="I1178" s="86"/>
      <c r="J1178" s="86"/>
      <c r="K1178" s="86"/>
      <c r="L1178" s="86"/>
      <c r="M1178" s="86"/>
      <c r="N1178" s="86"/>
      <c r="O1178" s="86"/>
      <c r="P1178" s="86"/>
      <c r="Q1178" s="86"/>
      <c r="R1178" s="86"/>
      <c r="S1178" s="86"/>
      <c r="T1178" s="86"/>
      <c r="U1178" s="86"/>
      <c r="V1178" s="86"/>
      <c r="W1178" s="86"/>
      <c r="X1178" s="86"/>
      <c r="Y1178" s="86"/>
      <c r="Z1178" s="86"/>
      <c r="AA1178" s="86"/>
      <c r="AB1178" s="86"/>
      <c r="AC1178" s="86"/>
      <c r="AD1178" s="86"/>
      <c r="AE1178" s="86"/>
    </row>
    <row r="1179" spans="1:31">
      <c r="A1179" s="86"/>
      <c r="B1179" s="86"/>
      <c r="C1179" s="86"/>
      <c r="D1179" s="86"/>
      <c r="E1179" s="86"/>
      <c r="F1179" s="86"/>
      <c r="G1179" s="86"/>
      <c r="H1179" s="86"/>
      <c r="I1179" s="86"/>
      <c r="J1179" s="86"/>
      <c r="K1179" s="86"/>
      <c r="L1179" s="86"/>
      <c r="M1179" s="86"/>
      <c r="N1179" s="86"/>
      <c r="O1179" s="86"/>
      <c r="P1179" s="86"/>
      <c r="Q1179" s="86"/>
      <c r="R1179" s="86"/>
      <c r="S1179" s="86"/>
      <c r="T1179" s="86"/>
      <c r="U1179" s="86"/>
      <c r="V1179" s="86"/>
      <c r="W1179" s="86"/>
      <c r="X1179" s="86"/>
      <c r="Y1179" s="86"/>
      <c r="Z1179" s="86"/>
      <c r="AA1179" s="86"/>
      <c r="AB1179" s="86"/>
      <c r="AC1179" s="86"/>
      <c r="AD1179" s="86"/>
      <c r="AE1179" s="86"/>
    </row>
    <row r="1180" spans="1:31">
      <c r="A1180" s="86"/>
      <c r="B1180" s="86"/>
      <c r="C1180" s="86"/>
      <c r="D1180" s="86"/>
      <c r="E1180" s="86"/>
      <c r="F1180" s="86"/>
      <c r="G1180" s="86"/>
      <c r="H1180" s="86"/>
      <c r="I1180" s="86"/>
      <c r="J1180" s="86"/>
      <c r="K1180" s="86"/>
      <c r="L1180" s="86"/>
      <c r="M1180" s="86"/>
      <c r="N1180" s="86"/>
      <c r="O1180" s="86"/>
      <c r="P1180" s="86"/>
      <c r="Q1180" s="86"/>
      <c r="R1180" s="86"/>
      <c r="S1180" s="86"/>
      <c r="T1180" s="86"/>
      <c r="U1180" s="86"/>
      <c r="V1180" s="86"/>
      <c r="W1180" s="86"/>
      <c r="X1180" s="86"/>
      <c r="Y1180" s="86"/>
      <c r="Z1180" s="86"/>
      <c r="AA1180" s="86"/>
      <c r="AB1180" s="86"/>
      <c r="AC1180" s="86"/>
      <c r="AD1180" s="86"/>
      <c r="AE1180" s="86"/>
    </row>
    <row r="1181" spans="1:31">
      <c r="A1181" s="86"/>
      <c r="B1181" s="86"/>
      <c r="C1181" s="86"/>
      <c r="D1181" s="86"/>
      <c r="E1181" s="86"/>
      <c r="F1181" s="86"/>
      <c r="G1181" s="86"/>
      <c r="H1181" s="86"/>
      <c r="I1181" s="86"/>
      <c r="J1181" s="86"/>
      <c r="K1181" s="86"/>
      <c r="L1181" s="86"/>
      <c r="M1181" s="86"/>
      <c r="N1181" s="86"/>
      <c r="O1181" s="86"/>
      <c r="P1181" s="86"/>
      <c r="Q1181" s="86"/>
      <c r="R1181" s="86"/>
      <c r="S1181" s="86"/>
      <c r="T1181" s="86"/>
      <c r="U1181" s="86"/>
      <c r="V1181" s="86"/>
      <c r="W1181" s="86"/>
      <c r="X1181" s="86"/>
      <c r="Y1181" s="86"/>
      <c r="Z1181" s="86"/>
      <c r="AA1181" s="86"/>
      <c r="AB1181" s="86"/>
      <c r="AC1181" s="86"/>
      <c r="AD1181" s="86"/>
      <c r="AE1181" s="86"/>
    </row>
    <row r="1182" spans="1:31">
      <c r="A1182" s="86"/>
      <c r="B1182" s="86"/>
      <c r="C1182" s="86"/>
      <c r="D1182" s="86"/>
      <c r="E1182" s="86"/>
      <c r="F1182" s="86"/>
      <c r="G1182" s="86"/>
      <c r="H1182" s="86"/>
      <c r="I1182" s="86"/>
      <c r="J1182" s="86"/>
      <c r="K1182" s="86"/>
      <c r="L1182" s="86"/>
      <c r="M1182" s="86"/>
      <c r="N1182" s="86"/>
      <c r="O1182" s="86"/>
      <c r="P1182" s="86"/>
      <c r="Q1182" s="86"/>
      <c r="R1182" s="86"/>
      <c r="S1182" s="86"/>
      <c r="T1182" s="86"/>
      <c r="U1182" s="86"/>
      <c r="V1182" s="86"/>
      <c r="W1182" s="86"/>
      <c r="X1182" s="86"/>
      <c r="Y1182" s="86"/>
      <c r="Z1182" s="86"/>
      <c r="AA1182" s="86"/>
      <c r="AB1182" s="86"/>
      <c r="AC1182" s="86"/>
      <c r="AD1182" s="86"/>
      <c r="AE1182" s="86"/>
    </row>
    <row r="1183" spans="1:31">
      <c r="A1183" s="86"/>
      <c r="B1183" s="86"/>
      <c r="C1183" s="86"/>
      <c r="D1183" s="86"/>
      <c r="E1183" s="86"/>
      <c r="F1183" s="86"/>
      <c r="G1183" s="86"/>
      <c r="H1183" s="86"/>
      <c r="I1183" s="86"/>
      <c r="J1183" s="86"/>
      <c r="K1183" s="86"/>
      <c r="L1183" s="86"/>
      <c r="M1183" s="86"/>
      <c r="N1183" s="86"/>
      <c r="O1183" s="86"/>
      <c r="P1183" s="86"/>
      <c r="Q1183" s="86"/>
      <c r="R1183" s="86"/>
      <c r="S1183" s="86"/>
      <c r="T1183" s="86"/>
      <c r="U1183" s="86"/>
      <c r="V1183" s="86"/>
      <c r="W1183" s="86"/>
      <c r="X1183" s="86"/>
      <c r="Y1183" s="86"/>
      <c r="Z1183" s="86"/>
      <c r="AA1183" s="86"/>
      <c r="AB1183" s="86"/>
      <c r="AC1183" s="86"/>
      <c r="AD1183" s="86"/>
      <c r="AE1183" s="86"/>
    </row>
    <row r="1184" spans="1:31">
      <c r="A1184" s="86"/>
      <c r="B1184" s="86"/>
      <c r="C1184" s="86"/>
      <c r="D1184" s="86"/>
      <c r="E1184" s="86"/>
      <c r="F1184" s="86"/>
      <c r="G1184" s="86"/>
      <c r="H1184" s="86"/>
      <c r="I1184" s="86"/>
      <c r="J1184" s="86"/>
      <c r="K1184" s="86"/>
      <c r="L1184" s="86"/>
      <c r="M1184" s="86"/>
      <c r="N1184" s="86"/>
      <c r="O1184" s="86"/>
      <c r="P1184" s="86"/>
      <c r="Q1184" s="86"/>
      <c r="R1184" s="86"/>
      <c r="S1184" s="86"/>
      <c r="T1184" s="86"/>
      <c r="U1184" s="86"/>
      <c r="V1184" s="86"/>
      <c r="W1184" s="86"/>
      <c r="X1184" s="86"/>
      <c r="Y1184" s="86"/>
      <c r="Z1184" s="86"/>
      <c r="AA1184" s="86"/>
      <c r="AB1184" s="86"/>
      <c r="AC1184" s="86"/>
      <c r="AD1184" s="86"/>
      <c r="AE1184" s="86"/>
    </row>
    <row r="1185" spans="1:31">
      <c r="A1185" s="86"/>
      <c r="B1185" s="86"/>
      <c r="C1185" s="86"/>
      <c r="D1185" s="86"/>
      <c r="E1185" s="86"/>
      <c r="F1185" s="86"/>
      <c r="G1185" s="86"/>
      <c r="H1185" s="86"/>
      <c r="I1185" s="86"/>
      <c r="J1185" s="86"/>
      <c r="K1185" s="86"/>
      <c r="L1185" s="86"/>
      <c r="M1185" s="86"/>
      <c r="N1185" s="86"/>
      <c r="O1185" s="86"/>
      <c r="P1185" s="86"/>
      <c r="Q1185" s="86"/>
      <c r="R1185" s="86"/>
      <c r="S1185" s="86"/>
      <c r="T1185" s="86"/>
      <c r="U1185" s="86"/>
      <c r="V1185" s="86"/>
      <c r="W1185" s="86"/>
      <c r="X1185" s="86"/>
      <c r="Y1185" s="86"/>
      <c r="Z1185" s="86"/>
      <c r="AA1185" s="86"/>
      <c r="AB1185" s="86"/>
      <c r="AC1185" s="86"/>
      <c r="AD1185" s="86"/>
      <c r="AE1185" s="86"/>
    </row>
    <row r="1186" spans="1:31">
      <c r="A1186" s="86"/>
      <c r="B1186" s="86"/>
      <c r="C1186" s="86"/>
      <c r="D1186" s="86"/>
      <c r="E1186" s="86"/>
      <c r="F1186" s="86"/>
      <c r="G1186" s="86"/>
      <c r="H1186" s="86"/>
      <c r="I1186" s="86"/>
      <c r="J1186" s="86"/>
      <c r="K1186" s="86"/>
      <c r="L1186" s="86"/>
      <c r="M1186" s="86"/>
      <c r="N1186" s="86"/>
      <c r="O1186" s="86"/>
      <c r="P1186" s="86"/>
      <c r="Q1186" s="86"/>
      <c r="R1186" s="86"/>
      <c r="S1186" s="86"/>
      <c r="T1186" s="86"/>
      <c r="U1186" s="86"/>
      <c r="V1186" s="86"/>
      <c r="W1186" s="86"/>
      <c r="X1186" s="86"/>
      <c r="Y1186" s="86"/>
      <c r="Z1186" s="86"/>
      <c r="AA1186" s="86"/>
      <c r="AB1186" s="86"/>
      <c r="AC1186" s="86"/>
      <c r="AD1186" s="86"/>
      <c r="AE1186" s="86"/>
    </row>
    <row r="1187" spans="1:31">
      <c r="A1187" s="86"/>
      <c r="B1187" s="86"/>
      <c r="C1187" s="86"/>
      <c r="D1187" s="86"/>
      <c r="E1187" s="86"/>
      <c r="F1187" s="86"/>
      <c r="G1187" s="86"/>
      <c r="H1187" s="86"/>
      <c r="I1187" s="86"/>
      <c r="J1187" s="86"/>
      <c r="K1187" s="86"/>
      <c r="L1187" s="86"/>
      <c r="M1187" s="86"/>
      <c r="N1187" s="86"/>
      <c r="O1187" s="86"/>
      <c r="P1187" s="86"/>
      <c r="Q1187" s="86"/>
      <c r="R1187" s="86"/>
      <c r="S1187" s="86"/>
      <c r="T1187" s="86"/>
      <c r="U1187" s="86"/>
      <c r="V1187" s="86"/>
      <c r="W1187" s="86"/>
      <c r="X1187" s="86"/>
      <c r="Y1187" s="86"/>
      <c r="Z1187" s="86"/>
      <c r="AA1187" s="86"/>
      <c r="AB1187" s="86"/>
      <c r="AC1187" s="86"/>
      <c r="AD1187" s="86"/>
      <c r="AE1187" s="86"/>
    </row>
    <row r="1188" spans="1:31">
      <c r="A1188" s="86"/>
      <c r="B1188" s="86"/>
      <c r="C1188" s="86"/>
      <c r="D1188" s="86"/>
      <c r="E1188" s="86"/>
      <c r="F1188" s="86"/>
      <c r="G1188" s="86"/>
      <c r="H1188" s="86"/>
      <c r="I1188" s="86"/>
      <c r="J1188" s="86"/>
      <c r="K1188" s="86"/>
      <c r="L1188" s="86"/>
      <c r="M1188" s="86"/>
      <c r="N1188" s="86"/>
      <c r="O1188" s="86"/>
      <c r="P1188" s="86"/>
      <c r="Q1188" s="86"/>
      <c r="R1188" s="86"/>
      <c r="S1188" s="86"/>
      <c r="T1188" s="86"/>
      <c r="U1188" s="86"/>
      <c r="V1188" s="86"/>
      <c r="W1188" s="86"/>
      <c r="X1188" s="86"/>
      <c r="Y1188" s="86"/>
      <c r="Z1188" s="86"/>
      <c r="AA1188" s="86"/>
      <c r="AB1188" s="86"/>
      <c r="AC1188" s="86"/>
      <c r="AD1188" s="86"/>
      <c r="AE1188" s="86"/>
    </row>
    <row r="1189" spans="1:31">
      <c r="A1189" s="86"/>
      <c r="B1189" s="86"/>
      <c r="C1189" s="86"/>
      <c r="D1189" s="86"/>
      <c r="E1189" s="86"/>
      <c r="F1189" s="86"/>
      <c r="G1189" s="86"/>
      <c r="H1189" s="86"/>
      <c r="I1189" s="86"/>
      <c r="J1189" s="86"/>
      <c r="K1189" s="86"/>
      <c r="L1189" s="86"/>
      <c r="M1189" s="86"/>
      <c r="N1189" s="86"/>
      <c r="O1189" s="86"/>
      <c r="P1189" s="86"/>
      <c r="Q1189" s="86"/>
      <c r="R1189" s="86"/>
      <c r="S1189" s="86"/>
      <c r="T1189" s="86"/>
      <c r="U1189" s="86"/>
      <c r="V1189" s="86"/>
      <c r="W1189" s="86"/>
      <c r="X1189" s="86"/>
      <c r="Y1189" s="86"/>
      <c r="Z1189" s="86"/>
      <c r="AA1189" s="86"/>
      <c r="AB1189" s="86"/>
      <c r="AC1189" s="86"/>
      <c r="AD1189" s="86"/>
      <c r="AE1189" s="86"/>
    </row>
    <row r="1190" spans="1:31">
      <c r="A1190" s="86"/>
      <c r="B1190" s="86"/>
      <c r="C1190" s="86"/>
      <c r="D1190" s="86"/>
      <c r="E1190" s="86"/>
      <c r="F1190" s="86"/>
      <c r="G1190" s="86"/>
      <c r="H1190" s="86"/>
      <c r="I1190" s="86"/>
      <c r="J1190" s="86"/>
      <c r="K1190" s="86"/>
      <c r="L1190" s="86"/>
      <c r="M1190" s="86"/>
      <c r="N1190" s="86"/>
      <c r="O1190" s="86"/>
      <c r="P1190" s="86"/>
      <c r="Q1190" s="86"/>
      <c r="R1190" s="86"/>
      <c r="S1190" s="86"/>
      <c r="T1190" s="86"/>
      <c r="U1190" s="86"/>
      <c r="V1190" s="86"/>
      <c r="W1190" s="86"/>
      <c r="X1190" s="86"/>
      <c r="Y1190" s="86"/>
      <c r="Z1190" s="86"/>
      <c r="AA1190" s="86"/>
      <c r="AB1190" s="86"/>
      <c r="AC1190" s="86"/>
      <c r="AD1190" s="86"/>
      <c r="AE1190" s="86"/>
    </row>
    <row r="1191" spans="1:31">
      <c r="A1191" s="86"/>
      <c r="B1191" s="86"/>
      <c r="C1191" s="86"/>
      <c r="D1191" s="86"/>
      <c r="E1191" s="86"/>
      <c r="F1191" s="86"/>
      <c r="G1191" s="86"/>
      <c r="H1191" s="86"/>
      <c r="I1191" s="86"/>
      <c r="J1191" s="86"/>
      <c r="K1191" s="86"/>
      <c r="L1191" s="86"/>
      <c r="M1191" s="86"/>
      <c r="N1191" s="86"/>
      <c r="O1191" s="86"/>
      <c r="P1191" s="86"/>
      <c r="Q1191" s="86"/>
      <c r="R1191" s="86"/>
      <c r="S1191" s="86"/>
      <c r="T1191" s="86"/>
      <c r="U1191" s="86"/>
      <c r="V1191" s="86"/>
      <c r="W1191" s="86"/>
      <c r="X1191" s="86"/>
      <c r="Y1191" s="86"/>
      <c r="Z1191" s="86"/>
      <c r="AA1191" s="86"/>
      <c r="AB1191" s="86"/>
      <c r="AC1191" s="86"/>
      <c r="AD1191" s="86"/>
      <c r="AE1191" s="86"/>
    </row>
    <row r="1192" spans="1:31">
      <c r="A1192" s="86"/>
      <c r="B1192" s="86"/>
      <c r="C1192" s="86"/>
      <c r="D1192" s="86"/>
      <c r="E1192" s="86"/>
      <c r="F1192" s="86"/>
      <c r="G1192" s="86"/>
      <c r="H1192" s="86"/>
      <c r="I1192" s="86"/>
      <c r="J1192" s="86"/>
      <c r="K1192" s="86"/>
      <c r="L1192" s="86"/>
      <c r="M1192" s="86"/>
      <c r="N1192" s="86"/>
      <c r="O1192" s="86"/>
      <c r="P1192" s="86"/>
      <c r="Q1192" s="86"/>
      <c r="R1192" s="86"/>
      <c r="S1192" s="86"/>
      <c r="T1192" s="86"/>
      <c r="U1192" s="86"/>
      <c r="V1192" s="86"/>
      <c r="W1192" s="86"/>
      <c r="X1192" s="86"/>
      <c r="Y1192" s="86"/>
      <c r="Z1192" s="86"/>
      <c r="AA1192" s="86"/>
      <c r="AB1192" s="86"/>
      <c r="AC1192" s="86"/>
      <c r="AD1192" s="86"/>
      <c r="AE1192" s="86"/>
    </row>
    <row r="1193" spans="1:31">
      <c r="A1193" s="86"/>
      <c r="B1193" s="86"/>
      <c r="C1193" s="86"/>
      <c r="D1193" s="86"/>
      <c r="E1193" s="86"/>
      <c r="F1193" s="86"/>
      <c r="G1193" s="86"/>
      <c r="H1193" s="86"/>
      <c r="I1193" s="86"/>
      <c r="J1193" s="86"/>
      <c r="K1193" s="86"/>
      <c r="L1193" s="86"/>
      <c r="M1193" s="86"/>
      <c r="N1193" s="86"/>
      <c r="O1193" s="86"/>
      <c r="P1193" s="86"/>
      <c r="Q1193" s="86"/>
      <c r="R1193" s="86"/>
      <c r="S1193" s="86"/>
      <c r="T1193" s="86"/>
      <c r="U1193" s="86"/>
      <c r="V1193" s="86"/>
      <c r="W1193" s="86"/>
      <c r="X1193" s="86"/>
      <c r="Y1193" s="86"/>
      <c r="Z1193" s="86"/>
      <c r="AA1193" s="86"/>
      <c r="AB1193" s="86"/>
      <c r="AC1193" s="86"/>
      <c r="AD1193" s="86"/>
      <c r="AE1193" s="86"/>
    </row>
    <row r="1194" spans="1:31">
      <c r="A1194" s="86"/>
      <c r="B1194" s="86"/>
      <c r="C1194" s="86"/>
      <c r="D1194" s="86"/>
      <c r="E1194" s="86"/>
      <c r="F1194" s="86"/>
      <c r="G1194" s="86"/>
      <c r="H1194" s="86"/>
      <c r="I1194" s="86"/>
      <c r="J1194" s="86"/>
      <c r="K1194" s="86"/>
      <c r="L1194" s="86"/>
      <c r="M1194" s="86"/>
      <c r="N1194" s="86"/>
      <c r="O1194" s="86"/>
      <c r="P1194" s="86"/>
      <c r="Q1194" s="86"/>
      <c r="R1194" s="86"/>
      <c r="S1194" s="86"/>
      <c r="T1194" s="86"/>
      <c r="U1194" s="86"/>
      <c r="V1194" s="86"/>
      <c r="W1194" s="86"/>
      <c r="X1194" s="86"/>
      <c r="Y1194" s="86"/>
      <c r="Z1194" s="86"/>
      <c r="AA1194" s="86"/>
      <c r="AB1194" s="86"/>
      <c r="AC1194" s="86"/>
      <c r="AD1194" s="86"/>
      <c r="AE1194" s="86"/>
    </row>
    <row r="1195" spans="1:31">
      <c r="A1195" s="86"/>
      <c r="B1195" s="86"/>
      <c r="C1195" s="86"/>
      <c r="D1195" s="86"/>
      <c r="E1195" s="86"/>
      <c r="F1195" s="86"/>
      <c r="G1195" s="86"/>
      <c r="H1195" s="86"/>
      <c r="I1195" s="86"/>
      <c r="J1195" s="86"/>
      <c r="K1195" s="86"/>
      <c r="L1195" s="86"/>
      <c r="M1195" s="86"/>
      <c r="N1195" s="86"/>
      <c r="O1195" s="86"/>
      <c r="P1195" s="86"/>
      <c r="Q1195" s="86"/>
      <c r="R1195" s="86"/>
      <c r="S1195" s="86"/>
      <c r="T1195" s="86"/>
      <c r="U1195" s="86"/>
      <c r="V1195" s="86"/>
      <c r="W1195" s="86"/>
      <c r="X1195" s="86"/>
      <c r="Y1195" s="86"/>
      <c r="Z1195" s="86"/>
      <c r="AA1195" s="86"/>
      <c r="AB1195" s="86"/>
      <c r="AC1195" s="86"/>
      <c r="AD1195" s="86"/>
      <c r="AE1195" s="86"/>
    </row>
    <row r="1196" spans="1:31">
      <c r="A1196" s="86"/>
      <c r="B1196" s="86"/>
      <c r="C1196" s="86"/>
      <c r="D1196" s="86"/>
      <c r="E1196" s="86"/>
      <c r="F1196" s="86"/>
      <c r="G1196" s="86"/>
      <c r="H1196" s="86"/>
      <c r="I1196" s="86"/>
      <c r="J1196" s="86"/>
      <c r="K1196" s="86"/>
      <c r="L1196" s="86"/>
      <c r="M1196" s="86"/>
      <c r="N1196" s="86"/>
      <c r="O1196" s="86"/>
      <c r="P1196" s="86"/>
      <c r="Q1196" s="86"/>
      <c r="R1196" s="86"/>
      <c r="S1196" s="86"/>
      <c r="T1196" s="86"/>
      <c r="U1196" s="86"/>
      <c r="V1196" s="86"/>
      <c r="W1196" s="86"/>
      <c r="X1196" s="86"/>
      <c r="Y1196" s="86"/>
      <c r="Z1196" s="86"/>
      <c r="AA1196" s="86"/>
      <c r="AB1196" s="86"/>
      <c r="AC1196" s="86"/>
      <c r="AD1196" s="86"/>
      <c r="AE1196" s="86"/>
    </row>
    <row r="1197" spans="1:31">
      <c r="A1197" s="86"/>
      <c r="B1197" s="86"/>
      <c r="C1197" s="86"/>
      <c r="D1197" s="86"/>
      <c r="E1197" s="86"/>
      <c r="F1197" s="86"/>
      <c r="G1197" s="86"/>
      <c r="H1197" s="86"/>
      <c r="I1197" s="86"/>
      <c r="J1197" s="86"/>
      <c r="K1197" s="86"/>
      <c r="L1197" s="86"/>
      <c r="M1197" s="86"/>
      <c r="N1197" s="86"/>
      <c r="O1197" s="86"/>
      <c r="P1197" s="86"/>
      <c r="Q1197" s="86"/>
      <c r="R1197" s="86"/>
      <c r="S1197" s="86"/>
      <c r="T1197" s="86"/>
      <c r="U1197" s="86"/>
      <c r="V1197" s="86"/>
      <c r="W1197" s="86"/>
      <c r="X1197" s="86"/>
      <c r="Y1197" s="86"/>
      <c r="Z1197" s="86"/>
      <c r="AA1197" s="86"/>
      <c r="AB1197" s="86"/>
      <c r="AC1197" s="86"/>
      <c r="AD1197" s="86"/>
      <c r="AE1197" s="86"/>
    </row>
    <row r="1198" spans="1:31">
      <c r="A1198" s="86"/>
      <c r="B1198" s="86"/>
      <c r="C1198" s="86"/>
      <c r="D1198" s="86"/>
      <c r="E1198" s="86"/>
      <c r="F1198" s="86"/>
      <c r="G1198" s="86"/>
      <c r="H1198" s="86"/>
      <c r="I1198" s="86"/>
      <c r="J1198" s="86"/>
      <c r="K1198" s="86"/>
      <c r="L1198" s="86"/>
      <c r="M1198" s="86"/>
      <c r="N1198" s="86"/>
      <c r="O1198" s="86"/>
      <c r="P1198" s="86"/>
      <c r="Q1198" s="86"/>
      <c r="R1198" s="86"/>
      <c r="S1198" s="86"/>
      <c r="T1198" s="86"/>
      <c r="U1198" s="86"/>
      <c r="V1198" s="86"/>
      <c r="W1198" s="86"/>
      <c r="X1198" s="86"/>
      <c r="Y1198" s="86"/>
      <c r="Z1198" s="86"/>
      <c r="AA1198" s="86"/>
      <c r="AB1198" s="86"/>
      <c r="AC1198" s="86"/>
      <c r="AD1198" s="86"/>
      <c r="AE1198" s="86"/>
    </row>
    <row r="1199" spans="1:31">
      <c r="A1199" s="86"/>
      <c r="B1199" s="86"/>
      <c r="C1199" s="86"/>
      <c r="D1199" s="86"/>
      <c r="E1199" s="86"/>
      <c r="F1199" s="86"/>
      <c r="G1199" s="86"/>
      <c r="H1199" s="86"/>
      <c r="I1199" s="86"/>
      <c r="J1199" s="86"/>
      <c r="K1199" s="86"/>
      <c r="L1199" s="86"/>
      <c r="M1199" s="86"/>
      <c r="N1199" s="86"/>
      <c r="O1199" s="86"/>
      <c r="P1199" s="86"/>
      <c r="Q1199" s="86"/>
      <c r="R1199" s="86"/>
      <c r="S1199" s="86"/>
      <c r="T1199" s="86"/>
      <c r="U1199" s="86"/>
      <c r="V1199" s="86"/>
      <c r="W1199" s="86"/>
      <c r="X1199" s="86"/>
      <c r="Y1199" s="86"/>
      <c r="Z1199" s="86"/>
      <c r="AA1199" s="86"/>
      <c r="AB1199" s="86"/>
      <c r="AC1199" s="86"/>
      <c r="AD1199" s="86"/>
      <c r="AE1199" s="86"/>
    </row>
    <row r="1200" spans="1:31">
      <c r="A1200" s="86"/>
      <c r="B1200" s="86"/>
      <c r="C1200" s="86"/>
      <c r="D1200" s="86"/>
      <c r="E1200" s="86"/>
      <c r="F1200" s="86"/>
      <c r="G1200" s="86"/>
      <c r="H1200" s="86"/>
      <c r="I1200" s="86"/>
      <c r="J1200" s="86"/>
      <c r="K1200" s="86"/>
      <c r="L1200" s="86"/>
      <c r="M1200" s="86"/>
      <c r="N1200" s="86"/>
      <c r="O1200" s="86"/>
      <c r="P1200" s="86"/>
      <c r="Q1200" s="86"/>
      <c r="R1200" s="86"/>
      <c r="S1200" s="86"/>
      <c r="T1200" s="86"/>
      <c r="U1200" s="86"/>
      <c r="V1200" s="86"/>
      <c r="W1200" s="86"/>
      <c r="X1200" s="86"/>
      <c r="Y1200" s="86"/>
      <c r="Z1200" s="86"/>
      <c r="AA1200" s="86"/>
      <c r="AB1200" s="86"/>
      <c r="AC1200" s="86"/>
      <c r="AD1200" s="86"/>
      <c r="AE1200" s="86"/>
    </row>
    <row r="1201" spans="1:31">
      <c r="A1201" s="86"/>
      <c r="B1201" s="86"/>
      <c r="C1201" s="86"/>
      <c r="D1201" s="86"/>
      <c r="E1201" s="86"/>
      <c r="F1201" s="86"/>
      <c r="G1201" s="86"/>
      <c r="H1201" s="86"/>
      <c r="I1201" s="86"/>
      <c r="J1201" s="86"/>
      <c r="K1201" s="86"/>
      <c r="L1201" s="86"/>
      <c r="M1201" s="86"/>
      <c r="N1201" s="86"/>
      <c r="O1201" s="86"/>
      <c r="P1201" s="86"/>
      <c r="Q1201" s="86"/>
      <c r="R1201" s="86"/>
      <c r="S1201" s="86"/>
      <c r="T1201" s="86"/>
      <c r="U1201" s="86"/>
      <c r="V1201" s="86"/>
      <c r="W1201" s="86"/>
      <c r="X1201" s="86"/>
      <c r="Y1201" s="86"/>
      <c r="Z1201" s="86"/>
      <c r="AA1201" s="86"/>
      <c r="AB1201" s="86"/>
      <c r="AC1201" s="86"/>
      <c r="AD1201" s="86"/>
      <c r="AE1201" s="86"/>
    </row>
    <row r="1202" spans="1:31">
      <c r="A1202" s="86"/>
      <c r="B1202" s="86"/>
      <c r="C1202" s="86"/>
      <c r="D1202" s="86"/>
      <c r="E1202" s="86"/>
      <c r="F1202" s="86"/>
      <c r="G1202" s="86"/>
      <c r="H1202" s="86"/>
      <c r="I1202" s="86"/>
      <c r="J1202" s="86"/>
      <c r="K1202" s="86"/>
      <c r="L1202" s="86"/>
      <c r="M1202" s="86"/>
      <c r="N1202" s="86"/>
      <c r="O1202" s="86"/>
      <c r="P1202" s="86"/>
      <c r="Q1202" s="86"/>
      <c r="R1202" s="86"/>
      <c r="S1202" s="86"/>
      <c r="T1202" s="86"/>
      <c r="U1202" s="86"/>
      <c r="V1202" s="86"/>
      <c r="W1202" s="86"/>
      <c r="X1202" s="86"/>
      <c r="Y1202" s="86"/>
      <c r="Z1202" s="86"/>
      <c r="AA1202" s="86"/>
      <c r="AB1202" s="86"/>
      <c r="AC1202" s="86"/>
      <c r="AD1202" s="86"/>
      <c r="AE1202" s="86"/>
    </row>
    <row r="1203" spans="1:31">
      <c r="A1203" s="86"/>
      <c r="B1203" s="86"/>
      <c r="C1203" s="86"/>
      <c r="D1203" s="86"/>
      <c r="E1203" s="86"/>
      <c r="F1203" s="86"/>
      <c r="G1203" s="86"/>
      <c r="H1203" s="86"/>
      <c r="I1203" s="86"/>
      <c r="J1203" s="86"/>
      <c r="K1203" s="86"/>
      <c r="L1203" s="86"/>
      <c r="M1203" s="86"/>
      <c r="N1203" s="86"/>
      <c r="O1203" s="86"/>
      <c r="P1203" s="86"/>
      <c r="Q1203" s="86"/>
      <c r="R1203" s="86"/>
      <c r="S1203" s="86"/>
      <c r="T1203" s="86"/>
      <c r="U1203" s="86"/>
      <c r="V1203" s="86"/>
      <c r="W1203" s="86"/>
      <c r="X1203" s="86"/>
      <c r="Y1203" s="86"/>
      <c r="Z1203" s="86"/>
      <c r="AA1203" s="86"/>
      <c r="AB1203" s="86"/>
      <c r="AC1203" s="86"/>
      <c r="AD1203" s="86"/>
      <c r="AE1203" s="86"/>
    </row>
    <row r="1204" spans="1:31">
      <c r="A1204" s="86"/>
      <c r="B1204" s="86"/>
      <c r="C1204" s="86"/>
      <c r="D1204" s="86"/>
      <c r="E1204" s="86"/>
      <c r="F1204" s="86"/>
      <c r="G1204" s="86"/>
      <c r="H1204" s="86"/>
      <c r="I1204" s="86"/>
      <c r="J1204" s="86"/>
      <c r="K1204" s="86"/>
      <c r="L1204" s="86"/>
      <c r="M1204" s="86"/>
      <c r="N1204" s="86"/>
      <c r="O1204" s="86"/>
      <c r="P1204" s="86"/>
      <c r="Q1204" s="86"/>
      <c r="R1204" s="86"/>
      <c r="S1204" s="86"/>
      <c r="T1204" s="86"/>
      <c r="U1204" s="86"/>
      <c r="V1204" s="86"/>
      <c r="W1204" s="86"/>
      <c r="X1204" s="86"/>
      <c r="Y1204" s="86"/>
      <c r="Z1204" s="86"/>
      <c r="AA1204" s="86"/>
      <c r="AB1204" s="86"/>
      <c r="AC1204" s="86"/>
      <c r="AD1204" s="86"/>
      <c r="AE1204" s="86"/>
    </row>
    <row r="1205" spans="1:31">
      <c r="A1205" s="86"/>
      <c r="B1205" s="86"/>
      <c r="C1205" s="86"/>
      <c r="D1205" s="86"/>
      <c r="E1205" s="86"/>
      <c r="F1205" s="86"/>
      <c r="G1205" s="86"/>
      <c r="H1205" s="86"/>
      <c r="I1205" s="86"/>
      <c r="J1205" s="86"/>
      <c r="K1205" s="86"/>
      <c r="L1205" s="86"/>
      <c r="M1205" s="86"/>
      <c r="N1205" s="86"/>
      <c r="O1205" s="86"/>
      <c r="P1205" s="86"/>
      <c r="Q1205" s="86"/>
      <c r="R1205" s="86"/>
      <c r="S1205" s="86"/>
      <c r="T1205" s="86"/>
      <c r="U1205" s="86"/>
      <c r="V1205" s="86"/>
      <c r="W1205" s="86"/>
      <c r="X1205" s="86"/>
      <c r="Y1205" s="86"/>
      <c r="Z1205" s="86"/>
      <c r="AA1205" s="86"/>
      <c r="AB1205" s="86"/>
      <c r="AC1205" s="86"/>
      <c r="AD1205" s="86"/>
      <c r="AE1205" s="86"/>
    </row>
    <row r="1206" spans="1:31">
      <c r="A1206" s="86"/>
      <c r="B1206" s="86"/>
      <c r="C1206" s="86"/>
      <c r="D1206" s="86"/>
      <c r="E1206" s="86"/>
      <c r="F1206" s="86"/>
      <c r="G1206" s="86"/>
      <c r="H1206" s="86"/>
      <c r="I1206" s="86"/>
      <c r="J1206" s="86"/>
      <c r="K1206" s="86"/>
      <c r="L1206" s="86"/>
      <c r="M1206" s="86"/>
      <c r="N1206" s="86"/>
      <c r="O1206" s="86"/>
      <c r="P1206" s="86"/>
      <c r="Q1206" s="86"/>
      <c r="R1206" s="86"/>
      <c r="S1206" s="86"/>
      <c r="T1206" s="86"/>
      <c r="U1206" s="86"/>
      <c r="V1206" s="86"/>
      <c r="W1206" s="86"/>
      <c r="X1206" s="86"/>
      <c r="Y1206" s="86"/>
      <c r="Z1206" s="86"/>
      <c r="AA1206" s="86"/>
      <c r="AB1206" s="86"/>
      <c r="AC1206" s="86"/>
      <c r="AD1206" s="86"/>
      <c r="AE1206" s="86"/>
    </row>
    <row r="1207" spans="1:31">
      <c r="A1207" s="86"/>
      <c r="B1207" s="86"/>
      <c r="C1207" s="86"/>
      <c r="D1207" s="86"/>
      <c r="E1207" s="86"/>
      <c r="F1207" s="86"/>
      <c r="G1207" s="86"/>
      <c r="H1207" s="86"/>
      <c r="I1207" s="86"/>
      <c r="J1207" s="86"/>
      <c r="K1207" s="86"/>
      <c r="L1207" s="86"/>
      <c r="M1207" s="86"/>
      <c r="N1207" s="86"/>
      <c r="O1207" s="86"/>
      <c r="P1207" s="86"/>
      <c r="Q1207" s="86"/>
      <c r="R1207" s="86"/>
      <c r="S1207" s="86"/>
      <c r="T1207" s="86"/>
      <c r="U1207" s="86"/>
      <c r="V1207" s="86"/>
      <c r="W1207" s="86"/>
      <c r="X1207" s="86"/>
      <c r="Y1207" s="86"/>
      <c r="Z1207" s="86"/>
      <c r="AA1207" s="86"/>
      <c r="AB1207" s="86"/>
      <c r="AC1207" s="86"/>
      <c r="AD1207" s="86"/>
      <c r="AE1207" s="86"/>
    </row>
    <row r="1208" spans="1:31">
      <c r="A1208" s="86"/>
      <c r="B1208" s="86"/>
      <c r="C1208" s="86"/>
      <c r="D1208" s="86"/>
      <c r="E1208" s="86"/>
      <c r="F1208" s="86"/>
      <c r="G1208" s="86"/>
      <c r="H1208" s="86"/>
      <c r="I1208" s="86"/>
      <c r="J1208" s="86"/>
      <c r="K1208" s="86"/>
      <c r="L1208" s="86"/>
      <c r="M1208" s="86"/>
      <c r="N1208" s="86"/>
      <c r="O1208" s="86"/>
      <c r="P1208" s="86"/>
      <c r="Q1208" s="86"/>
      <c r="R1208" s="86"/>
      <c r="S1208" s="86"/>
      <c r="T1208" s="86"/>
      <c r="U1208" s="86"/>
      <c r="V1208" s="86"/>
      <c r="W1208" s="86"/>
      <c r="X1208" s="86"/>
      <c r="Y1208" s="86"/>
      <c r="Z1208" s="86"/>
      <c r="AA1208" s="86"/>
      <c r="AB1208" s="86"/>
      <c r="AC1208" s="86"/>
      <c r="AD1208" s="86"/>
      <c r="AE1208" s="86"/>
    </row>
    <row r="1209" spans="1:31">
      <c r="A1209" s="86"/>
      <c r="B1209" s="86"/>
      <c r="C1209" s="86"/>
      <c r="D1209" s="86"/>
      <c r="E1209" s="86"/>
      <c r="F1209" s="86"/>
      <c r="G1209" s="86"/>
      <c r="H1209" s="86"/>
      <c r="I1209" s="86"/>
      <c r="J1209" s="86"/>
      <c r="K1209" s="86"/>
      <c r="L1209" s="86"/>
      <c r="M1209" s="86"/>
      <c r="N1209" s="86"/>
      <c r="O1209" s="86"/>
      <c r="P1209" s="86"/>
      <c r="Q1209" s="86"/>
      <c r="R1209" s="86"/>
      <c r="S1209" s="86"/>
      <c r="T1209" s="86"/>
      <c r="U1209" s="86"/>
      <c r="V1209" s="86"/>
      <c r="W1209" s="86"/>
      <c r="X1209" s="86"/>
      <c r="Y1209" s="86"/>
      <c r="Z1209" s="86"/>
      <c r="AA1209" s="86"/>
      <c r="AB1209" s="86"/>
      <c r="AC1209" s="86"/>
      <c r="AD1209" s="86"/>
      <c r="AE1209" s="86"/>
    </row>
    <row r="1210" spans="1:31">
      <c r="A1210" s="86"/>
      <c r="B1210" s="86"/>
      <c r="C1210" s="86"/>
      <c r="D1210" s="86"/>
      <c r="E1210" s="86"/>
      <c r="F1210" s="86"/>
      <c r="G1210" s="86"/>
      <c r="H1210" s="86"/>
      <c r="I1210" s="86"/>
      <c r="J1210" s="86"/>
      <c r="K1210" s="86"/>
      <c r="L1210" s="86"/>
      <c r="M1210" s="86"/>
      <c r="N1210" s="86"/>
      <c r="O1210" s="86"/>
      <c r="P1210" s="86"/>
      <c r="Q1210" s="86"/>
      <c r="R1210" s="86"/>
      <c r="S1210" s="86"/>
      <c r="T1210" s="86"/>
      <c r="U1210" s="86"/>
      <c r="V1210" s="86"/>
      <c r="W1210" s="86"/>
      <c r="X1210" s="86"/>
      <c r="Y1210" s="86"/>
      <c r="Z1210" s="86"/>
      <c r="AA1210" s="86"/>
      <c r="AB1210" s="86"/>
      <c r="AC1210" s="86"/>
      <c r="AD1210" s="86"/>
      <c r="AE1210" s="86"/>
    </row>
    <row r="1211" spans="1:31">
      <c r="A1211" s="86"/>
      <c r="B1211" s="86"/>
      <c r="C1211" s="86"/>
      <c r="D1211" s="86"/>
      <c r="E1211" s="86"/>
      <c r="F1211" s="86"/>
      <c r="G1211" s="86"/>
      <c r="H1211" s="86"/>
      <c r="I1211" s="86"/>
      <c r="J1211" s="86"/>
      <c r="K1211" s="86"/>
      <c r="L1211" s="86"/>
      <c r="M1211" s="86"/>
      <c r="N1211" s="86"/>
      <c r="O1211" s="86"/>
      <c r="P1211" s="86"/>
      <c r="Q1211" s="86"/>
      <c r="R1211" s="86"/>
      <c r="S1211" s="86"/>
      <c r="T1211" s="86"/>
      <c r="U1211" s="86"/>
      <c r="V1211" s="86"/>
      <c r="W1211" s="86"/>
      <c r="X1211" s="86"/>
      <c r="Y1211" s="86"/>
      <c r="Z1211" s="86"/>
      <c r="AA1211" s="86"/>
      <c r="AB1211" s="86"/>
      <c r="AC1211" s="86"/>
      <c r="AD1211" s="86"/>
      <c r="AE1211" s="86"/>
    </row>
    <row r="1212" spans="1:31">
      <c r="A1212" s="86"/>
      <c r="B1212" s="86"/>
      <c r="C1212" s="86"/>
      <c r="D1212" s="86"/>
      <c r="E1212" s="86"/>
      <c r="F1212" s="86"/>
      <c r="G1212" s="86"/>
      <c r="H1212" s="86"/>
      <c r="I1212" s="86"/>
      <c r="J1212" s="86"/>
      <c r="K1212" s="86"/>
      <c r="L1212" s="86"/>
      <c r="M1212" s="86"/>
      <c r="N1212" s="86"/>
      <c r="O1212" s="86"/>
      <c r="P1212" s="86"/>
      <c r="Q1212" s="86"/>
      <c r="R1212" s="86"/>
      <c r="S1212" s="86"/>
      <c r="T1212" s="86"/>
      <c r="U1212" s="86"/>
      <c r="V1212" s="86"/>
      <c r="W1212" s="86"/>
      <c r="X1212" s="86"/>
      <c r="Y1212" s="86"/>
      <c r="Z1212" s="86"/>
      <c r="AA1212" s="86"/>
      <c r="AB1212" s="86"/>
      <c r="AC1212" s="86"/>
      <c r="AD1212" s="86"/>
      <c r="AE1212" s="86"/>
    </row>
    <row r="1213" spans="1:31">
      <c r="A1213" s="86"/>
      <c r="B1213" s="86"/>
      <c r="C1213" s="86"/>
      <c r="D1213" s="86"/>
      <c r="E1213" s="86"/>
      <c r="F1213" s="86"/>
      <c r="G1213" s="86"/>
      <c r="H1213" s="86"/>
      <c r="I1213" s="86"/>
      <c r="J1213" s="86"/>
      <c r="K1213" s="86"/>
      <c r="L1213" s="86"/>
      <c r="M1213" s="86"/>
      <c r="N1213" s="86"/>
      <c r="O1213" s="86"/>
      <c r="P1213" s="86"/>
      <c r="Q1213" s="86"/>
      <c r="R1213" s="86"/>
      <c r="S1213" s="86"/>
      <c r="T1213" s="86"/>
      <c r="U1213" s="86"/>
      <c r="V1213" s="86"/>
      <c r="W1213" s="86"/>
      <c r="X1213" s="86"/>
      <c r="Y1213" s="86"/>
      <c r="Z1213" s="86"/>
      <c r="AA1213" s="86"/>
      <c r="AB1213" s="86"/>
      <c r="AC1213" s="86"/>
      <c r="AD1213" s="86"/>
      <c r="AE1213" s="86"/>
    </row>
    <row r="1214" spans="1:31">
      <c r="A1214" s="86"/>
      <c r="B1214" s="86"/>
      <c r="C1214" s="86"/>
      <c r="D1214" s="86"/>
      <c r="E1214" s="86"/>
      <c r="F1214" s="86"/>
      <c r="G1214" s="86"/>
      <c r="H1214" s="86"/>
      <c r="I1214" s="86"/>
      <c r="J1214" s="86"/>
      <c r="K1214" s="86"/>
      <c r="L1214" s="86"/>
      <c r="M1214" s="86"/>
      <c r="N1214" s="86"/>
      <c r="O1214" s="86"/>
      <c r="P1214" s="86"/>
      <c r="Q1214" s="86"/>
      <c r="R1214" s="86"/>
      <c r="S1214" s="86"/>
      <c r="T1214" s="86"/>
      <c r="U1214" s="86"/>
      <c r="V1214" s="86"/>
      <c r="W1214" s="86"/>
      <c r="X1214" s="86"/>
      <c r="Y1214" s="86"/>
      <c r="Z1214" s="86"/>
      <c r="AA1214" s="86"/>
      <c r="AB1214" s="86"/>
      <c r="AC1214" s="86"/>
      <c r="AD1214" s="86"/>
      <c r="AE1214" s="86"/>
    </row>
    <row r="1215" spans="1:31">
      <c r="A1215" s="86"/>
      <c r="B1215" s="86"/>
      <c r="C1215" s="86"/>
      <c r="D1215" s="86"/>
      <c r="E1215" s="86"/>
      <c r="F1215" s="86"/>
      <c r="G1215" s="86"/>
      <c r="H1215" s="86"/>
      <c r="I1215" s="86"/>
      <c r="J1215" s="86"/>
      <c r="K1215" s="86"/>
      <c r="L1215" s="86"/>
      <c r="M1215" s="86"/>
      <c r="N1215" s="86"/>
      <c r="O1215" s="86"/>
      <c r="P1215" s="86"/>
      <c r="Q1215" s="86"/>
      <c r="R1215" s="86"/>
      <c r="S1215" s="86"/>
      <c r="T1215" s="86"/>
      <c r="U1215" s="86"/>
      <c r="V1215" s="86"/>
      <c r="W1215" s="86"/>
      <c r="X1215" s="86"/>
      <c r="Y1215" s="86"/>
      <c r="Z1215" s="86"/>
      <c r="AA1215" s="86"/>
      <c r="AB1215" s="86"/>
      <c r="AC1215" s="86"/>
      <c r="AD1215" s="86"/>
      <c r="AE1215" s="86"/>
    </row>
    <row r="1216" spans="1:31">
      <c r="A1216" s="86"/>
      <c r="B1216" s="86"/>
      <c r="C1216" s="86"/>
      <c r="D1216" s="86"/>
      <c r="E1216" s="86"/>
      <c r="F1216" s="86"/>
      <c r="G1216" s="86"/>
      <c r="H1216" s="86"/>
      <c r="I1216" s="86"/>
      <c r="J1216" s="86"/>
      <c r="K1216" s="86"/>
      <c r="L1216" s="86"/>
      <c r="M1216" s="86"/>
      <c r="N1216" s="86"/>
      <c r="O1216" s="86"/>
      <c r="P1216" s="86"/>
      <c r="Q1216" s="86"/>
      <c r="R1216" s="86"/>
      <c r="S1216" s="86"/>
      <c r="T1216" s="86"/>
      <c r="U1216" s="86"/>
      <c r="V1216" s="86"/>
      <c r="W1216" s="86"/>
      <c r="X1216" s="86"/>
      <c r="Y1216" s="86"/>
      <c r="Z1216" s="86"/>
      <c r="AA1216" s="86"/>
      <c r="AB1216" s="86"/>
      <c r="AC1216" s="86"/>
      <c r="AD1216" s="86"/>
      <c r="AE1216" s="86"/>
    </row>
    <row r="1217" spans="1:31">
      <c r="A1217" s="86"/>
      <c r="B1217" s="86"/>
      <c r="C1217" s="86"/>
      <c r="D1217" s="86"/>
      <c r="E1217" s="86"/>
      <c r="F1217" s="86"/>
      <c r="G1217" s="86"/>
      <c r="H1217" s="86"/>
      <c r="I1217" s="86"/>
      <c r="J1217" s="86"/>
      <c r="K1217" s="86"/>
      <c r="L1217" s="86"/>
      <c r="M1217" s="86"/>
      <c r="N1217" s="86"/>
      <c r="O1217" s="86"/>
      <c r="P1217" s="86"/>
      <c r="Q1217" s="86"/>
      <c r="R1217" s="86"/>
      <c r="S1217" s="86"/>
      <c r="T1217" s="86"/>
      <c r="U1217" s="86"/>
      <c r="V1217" s="86"/>
      <c r="W1217" s="86"/>
      <c r="X1217" s="86"/>
      <c r="Y1217" s="86"/>
      <c r="Z1217" s="86"/>
      <c r="AA1217" s="86"/>
      <c r="AB1217" s="86"/>
      <c r="AC1217" s="86"/>
      <c r="AD1217" s="86"/>
      <c r="AE1217" s="86"/>
    </row>
    <row r="1218" spans="1:31">
      <c r="A1218" s="86"/>
      <c r="B1218" s="86"/>
      <c r="C1218" s="86"/>
      <c r="D1218" s="86"/>
      <c r="E1218" s="86"/>
      <c r="F1218" s="86"/>
      <c r="G1218" s="86"/>
      <c r="H1218" s="86"/>
      <c r="I1218" s="86"/>
      <c r="J1218" s="86"/>
      <c r="K1218" s="86"/>
      <c r="L1218" s="86"/>
      <c r="M1218" s="86"/>
      <c r="N1218" s="86"/>
      <c r="O1218" s="86"/>
      <c r="P1218" s="86"/>
      <c r="Q1218" s="86"/>
      <c r="R1218" s="86"/>
      <c r="S1218" s="86"/>
      <c r="T1218" s="86"/>
      <c r="U1218" s="86"/>
      <c r="V1218" s="86"/>
      <c r="W1218" s="86"/>
      <c r="X1218" s="86"/>
      <c r="Y1218" s="86"/>
      <c r="Z1218" s="86"/>
      <c r="AA1218" s="86"/>
      <c r="AB1218" s="86"/>
      <c r="AC1218" s="86"/>
      <c r="AD1218" s="86"/>
      <c r="AE1218" s="86"/>
    </row>
    <row r="1219" spans="1:31">
      <c r="A1219" s="86"/>
      <c r="B1219" s="86"/>
      <c r="C1219" s="86"/>
      <c r="D1219" s="86"/>
      <c r="E1219" s="86"/>
      <c r="F1219" s="86"/>
      <c r="G1219" s="86"/>
      <c r="H1219" s="86"/>
      <c r="I1219" s="86"/>
      <c r="J1219" s="86"/>
      <c r="K1219" s="86"/>
      <c r="L1219" s="86"/>
      <c r="M1219" s="86"/>
      <c r="N1219" s="86"/>
      <c r="O1219" s="86"/>
      <c r="P1219" s="86"/>
      <c r="Q1219" s="86"/>
      <c r="R1219" s="86"/>
      <c r="S1219" s="86"/>
      <c r="T1219" s="86"/>
      <c r="U1219" s="86"/>
      <c r="V1219" s="86"/>
      <c r="W1219" s="86"/>
      <c r="X1219" s="86"/>
      <c r="Y1219" s="86"/>
      <c r="Z1219" s="86"/>
      <c r="AA1219" s="86"/>
      <c r="AB1219" s="86"/>
      <c r="AC1219" s="86"/>
      <c r="AD1219" s="86"/>
      <c r="AE1219" s="86"/>
    </row>
    <row r="1220" spans="1:31">
      <c r="A1220" s="86"/>
      <c r="B1220" s="86"/>
      <c r="C1220" s="86"/>
      <c r="D1220" s="86"/>
      <c r="E1220" s="86"/>
      <c r="F1220" s="86"/>
      <c r="G1220" s="86"/>
      <c r="H1220" s="86"/>
      <c r="I1220" s="86"/>
      <c r="J1220" s="86"/>
      <c r="K1220" s="86"/>
      <c r="L1220" s="86"/>
      <c r="M1220" s="86"/>
      <c r="N1220" s="86"/>
      <c r="O1220" s="86"/>
      <c r="P1220" s="86"/>
      <c r="Q1220" s="86"/>
      <c r="R1220" s="86"/>
      <c r="S1220" s="86"/>
      <c r="T1220" s="86"/>
      <c r="U1220" s="86"/>
      <c r="V1220" s="86"/>
      <c r="W1220" s="86"/>
      <c r="X1220" s="86"/>
      <c r="Y1220" s="86"/>
      <c r="Z1220" s="86"/>
      <c r="AA1220" s="86"/>
      <c r="AB1220" s="86"/>
      <c r="AC1220" s="86"/>
      <c r="AD1220" s="86"/>
      <c r="AE1220" s="86"/>
    </row>
    <row r="1221" spans="1:31">
      <c r="A1221" s="86"/>
      <c r="B1221" s="86"/>
      <c r="C1221" s="86"/>
      <c r="D1221" s="86"/>
      <c r="E1221" s="86"/>
      <c r="F1221" s="86"/>
      <c r="G1221" s="86"/>
      <c r="H1221" s="86"/>
      <c r="I1221" s="86"/>
      <c r="J1221" s="86"/>
      <c r="K1221" s="86"/>
      <c r="L1221" s="86"/>
      <c r="M1221" s="86"/>
      <c r="N1221" s="86"/>
      <c r="O1221" s="86"/>
      <c r="P1221" s="86"/>
      <c r="Q1221" s="86"/>
      <c r="R1221" s="86"/>
      <c r="S1221" s="86"/>
      <c r="T1221" s="86"/>
      <c r="U1221" s="86"/>
      <c r="V1221" s="86"/>
      <c r="W1221" s="86"/>
      <c r="X1221" s="86"/>
      <c r="Y1221" s="86"/>
      <c r="Z1221" s="86"/>
      <c r="AA1221" s="86"/>
      <c r="AB1221" s="86"/>
      <c r="AC1221" s="86"/>
      <c r="AD1221" s="86"/>
      <c r="AE1221" s="86"/>
    </row>
    <row r="1222" spans="1:31">
      <c r="A1222" s="86"/>
      <c r="B1222" s="86"/>
      <c r="C1222" s="86"/>
      <c r="D1222" s="86"/>
      <c r="E1222" s="86"/>
      <c r="F1222" s="86"/>
      <c r="G1222" s="86"/>
      <c r="H1222" s="86"/>
      <c r="I1222" s="86"/>
      <c r="J1222" s="86"/>
      <c r="K1222" s="86"/>
      <c r="L1222" s="86"/>
      <c r="M1222" s="86"/>
      <c r="N1222" s="86"/>
      <c r="O1222" s="86"/>
      <c r="P1222" s="86"/>
      <c r="Q1222" s="86"/>
      <c r="R1222" s="86"/>
      <c r="S1222" s="86"/>
      <c r="T1222" s="86"/>
      <c r="U1222" s="86"/>
      <c r="V1222" s="86"/>
      <c r="W1222" s="86"/>
      <c r="X1222" s="86"/>
      <c r="Y1222" s="86"/>
      <c r="Z1222" s="86"/>
      <c r="AA1222" s="86"/>
      <c r="AB1222" s="86"/>
      <c r="AC1222" s="86"/>
      <c r="AD1222" s="86"/>
      <c r="AE1222" s="86"/>
    </row>
    <row r="1223" spans="1:31">
      <c r="A1223" s="86"/>
      <c r="B1223" s="86"/>
      <c r="C1223" s="86"/>
      <c r="D1223" s="86"/>
      <c r="E1223" s="86"/>
      <c r="F1223" s="86"/>
      <c r="G1223" s="86"/>
      <c r="H1223" s="86"/>
      <c r="I1223" s="86"/>
      <c r="J1223" s="86"/>
      <c r="K1223" s="86"/>
      <c r="L1223" s="86"/>
      <c r="M1223" s="86"/>
      <c r="N1223" s="86"/>
      <c r="O1223" s="86"/>
      <c r="P1223" s="86"/>
      <c r="Q1223" s="86"/>
      <c r="R1223" s="86"/>
      <c r="S1223" s="86"/>
      <c r="T1223" s="86"/>
      <c r="U1223" s="86"/>
      <c r="V1223" s="86"/>
      <c r="W1223" s="86"/>
      <c r="X1223" s="86"/>
      <c r="Y1223" s="86"/>
      <c r="Z1223" s="86"/>
      <c r="AA1223" s="86"/>
      <c r="AB1223" s="86"/>
      <c r="AC1223" s="86"/>
      <c r="AD1223" s="86"/>
      <c r="AE1223" s="86"/>
    </row>
    <row r="1224" spans="1:31">
      <c r="A1224" s="86"/>
      <c r="B1224" s="86"/>
      <c r="C1224" s="86"/>
      <c r="D1224" s="86"/>
      <c r="E1224" s="86"/>
      <c r="F1224" s="86"/>
      <c r="G1224" s="86"/>
      <c r="H1224" s="86"/>
      <c r="I1224" s="86"/>
      <c r="J1224" s="86"/>
      <c r="K1224" s="86"/>
      <c r="L1224" s="86"/>
      <c r="M1224" s="86"/>
      <c r="N1224" s="86"/>
      <c r="O1224" s="86"/>
      <c r="P1224" s="86"/>
      <c r="Q1224" s="86"/>
      <c r="R1224" s="86"/>
      <c r="S1224" s="86"/>
      <c r="T1224" s="86"/>
      <c r="U1224" s="86"/>
      <c r="V1224" s="86"/>
      <c r="W1224" s="86"/>
      <c r="X1224" s="86"/>
      <c r="Y1224" s="86"/>
      <c r="Z1224" s="86"/>
      <c r="AA1224" s="86"/>
      <c r="AB1224" s="86"/>
      <c r="AC1224" s="86"/>
      <c r="AD1224" s="86"/>
      <c r="AE1224" s="86"/>
    </row>
    <row r="1225" spans="1:31">
      <c r="A1225" s="86"/>
      <c r="B1225" s="86"/>
      <c r="C1225" s="86"/>
      <c r="D1225" s="86"/>
      <c r="E1225" s="86"/>
      <c r="F1225" s="86"/>
      <c r="G1225" s="86"/>
      <c r="H1225" s="86"/>
      <c r="I1225" s="86"/>
      <c r="J1225" s="86"/>
      <c r="K1225" s="86"/>
      <c r="L1225" s="86"/>
      <c r="M1225" s="86"/>
      <c r="N1225" s="86"/>
      <c r="O1225" s="86"/>
      <c r="P1225" s="86"/>
      <c r="Q1225" s="86"/>
      <c r="R1225" s="86"/>
      <c r="S1225" s="86"/>
      <c r="T1225" s="86"/>
      <c r="U1225" s="86"/>
      <c r="V1225" s="86"/>
      <c r="W1225" s="86"/>
      <c r="X1225" s="86"/>
      <c r="Y1225" s="86"/>
      <c r="Z1225" s="86"/>
      <c r="AA1225" s="86"/>
      <c r="AB1225" s="86"/>
      <c r="AC1225" s="86"/>
      <c r="AD1225" s="86"/>
      <c r="AE1225" s="86"/>
    </row>
    <row r="1226" spans="1:31">
      <c r="A1226" s="86"/>
      <c r="B1226" s="86"/>
      <c r="C1226" s="86"/>
      <c r="D1226" s="86"/>
      <c r="E1226" s="86"/>
      <c r="F1226" s="86"/>
      <c r="G1226" s="86"/>
      <c r="H1226" s="86"/>
      <c r="I1226" s="86"/>
      <c r="J1226" s="86"/>
      <c r="K1226" s="86"/>
      <c r="L1226" s="86"/>
      <c r="M1226" s="86"/>
      <c r="N1226" s="86"/>
      <c r="O1226" s="86"/>
      <c r="P1226" s="86"/>
      <c r="Q1226" s="86"/>
      <c r="R1226" s="86"/>
      <c r="S1226" s="86"/>
      <c r="T1226" s="86"/>
      <c r="U1226" s="86"/>
      <c r="V1226" s="86"/>
      <c r="W1226" s="86"/>
      <c r="X1226" s="86"/>
      <c r="Y1226" s="86"/>
      <c r="Z1226" s="86"/>
      <c r="AA1226" s="86"/>
      <c r="AB1226" s="86"/>
      <c r="AC1226" s="86"/>
      <c r="AD1226" s="86"/>
      <c r="AE1226" s="86"/>
    </row>
    <row r="1227" spans="1:31">
      <c r="A1227" s="86"/>
      <c r="B1227" s="86"/>
      <c r="C1227" s="86"/>
      <c r="D1227" s="86"/>
      <c r="E1227" s="86"/>
      <c r="F1227" s="86"/>
      <c r="G1227" s="86"/>
      <c r="H1227" s="86"/>
      <c r="I1227" s="86"/>
      <c r="J1227" s="86"/>
      <c r="K1227" s="86"/>
      <c r="L1227" s="86"/>
      <c r="M1227" s="86"/>
      <c r="N1227" s="86"/>
      <c r="O1227" s="86"/>
      <c r="P1227" s="86"/>
      <c r="Q1227" s="86"/>
      <c r="R1227" s="86"/>
      <c r="S1227" s="86"/>
      <c r="T1227" s="86"/>
      <c r="U1227" s="86"/>
      <c r="V1227" s="86"/>
      <c r="W1227" s="86"/>
      <c r="X1227" s="86"/>
      <c r="Y1227" s="86"/>
      <c r="Z1227" s="86"/>
      <c r="AA1227" s="86"/>
      <c r="AB1227" s="86"/>
      <c r="AC1227" s="86"/>
      <c r="AD1227" s="86"/>
      <c r="AE1227" s="86"/>
    </row>
    <row r="1228" spans="1:31">
      <c r="A1228" s="86"/>
      <c r="B1228" s="86"/>
      <c r="C1228" s="86"/>
      <c r="D1228" s="86"/>
      <c r="E1228" s="86"/>
      <c r="F1228" s="86"/>
      <c r="G1228" s="86"/>
      <c r="H1228" s="86"/>
      <c r="I1228" s="86"/>
      <c r="J1228" s="86"/>
      <c r="K1228" s="86"/>
      <c r="L1228" s="86"/>
      <c r="M1228" s="86"/>
      <c r="N1228" s="86"/>
      <c r="O1228" s="86"/>
      <c r="P1228" s="86"/>
      <c r="Q1228" s="86"/>
      <c r="R1228" s="86"/>
      <c r="S1228" s="86"/>
      <c r="T1228" s="86"/>
      <c r="U1228" s="86"/>
      <c r="V1228" s="86"/>
      <c r="W1228" s="86"/>
      <c r="X1228" s="86"/>
      <c r="Y1228" s="86"/>
      <c r="Z1228" s="86"/>
      <c r="AA1228" s="86"/>
      <c r="AB1228" s="86"/>
      <c r="AC1228" s="86"/>
      <c r="AD1228" s="86"/>
      <c r="AE1228" s="86"/>
    </row>
    <row r="1229" spans="1:31">
      <c r="A1229" s="86"/>
      <c r="B1229" s="86"/>
      <c r="C1229" s="86"/>
      <c r="D1229" s="86"/>
      <c r="E1229" s="86"/>
      <c r="F1229" s="86"/>
      <c r="G1229" s="86"/>
      <c r="H1229" s="86"/>
      <c r="I1229" s="86"/>
      <c r="J1229" s="86"/>
      <c r="K1229" s="86"/>
      <c r="L1229" s="86"/>
      <c r="M1229" s="86"/>
      <c r="N1229" s="86"/>
      <c r="O1229" s="86"/>
      <c r="P1229" s="86"/>
      <c r="Q1229" s="86"/>
      <c r="R1229" s="86"/>
      <c r="S1229" s="86"/>
      <c r="T1229" s="86"/>
      <c r="U1229" s="86"/>
      <c r="V1229" s="86"/>
      <c r="W1229" s="86"/>
      <c r="X1229" s="86"/>
      <c r="Y1229" s="86"/>
      <c r="Z1229" s="86"/>
      <c r="AA1229" s="86"/>
      <c r="AB1229" s="86"/>
      <c r="AC1229" s="86"/>
      <c r="AD1229" s="86"/>
      <c r="AE1229" s="86"/>
    </row>
    <row r="1230" spans="1:31">
      <c r="A1230" s="86"/>
      <c r="B1230" s="86"/>
      <c r="C1230" s="86"/>
      <c r="D1230" s="86"/>
      <c r="E1230" s="86"/>
      <c r="F1230" s="86"/>
      <c r="G1230" s="86"/>
      <c r="H1230" s="86"/>
      <c r="I1230" s="86"/>
      <c r="J1230" s="86"/>
      <c r="K1230" s="86"/>
      <c r="L1230" s="86"/>
      <c r="M1230" s="86"/>
      <c r="N1230" s="86"/>
      <c r="O1230" s="86"/>
      <c r="P1230" s="86"/>
      <c r="Q1230" s="86"/>
      <c r="R1230" s="86"/>
      <c r="S1230" s="86"/>
      <c r="T1230" s="86"/>
      <c r="U1230" s="86"/>
      <c r="V1230" s="86"/>
      <c r="W1230" s="86"/>
      <c r="X1230" s="86"/>
      <c r="Y1230" s="86"/>
      <c r="Z1230" s="86"/>
      <c r="AA1230" s="86"/>
      <c r="AB1230" s="86"/>
      <c r="AC1230" s="86"/>
      <c r="AD1230" s="86"/>
      <c r="AE1230" s="86"/>
    </row>
    <row r="1231" spans="1:31">
      <c r="A1231" s="86"/>
      <c r="B1231" s="86"/>
      <c r="C1231" s="86"/>
      <c r="D1231" s="86"/>
      <c r="E1231" s="86"/>
      <c r="F1231" s="86"/>
      <c r="G1231" s="86"/>
      <c r="H1231" s="86"/>
      <c r="I1231" s="86"/>
      <c r="J1231" s="86"/>
      <c r="K1231" s="86"/>
      <c r="L1231" s="86"/>
      <c r="M1231" s="86"/>
      <c r="N1231" s="86"/>
      <c r="O1231" s="86"/>
      <c r="P1231" s="86"/>
      <c r="Q1231" s="86"/>
      <c r="R1231" s="86"/>
      <c r="S1231" s="86"/>
      <c r="T1231" s="86"/>
      <c r="U1231" s="86"/>
      <c r="V1231" s="86"/>
      <c r="W1231" s="86"/>
      <c r="X1231" s="86"/>
      <c r="Y1231" s="86"/>
      <c r="Z1231" s="86"/>
      <c r="AA1231" s="86"/>
      <c r="AB1231" s="86"/>
      <c r="AC1231" s="86"/>
      <c r="AD1231" s="86"/>
      <c r="AE1231" s="86"/>
    </row>
    <row r="1232" spans="1:31">
      <c r="A1232" s="86"/>
      <c r="B1232" s="86"/>
      <c r="C1232" s="86"/>
      <c r="D1232" s="86"/>
      <c r="E1232" s="86"/>
      <c r="F1232" s="86"/>
      <c r="G1232" s="86"/>
      <c r="H1232" s="86"/>
      <c r="I1232" s="86"/>
      <c r="J1232" s="86"/>
      <c r="K1232" s="86"/>
      <c r="L1232" s="86"/>
      <c r="M1232" s="86"/>
      <c r="N1232" s="86"/>
      <c r="O1232" s="86"/>
      <c r="P1232" s="86"/>
      <c r="Q1232" s="86"/>
      <c r="R1232" s="86"/>
      <c r="S1232" s="86"/>
      <c r="T1232" s="86"/>
      <c r="U1232" s="86"/>
      <c r="V1232" s="86"/>
      <c r="W1232" s="86"/>
      <c r="X1232" s="86"/>
      <c r="Y1232" s="86"/>
      <c r="Z1232" s="86"/>
      <c r="AA1232" s="86"/>
      <c r="AB1232" s="86"/>
      <c r="AC1232" s="86"/>
      <c r="AD1232" s="86"/>
      <c r="AE1232" s="86"/>
    </row>
    <row r="1233" spans="1:31">
      <c r="A1233" s="86"/>
      <c r="B1233" s="86"/>
      <c r="C1233" s="86"/>
      <c r="D1233" s="86"/>
      <c r="E1233" s="86"/>
      <c r="F1233" s="86"/>
      <c r="G1233" s="86"/>
      <c r="H1233" s="86"/>
      <c r="I1233" s="86"/>
      <c r="J1233" s="86"/>
      <c r="K1233" s="86"/>
      <c r="L1233" s="86"/>
      <c r="M1233" s="86"/>
      <c r="N1233" s="86"/>
      <c r="O1233" s="86"/>
      <c r="P1233" s="86"/>
      <c r="Q1233" s="86"/>
      <c r="R1233" s="86"/>
      <c r="S1233" s="86"/>
      <c r="T1233" s="86"/>
      <c r="U1233" s="86"/>
      <c r="V1233" s="86"/>
      <c r="W1233" s="86"/>
      <c r="X1233" s="86"/>
      <c r="Y1233" s="86"/>
      <c r="Z1233" s="86"/>
      <c r="AA1233" s="86"/>
      <c r="AB1233" s="86"/>
      <c r="AC1233" s="86"/>
      <c r="AD1233" s="86"/>
      <c r="AE1233" s="86"/>
    </row>
    <row r="1234" spans="1:31">
      <c r="A1234" s="86"/>
      <c r="B1234" s="86"/>
      <c r="C1234" s="86"/>
      <c r="D1234" s="86"/>
      <c r="E1234" s="86"/>
      <c r="F1234" s="86"/>
      <c r="G1234" s="86"/>
      <c r="H1234" s="86"/>
      <c r="I1234" s="86"/>
      <c r="J1234" s="86"/>
      <c r="K1234" s="86"/>
      <c r="L1234" s="86"/>
      <c r="M1234" s="86"/>
      <c r="N1234" s="86"/>
      <c r="O1234" s="86"/>
      <c r="P1234" s="86"/>
      <c r="Q1234" s="86"/>
      <c r="R1234" s="86"/>
      <c r="S1234" s="86"/>
      <c r="T1234" s="86"/>
      <c r="U1234" s="86"/>
      <c r="V1234" s="86"/>
      <c r="W1234" s="86"/>
      <c r="X1234" s="86"/>
      <c r="Y1234" s="86"/>
      <c r="Z1234" s="86"/>
      <c r="AA1234" s="86"/>
      <c r="AB1234" s="86"/>
      <c r="AC1234" s="86"/>
      <c r="AD1234" s="86"/>
      <c r="AE1234" s="86"/>
    </row>
    <row r="1235" spans="1:31">
      <c r="A1235" s="86"/>
      <c r="B1235" s="86"/>
      <c r="C1235" s="86"/>
      <c r="D1235" s="86"/>
      <c r="E1235" s="86"/>
      <c r="F1235" s="86"/>
      <c r="G1235" s="86"/>
      <c r="H1235" s="86"/>
      <c r="I1235" s="86"/>
      <c r="J1235" s="86"/>
      <c r="K1235" s="86"/>
      <c r="L1235" s="86"/>
      <c r="M1235" s="86"/>
      <c r="N1235" s="86"/>
      <c r="O1235" s="86"/>
      <c r="P1235" s="86"/>
      <c r="Q1235" s="86"/>
      <c r="R1235" s="86"/>
      <c r="S1235" s="86"/>
      <c r="T1235" s="86"/>
      <c r="U1235" s="86"/>
      <c r="V1235" s="86"/>
      <c r="W1235" s="86"/>
      <c r="X1235" s="86"/>
      <c r="Y1235" s="86"/>
      <c r="Z1235" s="86"/>
      <c r="AA1235" s="86"/>
      <c r="AB1235" s="86"/>
      <c r="AC1235" s="86"/>
      <c r="AD1235" s="86"/>
      <c r="AE1235" s="86"/>
    </row>
    <row r="1236" spans="1:31">
      <c r="A1236" s="86"/>
      <c r="B1236" s="86"/>
      <c r="C1236" s="86"/>
      <c r="D1236" s="86"/>
      <c r="E1236" s="86"/>
      <c r="F1236" s="86"/>
      <c r="G1236" s="86"/>
      <c r="H1236" s="86"/>
      <c r="I1236" s="86"/>
      <c r="J1236" s="86"/>
      <c r="K1236" s="86"/>
      <c r="L1236" s="86"/>
      <c r="M1236" s="86"/>
      <c r="N1236" s="86"/>
      <c r="O1236" s="86"/>
      <c r="P1236" s="86"/>
      <c r="Q1236" s="86"/>
      <c r="R1236" s="86"/>
      <c r="S1236" s="86"/>
      <c r="T1236" s="86"/>
      <c r="U1236" s="86"/>
      <c r="V1236" s="86"/>
      <c r="W1236" s="86"/>
      <c r="X1236" s="86"/>
      <c r="Y1236" s="86"/>
      <c r="Z1236" s="86"/>
      <c r="AA1236" s="86"/>
      <c r="AB1236" s="86"/>
      <c r="AC1236" s="86"/>
      <c r="AD1236" s="86"/>
      <c r="AE1236" s="86"/>
    </row>
    <row r="1237" spans="1:31">
      <c r="A1237" s="86"/>
      <c r="B1237" s="86"/>
      <c r="C1237" s="86"/>
      <c r="D1237" s="86"/>
      <c r="E1237" s="86"/>
      <c r="F1237" s="86"/>
      <c r="G1237" s="86"/>
      <c r="H1237" s="86"/>
      <c r="I1237" s="86"/>
      <c r="J1237" s="86"/>
      <c r="K1237" s="86"/>
      <c r="L1237" s="86"/>
      <c r="M1237" s="86"/>
      <c r="N1237" s="86"/>
      <c r="O1237" s="86"/>
      <c r="P1237" s="86"/>
      <c r="Q1237" s="86"/>
      <c r="R1237" s="86"/>
      <c r="S1237" s="86"/>
      <c r="T1237" s="86"/>
      <c r="U1237" s="86"/>
      <c r="V1237" s="86"/>
      <c r="W1237" s="86"/>
      <c r="X1237" s="86"/>
      <c r="Y1237" s="86"/>
      <c r="Z1237" s="86"/>
      <c r="AA1237" s="86"/>
      <c r="AB1237" s="86"/>
      <c r="AC1237" s="86"/>
      <c r="AD1237" s="86"/>
      <c r="AE1237" s="86"/>
    </row>
    <row r="1238" spans="1:31">
      <c r="A1238" s="86"/>
      <c r="B1238" s="86"/>
      <c r="C1238" s="86"/>
      <c r="D1238" s="86"/>
      <c r="E1238" s="86"/>
      <c r="F1238" s="86"/>
      <c r="G1238" s="86"/>
      <c r="H1238" s="86"/>
      <c r="I1238" s="86"/>
      <c r="J1238" s="86"/>
      <c r="K1238" s="86"/>
      <c r="L1238" s="86"/>
      <c r="M1238" s="86"/>
      <c r="N1238" s="86"/>
      <c r="O1238" s="86"/>
      <c r="P1238" s="86"/>
      <c r="Q1238" s="86"/>
      <c r="R1238" s="86"/>
      <c r="S1238" s="86"/>
      <c r="T1238" s="86"/>
      <c r="U1238" s="86"/>
      <c r="V1238" s="86"/>
      <c r="W1238" s="86"/>
      <c r="X1238" s="86"/>
      <c r="Y1238" s="86"/>
      <c r="Z1238" s="86"/>
      <c r="AA1238" s="86"/>
      <c r="AB1238" s="86"/>
      <c r="AC1238" s="86"/>
      <c r="AD1238" s="86"/>
      <c r="AE1238" s="86"/>
    </row>
    <row r="1239" spans="1:31">
      <c r="A1239" s="86"/>
      <c r="B1239" s="86"/>
      <c r="C1239" s="86"/>
      <c r="D1239" s="86"/>
      <c r="E1239" s="86"/>
      <c r="F1239" s="86"/>
      <c r="G1239" s="86"/>
      <c r="H1239" s="86"/>
      <c r="I1239" s="86"/>
      <c r="J1239" s="86"/>
      <c r="K1239" s="86"/>
      <c r="L1239" s="86"/>
      <c r="M1239" s="86"/>
      <c r="N1239" s="86"/>
      <c r="O1239" s="86"/>
      <c r="P1239" s="86"/>
      <c r="Q1239" s="86"/>
      <c r="R1239" s="86"/>
      <c r="S1239" s="86"/>
      <c r="T1239" s="86"/>
      <c r="U1239" s="86"/>
      <c r="V1239" s="86"/>
      <c r="W1239" s="86"/>
      <c r="X1239" s="86"/>
      <c r="Y1239" s="86"/>
      <c r="Z1239" s="86"/>
      <c r="AA1239" s="86"/>
      <c r="AB1239" s="86"/>
      <c r="AC1239" s="86"/>
      <c r="AD1239" s="86"/>
      <c r="AE1239" s="86"/>
    </row>
    <row r="1240" spans="1:31">
      <c r="A1240" s="86"/>
      <c r="B1240" s="86"/>
      <c r="C1240" s="86"/>
      <c r="D1240" s="86"/>
      <c r="E1240" s="86"/>
      <c r="F1240" s="86"/>
      <c r="G1240" s="86"/>
      <c r="H1240" s="86"/>
      <c r="I1240" s="86"/>
      <c r="J1240" s="86"/>
      <c r="K1240" s="86"/>
      <c r="L1240" s="86"/>
      <c r="M1240" s="86"/>
      <c r="N1240" s="86"/>
      <c r="O1240" s="86"/>
      <c r="P1240" s="86"/>
      <c r="Q1240" s="86"/>
      <c r="R1240" s="86"/>
      <c r="S1240" s="86"/>
      <c r="T1240" s="86"/>
      <c r="U1240" s="86"/>
      <c r="V1240" s="86"/>
      <c r="W1240" s="86"/>
      <c r="X1240" s="86"/>
      <c r="Y1240" s="86"/>
      <c r="Z1240" s="86"/>
      <c r="AA1240" s="86"/>
      <c r="AB1240" s="86"/>
      <c r="AC1240" s="86"/>
      <c r="AD1240" s="86"/>
      <c r="AE1240" s="86"/>
    </row>
    <row r="1241" spans="1:31">
      <c r="A1241" s="86"/>
      <c r="B1241" s="86"/>
      <c r="C1241" s="86"/>
      <c r="D1241" s="86"/>
      <c r="E1241" s="86"/>
      <c r="F1241" s="86"/>
      <c r="G1241" s="86"/>
      <c r="H1241" s="86"/>
      <c r="I1241" s="86"/>
      <c r="J1241" s="86"/>
      <c r="K1241" s="86"/>
      <c r="L1241" s="86"/>
      <c r="M1241" s="86"/>
      <c r="N1241" s="86"/>
      <c r="O1241" s="86"/>
      <c r="P1241" s="86"/>
      <c r="Q1241" s="86"/>
      <c r="R1241" s="86"/>
      <c r="S1241" s="86"/>
      <c r="T1241" s="86"/>
      <c r="U1241" s="86"/>
      <c r="V1241" s="86"/>
      <c r="W1241" s="86"/>
      <c r="X1241" s="86"/>
      <c r="Y1241" s="86"/>
      <c r="Z1241" s="86"/>
      <c r="AA1241" s="86"/>
      <c r="AB1241" s="86"/>
      <c r="AC1241" s="86"/>
      <c r="AD1241" s="86"/>
      <c r="AE1241" s="86"/>
    </row>
    <row r="1242" spans="1:31">
      <c r="A1242" s="86"/>
      <c r="B1242" s="86"/>
      <c r="C1242" s="86"/>
      <c r="D1242" s="86"/>
      <c r="E1242" s="86"/>
      <c r="F1242" s="86"/>
      <c r="G1242" s="86"/>
      <c r="H1242" s="86"/>
      <c r="I1242" s="86"/>
      <c r="J1242" s="86"/>
      <c r="K1242" s="86"/>
      <c r="L1242" s="86"/>
      <c r="M1242" s="86"/>
      <c r="N1242" s="86"/>
      <c r="O1242" s="86"/>
      <c r="P1242" s="86"/>
      <c r="Q1242" s="86"/>
      <c r="R1242" s="86"/>
      <c r="S1242" s="86"/>
      <c r="T1242" s="86"/>
      <c r="U1242" s="86"/>
      <c r="V1242" s="86"/>
      <c r="W1242" s="86"/>
      <c r="X1242" s="86"/>
      <c r="Y1242" s="86"/>
      <c r="Z1242" s="86"/>
      <c r="AA1242" s="86"/>
      <c r="AB1242" s="86"/>
      <c r="AC1242" s="86"/>
      <c r="AD1242" s="86"/>
      <c r="AE1242" s="86"/>
    </row>
    <row r="1243" spans="1:31">
      <c r="A1243" s="86"/>
      <c r="B1243" s="86"/>
      <c r="C1243" s="86"/>
      <c r="D1243" s="86"/>
      <c r="E1243" s="86"/>
      <c r="F1243" s="86"/>
      <c r="G1243" s="86"/>
      <c r="H1243" s="86"/>
      <c r="I1243" s="86"/>
      <c r="J1243" s="86"/>
      <c r="K1243" s="86"/>
      <c r="L1243" s="86"/>
      <c r="M1243" s="86"/>
      <c r="N1243" s="86"/>
      <c r="O1243" s="86"/>
      <c r="P1243" s="86"/>
      <c r="Q1243" s="86"/>
      <c r="R1243" s="86"/>
      <c r="S1243" s="86"/>
      <c r="T1243" s="86"/>
      <c r="U1243" s="86"/>
      <c r="V1243" s="86"/>
      <c r="W1243" s="86"/>
      <c r="X1243" s="86"/>
      <c r="Y1243" s="86"/>
      <c r="Z1243" s="86"/>
      <c r="AA1243" s="86"/>
      <c r="AB1243" s="86"/>
      <c r="AC1243" s="86"/>
      <c r="AD1243" s="86"/>
      <c r="AE1243" s="86"/>
    </row>
    <row r="1244" spans="1:31">
      <c r="A1244" s="86"/>
      <c r="B1244" s="86"/>
      <c r="C1244" s="86"/>
      <c r="D1244" s="86"/>
      <c r="E1244" s="86"/>
      <c r="F1244" s="86"/>
      <c r="G1244" s="86"/>
      <c r="H1244" s="86"/>
      <c r="I1244" s="86"/>
      <c r="J1244" s="86"/>
      <c r="K1244" s="86"/>
      <c r="L1244" s="86"/>
      <c r="M1244" s="86"/>
      <c r="N1244" s="86"/>
      <c r="O1244" s="86"/>
      <c r="P1244" s="86"/>
      <c r="Q1244" s="86"/>
      <c r="R1244" s="86"/>
      <c r="S1244" s="86"/>
      <c r="T1244" s="86"/>
      <c r="U1244" s="86"/>
      <c r="V1244" s="86"/>
      <c r="W1244" s="86"/>
      <c r="X1244" s="86"/>
      <c r="Y1244" s="86"/>
      <c r="Z1244" s="86"/>
      <c r="AA1244" s="86"/>
      <c r="AB1244" s="86"/>
      <c r="AC1244" s="86"/>
      <c r="AD1244" s="86"/>
      <c r="AE1244" s="86"/>
    </row>
    <row r="1245" spans="1:31">
      <c r="A1245" s="86"/>
      <c r="B1245" s="86"/>
      <c r="C1245" s="86"/>
      <c r="D1245" s="86"/>
      <c r="E1245" s="86"/>
      <c r="F1245" s="86"/>
      <c r="G1245" s="86"/>
      <c r="H1245" s="86"/>
      <c r="I1245" s="86"/>
      <c r="J1245" s="86"/>
      <c r="K1245" s="86"/>
      <c r="L1245" s="86"/>
      <c r="M1245" s="86"/>
      <c r="N1245" s="86"/>
      <c r="O1245" s="86"/>
      <c r="P1245" s="86"/>
      <c r="Q1245" s="86"/>
      <c r="R1245" s="86"/>
      <c r="S1245" s="86"/>
      <c r="T1245" s="86"/>
      <c r="U1245" s="86"/>
      <c r="V1245" s="86"/>
      <c r="W1245" s="86"/>
      <c r="X1245" s="86"/>
      <c r="Y1245" s="86"/>
      <c r="Z1245" s="86"/>
      <c r="AA1245" s="86"/>
      <c r="AB1245" s="86"/>
      <c r="AC1245" s="86"/>
      <c r="AD1245" s="86"/>
      <c r="AE1245" s="86"/>
    </row>
    <row r="1246" spans="1:31">
      <c r="A1246" s="86"/>
      <c r="B1246" s="86"/>
      <c r="C1246" s="86"/>
      <c r="D1246" s="86"/>
      <c r="E1246" s="86"/>
      <c r="F1246" s="86"/>
      <c r="G1246" s="86"/>
      <c r="H1246" s="86"/>
      <c r="I1246" s="86"/>
      <c r="J1246" s="86"/>
      <c r="K1246" s="86"/>
      <c r="L1246" s="86"/>
      <c r="M1246" s="86"/>
      <c r="N1246" s="86"/>
      <c r="O1246" s="86"/>
      <c r="P1246" s="86"/>
      <c r="Q1246" s="86"/>
      <c r="R1246" s="86"/>
      <c r="S1246" s="86"/>
      <c r="T1246" s="86"/>
      <c r="U1246" s="86"/>
      <c r="V1246" s="86"/>
      <c r="W1246" s="86"/>
      <c r="X1246" s="86"/>
      <c r="Y1246" s="86"/>
      <c r="Z1246" s="86"/>
      <c r="AA1246" s="86"/>
      <c r="AB1246" s="86"/>
      <c r="AC1246" s="86"/>
      <c r="AD1246" s="86"/>
      <c r="AE1246" s="86"/>
    </row>
    <row r="1247" spans="1:31">
      <c r="A1247" s="86"/>
      <c r="B1247" s="86"/>
      <c r="C1247" s="86"/>
      <c r="D1247" s="86"/>
      <c r="E1247" s="86"/>
      <c r="F1247" s="86"/>
      <c r="G1247" s="86"/>
      <c r="H1247" s="86"/>
      <c r="I1247" s="86"/>
      <c r="J1247" s="86"/>
      <c r="K1247" s="86"/>
      <c r="L1247" s="86"/>
      <c r="M1247" s="86"/>
      <c r="N1247" s="86"/>
      <c r="O1247" s="86"/>
      <c r="P1247" s="86"/>
      <c r="Q1247" s="86"/>
      <c r="R1247" s="86"/>
      <c r="S1247" s="86"/>
      <c r="T1247" s="86"/>
      <c r="U1247" s="86"/>
      <c r="V1247" s="86"/>
      <c r="W1247" s="86"/>
      <c r="X1247" s="86"/>
      <c r="Y1247" s="86"/>
      <c r="Z1247" s="86"/>
      <c r="AA1247" s="86"/>
      <c r="AB1247" s="86"/>
      <c r="AC1247" s="86"/>
      <c r="AD1247" s="86"/>
      <c r="AE1247" s="86"/>
    </row>
    <row r="1248" spans="1:31">
      <c r="A1248" s="86"/>
      <c r="B1248" s="86"/>
      <c r="C1248" s="86"/>
      <c r="D1248" s="86"/>
      <c r="E1248" s="86"/>
      <c r="F1248" s="86"/>
      <c r="G1248" s="86"/>
      <c r="H1248" s="86"/>
      <c r="I1248" s="86"/>
      <c r="J1248" s="86"/>
      <c r="K1248" s="86"/>
      <c r="L1248" s="86"/>
      <c r="M1248" s="86"/>
      <c r="N1248" s="86"/>
      <c r="O1248" s="86"/>
      <c r="P1248" s="86"/>
      <c r="Q1248" s="86"/>
      <c r="R1248" s="86"/>
      <c r="S1248" s="86"/>
      <c r="T1248" s="86"/>
      <c r="U1248" s="86"/>
      <c r="V1248" s="86"/>
      <c r="W1248" s="86"/>
      <c r="X1248" s="86"/>
      <c r="Y1248" s="86"/>
      <c r="Z1248" s="86"/>
      <c r="AA1248" s="86"/>
      <c r="AB1248" s="86"/>
      <c r="AC1248" s="86"/>
      <c r="AD1248" s="86"/>
      <c r="AE1248" s="86"/>
    </row>
    <row r="1249" spans="1:31">
      <c r="A1249" s="86"/>
      <c r="B1249" s="86"/>
      <c r="C1249" s="86"/>
      <c r="D1249" s="86"/>
      <c r="E1249" s="86"/>
      <c r="F1249" s="86"/>
      <c r="G1249" s="86"/>
      <c r="H1249" s="86"/>
      <c r="I1249" s="86"/>
      <c r="J1249" s="86"/>
      <c r="K1249" s="86"/>
      <c r="L1249" s="86"/>
      <c r="M1249" s="86"/>
      <c r="N1249" s="86"/>
      <c r="O1249" s="86"/>
      <c r="P1249" s="86"/>
      <c r="Q1249" s="86"/>
      <c r="R1249" s="86"/>
      <c r="S1249" s="86"/>
      <c r="T1249" s="86"/>
      <c r="U1249" s="86"/>
      <c r="V1249" s="86"/>
      <c r="W1249" s="86"/>
      <c r="X1249" s="86"/>
      <c r="Y1249" s="86"/>
      <c r="Z1249" s="86"/>
      <c r="AA1249" s="86"/>
      <c r="AB1249" s="86"/>
      <c r="AC1249" s="86"/>
      <c r="AD1249" s="86"/>
      <c r="AE1249" s="86"/>
    </row>
    <row r="1250" spans="1:31">
      <c r="A1250" s="86"/>
      <c r="B1250" s="86"/>
      <c r="C1250" s="86"/>
      <c r="D1250" s="86"/>
      <c r="E1250" s="86"/>
      <c r="F1250" s="86"/>
      <c r="G1250" s="86"/>
      <c r="H1250" s="86"/>
      <c r="I1250" s="86"/>
      <c r="J1250" s="86"/>
      <c r="K1250" s="86"/>
      <c r="L1250" s="86"/>
      <c r="M1250" s="86"/>
      <c r="N1250" s="86"/>
      <c r="O1250" s="86"/>
      <c r="P1250" s="86"/>
      <c r="Q1250" s="86"/>
      <c r="R1250" s="86"/>
      <c r="S1250" s="86"/>
      <c r="T1250" s="86"/>
      <c r="U1250" s="86"/>
      <c r="V1250" s="86"/>
      <c r="W1250" s="86"/>
      <c r="X1250" s="86"/>
      <c r="Y1250" s="86"/>
      <c r="Z1250" s="86"/>
      <c r="AA1250" s="86"/>
      <c r="AB1250" s="86"/>
      <c r="AC1250" s="86"/>
      <c r="AD1250" s="86"/>
      <c r="AE1250" s="86"/>
    </row>
    <row r="1251" spans="1:31">
      <c r="A1251" s="86"/>
      <c r="B1251" s="86"/>
      <c r="C1251" s="86"/>
      <c r="D1251" s="86"/>
      <c r="E1251" s="86"/>
      <c r="F1251" s="86"/>
      <c r="G1251" s="86"/>
      <c r="H1251" s="86"/>
      <c r="I1251" s="86"/>
      <c r="J1251" s="86"/>
      <c r="K1251" s="86"/>
      <c r="L1251" s="86"/>
      <c r="M1251" s="86"/>
      <c r="N1251" s="86"/>
      <c r="O1251" s="86"/>
      <c r="P1251" s="86"/>
      <c r="Q1251" s="86"/>
      <c r="R1251" s="86"/>
      <c r="S1251" s="86"/>
      <c r="T1251" s="86"/>
      <c r="U1251" s="86"/>
      <c r="V1251" s="86"/>
      <c r="W1251" s="86"/>
      <c r="X1251" s="86"/>
      <c r="Y1251" s="86"/>
      <c r="Z1251" s="86"/>
      <c r="AA1251" s="86"/>
      <c r="AB1251" s="86"/>
      <c r="AC1251" s="86"/>
      <c r="AD1251" s="86"/>
      <c r="AE1251" s="86"/>
    </row>
    <row r="1252" spans="1:31">
      <c r="A1252" s="86"/>
      <c r="B1252" s="86"/>
      <c r="C1252" s="86"/>
      <c r="D1252" s="86"/>
      <c r="E1252" s="86"/>
      <c r="F1252" s="86"/>
      <c r="G1252" s="86"/>
      <c r="H1252" s="86"/>
      <c r="I1252" s="86"/>
      <c r="J1252" s="86"/>
      <c r="K1252" s="86"/>
      <c r="L1252" s="86"/>
      <c r="M1252" s="86"/>
      <c r="N1252" s="86"/>
      <c r="O1252" s="86"/>
      <c r="P1252" s="86"/>
      <c r="Q1252" s="86"/>
      <c r="R1252" s="86"/>
      <c r="S1252" s="86"/>
      <c r="T1252" s="86"/>
      <c r="U1252" s="86"/>
      <c r="V1252" s="86"/>
      <c r="W1252" s="86"/>
      <c r="X1252" s="86"/>
      <c r="Y1252" s="86"/>
      <c r="Z1252" s="86"/>
      <c r="AA1252" s="86"/>
      <c r="AB1252" s="86"/>
      <c r="AC1252" s="86"/>
      <c r="AD1252" s="86"/>
      <c r="AE1252" s="86"/>
    </row>
    <row r="1253" spans="1:31">
      <c r="A1253" s="86"/>
      <c r="B1253" s="86"/>
      <c r="C1253" s="86"/>
      <c r="D1253" s="86"/>
      <c r="E1253" s="86"/>
      <c r="F1253" s="86"/>
      <c r="G1253" s="86"/>
      <c r="H1253" s="86"/>
      <c r="I1253" s="86"/>
      <c r="J1253" s="86"/>
      <c r="K1253" s="86"/>
      <c r="L1253" s="86"/>
      <c r="M1253" s="86"/>
      <c r="N1253" s="86"/>
      <c r="O1253" s="86"/>
      <c r="P1253" s="86"/>
      <c r="Q1253" s="86"/>
      <c r="R1253" s="86"/>
      <c r="S1253" s="86"/>
      <c r="T1253" s="86"/>
      <c r="U1253" s="86"/>
      <c r="V1253" s="86"/>
      <c r="W1253" s="86"/>
      <c r="X1253" s="86"/>
      <c r="Y1253" s="86"/>
      <c r="Z1253" s="86"/>
      <c r="AA1253" s="86"/>
      <c r="AB1253" s="86"/>
      <c r="AC1253" s="86"/>
      <c r="AD1253" s="86"/>
      <c r="AE1253" s="86"/>
    </row>
    <row r="1254" spans="1:31">
      <c r="A1254" s="86"/>
      <c r="B1254" s="86"/>
      <c r="C1254" s="86"/>
      <c r="D1254" s="86"/>
      <c r="E1254" s="86"/>
      <c r="F1254" s="86"/>
      <c r="G1254" s="86"/>
      <c r="H1254" s="86"/>
      <c r="I1254" s="86"/>
      <c r="J1254" s="86"/>
      <c r="K1254" s="86"/>
      <c r="L1254" s="86"/>
      <c r="M1254" s="86"/>
      <c r="N1254" s="86"/>
      <c r="O1254" s="86"/>
      <c r="P1254" s="86"/>
      <c r="Q1254" s="86"/>
      <c r="R1254" s="86"/>
      <c r="S1254" s="86"/>
      <c r="T1254" s="86"/>
      <c r="U1254" s="86"/>
      <c r="V1254" s="86"/>
      <c r="W1254" s="86"/>
      <c r="X1254" s="86"/>
      <c r="Y1254" s="86"/>
      <c r="Z1254" s="86"/>
      <c r="AA1254" s="86"/>
      <c r="AB1254" s="86"/>
      <c r="AC1254" s="86"/>
      <c r="AD1254" s="86"/>
      <c r="AE1254" s="86"/>
    </row>
    <row r="1255" spans="1:31">
      <c r="A1255" s="86"/>
      <c r="B1255" s="86"/>
      <c r="C1255" s="86"/>
      <c r="D1255" s="86"/>
      <c r="E1255" s="86"/>
      <c r="F1255" s="86"/>
      <c r="G1255" s="86"/>
      <c r="H1255" s="86"/>
      <c r="I1255" s="86"/>
      <c r="J1255" s="86"/>
      <c r="K1255" s="86"/>
      <c r="L1255" s="86"/>
      <c r="M1255" s="86"/>
      <c r="N1255" s="86"/>
      <c r="O1255" s="86"/>
      <c r="P1255" s="86"/>
      <c r="Q1255" s="86"/>
      <c r="R1255" s="86"/>
      <c r="S1255" s="86"/>
      <c r="T1255" s="86"/>
      <c r="U1255" s="86"/>
      <c r="V1255" s="86"/>
      <c r="W1255" s="86"/>
      <c r="X1255" s="86"/>
      <c r="Y1255" s="86"/>
      <c r="Z1255" s="86"/>
      <c r="AA1255" s="86"/>
      <c r="AB1255" s="86"/>
      <c r="AC1255" s="86"/>
      <c r="AD1255" s="86"/>
      <c r="AE1255" s="86"/>
    </row>
    <row r="1256" spans="1:31">
      <c r="A1256" s="86"/>
      <c r="B1256" s="86"/>
      <c r="C1256" s="86"/>
      <c r="D1256" s="86"/>
      <c r="E1256" s="86"/>
      <c r="F1256" s="86"/>
      <c r="G1256" s="86"/>
      <c r="H1256" s="86"/>
      <c r="I1256" s="86"/>
      <c r="J1256" s="86"/>
      <c r="K1256" s="86"/>
      <c r="L1256" s="86"/>
      <c r="M1256" s="86"/>
      <c r="N1256" s="86"/>
      <c r="O1256" s="86"/>
      <c r="P1256" s="86"/>
      <c r="Q1256" s="86"/>
      <c r="R1256" s="86"/>
      <c r="S1256" s="86"/>
      <c r="T1256" s="86"/>
      <c r="U1256" s="86"/>
      <c r="V1256" s="86"/>
      <c r="W1256" s="86"/>
      <c r="X1256" s="86"/>
      <c r="Y1256" s="86"/>
      <c r="Z1256" s="86"/>
      <c r="AA1256" s="86"/>
      <c r="AB1256" s="86"/>
      <c r="AC1256" s="86"/>
      <c r="AD1256" s="86"/>
      <c r="AE1256" s="86"/>
    </row>
    <row r="1257" spans="1:31">
      <c r="A1257" s="86"/>
      <c r="B1257" s="86"/>
      <c r="C1257" s="86"/>
      <c r="D1257" s="86"/>
      <c r="E1257" s="86"/>
      <c r="F1257" s="86"/>
      <c r="G1257" s="86"/>
      <c r="H1257" s="86"/>
      <c r="I1257" s="86"/>
      <c r="J1257" s="86"/>
      <c r="K1257" s="86"/>
      <c r="L1257" s="86"/>
      <c r="M1257" s="86"/>
      <c r="N1257" s="86"/>
      <c r="O1257" s="86"/>
      <c r="P1257" s="86"/>
      <c r="Q1257" s="86"/>
      <c r="R1257" s="86"/>
      <c r="S1257" s="86"/>
      <c r="T1257" s="86"/>
      <c r="U1257" s="86"/>
      <c r="V1257" s="86"/>
      <c r="W1257" s="86"/>
      <c r="X1257" s="86"/>
      <c r="Y1257" s="86"/>
      <c r="Z1257" s="86"/>
      <c r="AA1257" s="86"/>
      <c r="AB1257" s="86"/>
      <c r="AC1257" s="86"/>
      <c r="AD1257" s="86"/>
      <c r="AE1257" s="86"/>
    </row>
    <row r="1258" spans="1:31">
      <c r="A1258" s="86"/>
      <c r="B1258" s="86"/>
      <c r="C1258" s="86"/>
      <c r="D1258" s="86"/>
      <c r="E1258" s="86"/>
      <c r="F1258" s="86"/>
      <c r="G1258" s="86"/>
      <c r="H1258" s="86"/>
      <c r="I1258" s="86"/>
      <c r="J1258" s="86"/>
      <c r="K1258" s="86"/>
      <c r="L1258" s="86"/>
      <c r="M1258" s="86"/>
      <c r="N1258" s="86"/>
      <c r="O1258" s="86"/>
      <c r="P1258" s="86"/>
      <c r="Q1258" s="86"/>
      <c r="R1258" s="86"/>
      <c r="S1258" s="86"/>
      <c r="T1258" s="86"/>
      <c r="U1258" s="86"/>
      <c r="V1258" s="86"/>
      <c r="W1258" s="86"/>
      <c r="X1258" s="86"/>
      <c r="Y1258" s="86"/>
      <c r="Z1258" s="86"/>
      <c r="AA1258" s="86"/>
      <c r="AB1258" s="86"/>
      <c r="AC1258" s="86"/>
      <c r="AD1258" s="86"/>
      <c r="AE1258" s="86"/>
    </row>
    <row r="1259" spans="1:31">
      <c r="A1259" s="86"/>
      <c r="B1259" s="86"/>
      <c r="C1259" s="86"/>
      <c r="D1259" s="86"/>
      <c r="E1259" s="86"/>
      <c r="F1259" s="86"/>
      <c r="G1259" s="86"/>
      <c r="H1259" s="86"/>
      <c r="I1259" s="86"/>
      <c r="J1259" s="86"/>
      <c r="K1259" s="86"/>
      <c r="L1259" s="86"/>
      <c r="M1259" s="86"/>
      <c r="N1259" s="86"/>
      <c r="O1259" s="86"/>
      <c r="P1259" s="86"/>
      <c r="Q1259" s="86"/>
      <c r="R1259" s="86"/>
      <c r="S1259" s="86"/>
      <c r="T1259" s="86"/>
      <c r="U1259" s="86"/>
      <c r="V1259" s="86"/>
      <c r="W1259" s="86"/>
      <c r="X1259" s="86"/>
      <c r="Y1259" s="86"/>
      <c r="Z1259" s="86"/>
      <c r="AA1259" s="86"/>
      <c r="AB1259" s="86"/>
      <c r="AC1259" s="86"/>
      <c r="AD1259" s="86"/>
      <c r="AE1259" s="86"/>
    </row>
    <row r="1260" spans="1:31">
      <c r="A1260" s="86"/>
      <c r="B1260" s="86"/>
      <c r="C1260" s="86"/>
      <c r="D1260" s="86"/>
      <c r="E1260" s="86"/>
      <c r="F1260" s="86"/>
      <c r="G1260" s="86"/>
      <c r="H1260" s="86"/>
      <c r="I1260" s="86"/>
      <c r="J1260" s="86"/>
      <c r="K1260" s="86"/>
      <c r="L1260" s="86"/>
      <c r="M1260" s="86"/>
      <c r="N1260" s="86"/>
      <c r="O1260" s="86"/>
      <c r="P1260" s="86"/>
      <c r="Q1260" s="86"/>
      <c r="R1260" s="86"/>
      <c r="S1260" s="86"/>
      <c r="T1260" s="86"/>
      <c r="U1260" s="86"/>
      <c r="V1260" s="86"/>
      <c r="W1260" s="86"/>
      <c r="X1260" s="86"/>
      <c r="Y1260" s="86"/>
      <c r="Z1260" s="86"/>
      <c r="AA1260" s="86"/>
      <c r="AB1260" s="86"/>
      <c r="AC1260" s="86"/>
      <c r="AD1260" s="86"/>
      <c r="AE1260" s="86"/>
    </row>
    <row r="1261" spans="1:31">
      <c r="A1261" s="86"/>
      <c r="B1261" s="86"/>
      <c r="C1261" s="86"/>
      <c r="D1261" s="86"/>
      <c r="E1261" s="86"/>
      <c r="F1261" s="86"/>
      <c r="G1261" s="86"/>
      <c r="H1261" s="86"/>
      <c r="I1261" s="86"/>
      <c r="J1261" s="86"/>
      <c r="K1261" s="86"/>
      <c r="L1261" s="86"/>
      <c r="M1261" s="86"/>
      <c r="N1261" s="86"/>
      <c r="O1261" s="86"/>
      <c r="P1261" s="86"/>
      <c r="Q1261" s="86"/>
      <c r="R1261" s="86"/>
      <c r="S1261" s="86"/>
      <c r="T1261" s="86"/>
      <c r="U1261" s="86"/>
      <c r="V1261" s="86"/>
      <c r="W1261" s="86"/>
      <c r="X1261" s="86"/>
      <c r="Y1261" s="86"/>
      <c r="Z1261" s="86"/>
      <c r="AA1261" s="86"/>
      <c r="AB1261" s="86"/>
      <c r="AC1261" s="86"/>
      <c r="AD1261" s="86"/>
      <c r="AE1261" s="86"/>
    </row>
    <row r="1262" spans="1:31">
      <c r="A1262" s="86"/>
      <c r="B1262" s="86"/>
      <c r="C1262" s="86"/>
      <c r="D1262" s="86"/>
      <c r="E1262" s="86"/>
      <c r="F1262" s="86"/>
      <c r="G1262" s="86"/>
      <c r="H1262" s="86"/>
      <c r="I1262" s="86"/>
      <c r="J1262" s="86"/>
      <c r="K1262" s="86"/>
      <c r="L1262" s="86"/>
      <c r="M1262" s="86"/>
      <c r="N1262" s="86"/>
      <c r="O1262" s="86"/>
      <c r="P1262" s="86"/>
      <c r="Q1262" s="86"/>
      <c r="R1262" s="86"/>
      <c r="S1262" s="86"/>
      <c r="T1262" s="86"/>
      <c r="U1262" s="86"/>
      <c r="V1262" s="86"/>
      <c r="W1262" s="86"/>
      <c r="X1262" s="86"/>
      <c r="Y1262" s="86"/>
      <c r="Z1262" s="86"/>
      <c r="AA1262" s="86"/>
      <c r="AB1262" s="86"/>
      <c r="AC1262" s="86"/>
      <c r="AD1262" s="86"/>
      <c r="AE1262" s="86"/>
    </row>
    <row r="1263" spans="1:31">
      <c r="A1263" s="86"/>
      <c r="B1263" s="86"/>
      <c r="C1263" s="86"/>
      <c r="D1263" s="86"/>
      <c r="E1263" s="86"/>
      <c r="F1263" s="86"/>
      <c r="G1263" s="86"/>
      <c r="H1263" s="86"/>
      <c r="I1263" s="86"/>
      <c r="J1263" s="86"/>
      <c r="K1263" s="86"/>
      <c r="L1263" s="86"/>
      <c r="M1263" s="86"/>
      <c r="N1263" s="86"/>
      <c r="O1263" s="86"/>
      <c r="P1263" s="86"/>
      <c r="Q1263" s="86"/>
      <c r="R1263" s="86"/>
      <c r="S1263" s="86"/>
      <c r="T1263" s="86"/>
      <c r="U1263" s="86"/>
      <c r="V1263" s="86"/>
      <c r="W1263" s="86"/>
      <c r="X1263" s="86"/>
      <c r="Y1263" s="86"/>
      <c r="Z1263" s="86"/>
      <c r="AA1263" s="86"/>
      <c r="AB1263" s="86"/>
      <c r="AC1263" s="86"/>
      <c r="AD1263" s="86"/>
      <c r="AE1263" s="86"/>
    </row>
    <row r="1264" spans="1:31">
      <c r="A1264" s="86"/>
      <c r="B1264" s="86"/>
      <c r="C1264" s="86"/>
      <c r="D1264" s="86"/>
      <c r="E1264" s="86"/>
      <c r="F1264" s="86"/>
      <c r="G1264" s="86"/>
      <c r="H1264" s="86"/>
      <c r="I1264" s="86"/>
      <c r="J1264" s="86"/>
      <c r="K1264" s="86"/>
      <c r="L1264" s="86"/>
      <c r="M1264" s="86"/>
      <c r="N1264" s="86"/>
      <c r="O1264" s="86"/>
      <c r="P1264" s="86"/>
      <c r="Q1264" s="86"/>
      <c r="R1264" s="86"/>
      <c r="S1264" s="86"/>
      <c r="T1264" s="86"/>
      <c r="U1264" s="86"/>
      <c r="V1264" s="86"/>
      <c r="W1264" s="86"/>
      <c r="X1264" s="86"/>
      <c r="Y1264" s="86"/>
      <c r="Z1264" s="86"/>
      <c r="AA1264" s="86"/>
      <c r="AB1264" s="86"/>
      <c r="AC1264" s="86"/>
      <c r="AD1264" s="86"/>
      <c r="AE1264" s="86"/>
    </row>
    <row r="1265" spans="1:31">
      <c r="A1265" s="86"/>
      <c r="B1265" s="86"/>
      <c r="C1265" s="86"/>
      <c r="D1265" s="86"/>
      <c r="E1265" s="86"/>
      <c r="F1265" s="86"/>
      <c r="G1265" s="86"/>
      <c r="H1265" s="86"/>
      <c r="I1265" s="86"/>
      <c r="J1265" s="86"/>
      <c r="K1265" s="86"/>
      <c r="L1265" s="86"/>
      <c r="M1265" s="86"/>
      <c r="N1265" s="86"/>
      <c r="O1265" s="86"/>
      <c r="P1265" s="86"/>
      <c r="Q1265" s="86"/>
      <c r="R1265" s="86"/>
      <c r="S1265" s="86"/>
      <c r="T1265" s="86"/>
      <c r="U1265" s="86"/>
      <c r="V1265" s="86"/>
      <c r="W1265" s="86"/>
      <c r="X1265" s="86"/>
      <c r="Y1265" s="86"/>
      <c r="Z1265" s="86"/>
      <c r="AA1265" s="86"/>
      <c r="AB1265" s="86"/>
      <c r="AC1265" s="86"/>
      <c r="AD1265" s="86"/>
      <c r="AE1265" s="86"/>
    </row>
    <row r="1266" spans="1:31">
      <c r="A1266" s="86"/>
      <c r="B1266" s="86"/>
      <c r="C1266" s="86"/>
      <c r="D1266" s="86"/>
      <c r="E1266" s="86"/>
      <c r="F1266" s="86"/>
      <c r="G1266" s="86"/>
      <c r="H1266" s="86"/>
      <c r="I1266" s="86"/>
      <c r="J1266" s="86"/>
      <c r="K1266" s="86"/>
      <c r="L1266" s="86"/>
      <c r="M1266" s="86"/>
      <c r="N1266" s="86"/>
      <c r="O1266" s="86"/>
      <c r="P1266" s="86"/>
      <c r="Q1266" s="86"/>
      <c r="R1266" s="86"/>
      <c r="S1266" s="86"/>
      <c r="T1266" s="86"/>
      <c r="U1266" s="86"/>
      <c r="V1266" s="86"/>
      <c r="W1266" s="86"/>
      <c r="X1266" s="86"/>
      <c r="Y1266" s="86"/>
      <c r="Z1266" s="86"/>
      <c r="AA1266" s="86"/>
      <c r="AB1266" s="86"/>
      <c r="AC1266" s="86"/>
      <c r="AD1266" s="86"/>
      <c r="AE1266" s="86"/>
    </row>
    <row r="1267" spans="1:31">
      <c r="A1267" s="86"/>
      <c r="B1267" s="86"/>
      <c r="C1267" s="86"/>
      <c r="D1267" s="86"/>
      <c r="E1267" s="86"/>
      <c r="F1267" s="86"/>
      <c r="G1267" s="86"/>
      <c r="H1267" s="86"/>
      <c r="I1267" s="86"/>
      <c r="J1267" s="86"/>
      <c r="K1267" s="86"/>
      <c r="L1267" s="86"/>
      <c r="M1267" s="86"/>
      <c r="N1267" s="86"/>
      <c r="O1267" s="86"/>
      <c r="P1267" s="86"/>
      <c r="Q1267" s="86"/>
      <c r="R1267" s="86"/>
      <c r="S1267" s="86"/>
      <c r="T1267" s="86"/>
      <c r="U1267" s="86"/>
      <c r="V1267" s="86"/>
      <c r="W1267" s="86"/>
      <c r="X1267" s="86"/>
      <c r="Y1267" s="86"/>
      <c r="Z1267" s="86"/>
      <c r="AA1267" s="86"/>
      <c r="AB1267" s="86"/>
      <c r="AC1267" s="86"/>
      <c r="AD1267" s="86"/>
      <c r="AE1267" s="86"/>
    </row>
    <row r="1268" spans="1:31">
      <c r="A1268" s="86"/>
      <c r="B1268" s="86"/>
      <c r="C1268" s="86"/>
      <c r="D1268" s="86"/>
      <c r="E1268" s="86"/>
      <c r="F1268" s="86"/>
      <c r="G1268" s="86"/>
      <c r="H1268" s="86"/>
      <c r="I1268" s="86"/>
      <c r="J1268" s="86"/>
      <c r="K1268" s="86"/>
      <c r="L1268" s="86"/>
      <c r="M1268" s="86"/>
      <c r="N1268" s="86"/>
      <c r="O1268" s="86"/>
      <c r="P1268" s="86"/>
      <c r="Q1268" s="86"/>
      <c r="R1268" s="86"/>
      <c r="S1268" s="86"/>
      <c r="T1268" s="86"/>
      <c r="U1268" s="86"/>
      <c r="V1268" s="86"/>
      <c r="W1268" s="86"/>
      <c r="X1268" s="86"/>
      <c r="Y1268" s="86"/>
      <c r="Z1268" s="86"/>
      <c r="AA1268" s="86"/>
      <c r="AB1268" s="86"/>
      <c r="AC1268" s="86"/>
      <c r="AD1268" s="86"/>
      <c r="AE1268" s="86"/>
    </row>
    <row r="1269" spans="1:31">
      <c r="A1269" s="86"/>
      <c r="B1269" s="86"/>
      <c r="C1269" s="86"/>
      <c r="D1269" s="86"/>
      <c r="E1269" s="86"/>
      <c r="F1269" s="86"/>
      <c r="G1269" s="86"/>
      <c r="H1269" s="86"/>
      <c r="I1269" s="86"/>
      <c r="J1269" s="86"/>
      <c r="K1269" s="86"/>
      <c r="L1269" s="86"/>
      <c r="M1269" s="86"/>
      <c r="N1269" s="86"/>
      <c r="O1269" s="86"/>
      <c r="P1269" s="86"/>
      <c r="Q1269" s="86"/>
      <c r="R1269" s="86"/>
      <c r="S1269" s="86"/>
      <c r="T1269" s="86"/>
      <c r="U1269" s="86"/>
      <c r="V1269" s="86"/>
      <c r="W1269" s="86"/>
      <c r="X1269" s="86"/>
      <c r="Y1269" s="86"/>
      <c r="Z1269" s="86"/>
      <c r="AA1269" s="86"/>
      <c r="AB1269" s="86"/>
      <c r="AC1269" s="86"/>
      <c r="AD1269" s="86"/>
      <c r="AE1269" s="86"/>
    </row>
    <row r="1270" spans="1:31">
      <c r="A1270" s="86"/>
      <c r="B1270" s="86"/>
      <c r="C1270" s="86"/>
      <c r="D1270" s="86"/>
      <c r="E1270" s="86"/>
      <c r="F1270" s="86"/>
      <c r="G1270" s="86"/>
      <c r="H1270" s="86"/>
      <c r="I1270" s="86"/>
      <c r="J1270" s="86"/>
      <c r="K1270" s="86"/>
      <c r="L1270" s="86"/>
      <c r="M1270" s="86"/>
      <c r="N1270" s="86"/>
      <c r="O1270" s="86"/>
      <c r="P1270" s="86"/>
      <c r="Q1270" s="86"/>
      <c r="R1270" s="86"/>
      <c r="S1270" s="86"/>
      <c r="T1270" s="86"/>
      <c r="U1270" s="86"/>
      <c r="V1270" s="86"/>
      <c r="W1270" s="86"/>
      <c r="X1270" s="86"/>
      <c r="Y1270" s="86"/>
      <c r="Z1270" s="86"/>
      <c r="AA1270" s="86"/>
      <c r="AB1270" s="86"/>
      <c r="AC1270" s="86"/>
      <c r="AD1270" s="86"/>
      <c r="AE1270" s="86"/>
    </row>
    <row r="1271" spans="1:31">
      <c r="A1271" s="86"/>
      <c r="B1271" s="86"/>
      <c r="C1271" s="86"/>
      <c r="D1271" s="86"/>
      <c r="E1271" s="86"/>
      <c r="F1271" s="86"/>
      <c r="G1271" s="86"/>
      <c r="H1271" s="86"/>
      <c r="I1271" s="86"/>
      <c r="J1271" s="86"/>
      <c r="K1271" s="86"/>
      <c r="L1271" s="86"/>
      <c r="M1271" s="86"/>
      <c r="N1271" s="86"/>
      <c r="O1271" s="86"/>
      <c r="P1271" s="86"/>
      <c r="Q1271" s="86"/>
      <c r="R1271" s="86"/>
      <c r="S1271" s="86"/>
      <c r="T1271" s="86"/>
      <c r="U1271" s="86"/>
      <c r="V1271" s="86"/>
      <c r="W1271" s="86"/>
      <c r="X1271" s="86"/>
      <c r="Y1271" s="86"/>
      <c r="Z1271" s="86"/>
      <c r="AA1271" s="86"/>
      <c r="AB1271" s="86"/>
      <c r="AC1271" s="86"/>
      <c r="AD1271" s="86"/>
      <c r="AE1271" s="86"/>
    </row>
    <row r="1272" spans="1:31">
      <c r="A1272" s="86"/>
      <c r="B1272" s="86"/>
      <c r="C1272" s="86"/>
      <c r="D1272" s="86"/>
      <c r="E1272" s="86"/>
      <c r="F1272" s="86"/>
      <c r="G1272" s="86"/>
      <c r="H1272" s="86"/>
      <c r="I1272" s="86"/>
      <c r="J1272" s="86"/>
      <c r="K1272" s="86"/>
      <c r="L1272" s="86"/>
      <c r="M1272" s="86"/>
      <c r="N1272" s="86"/>
      <c r="O1272" s="86"/>
      <c r="P1272" s="86"/>
      <c r="Q1272" s="86"/>
      <c r="R1272" s="86"/>
      <c r="S1272" s="86"/>
      <c r="T1272" s="86"/>
      <c r="U1272" s="86"/>
      <c r="V1272" s="86"/>
      <c r="W1272" s="86"/>
      <c r="X1272" s="86"/>
      <c r="Y1272" s="86"/>
      <c r="Z1272" s="86"/>
      <c r="AA1272" s="86"/>
      <c r="AB1272" s="86"/>
      <c r="AC1272" s="86"/>
      <c r="AD1272" s="86"/>
      <c r="AE1272" s="86"/>
    </row>
    <row r="1273" spans="1:31">
      <c r="A1273" s="86"/>
      <c r="B1273" s="86"/>
      <c r="C1273" s="86"/>
      <c r="D1273" s="86"/>
      <c r="E1273" s="86"/>
      <c r="F1273" s="86"/>
      <c r="G1273" s="86"/>
      <c r="H1273" s="86"/>
      <c r="I1273" s="86"/>
      <c r="J1273" s="86"/>
      <c r="K1273" s="86"/>
      <c r="L1273" s="86"/>
      <c r="M1273" s="86"/>
      <c r="N1273" s="86"/>
      <c r="O1273" s="86"/>
      <c r="P1273" s="86"/>
      <c r="Q1273" s="86"/>
      <c r="R1273" s="86"/>
      <c r="S1273" s="86"/>
      <c r="T1273" s="86"/>
      <c r="U1273" s="86"/>
      <c r="V1273" s="86"/>
      <c r="W1273" s="86"/>
      <c r="X1273" s="86"/>
      <c r="Y1273" s="86"/>
      <c r="Z1273" s="86"/>
      <c r="AA1273" s="86"/>
      <c r="AB1273" s="86"/>
      <c r="AC1273" s="86"/>
      <c r="AD1273" s="86"/>
      <c r="AE1273" s="86"/>
    </row>
    <row r="1274" spans="1:31">
      <c r="A1274" s="86"/>
      <c r="B1274" s="86"/>
      <c r="C1274" s="86"/>
      <c r="D1274" s="86"/>
      <c r="E1274" s="86"/>
      <c r="F1274" s="86"/>
      <c r="G1274" s="86"/>
      <c r="H1274" s="86"/>
      <c r="I1274" s="86"/>
      <c r="J1274" s="86"/>
      <c r="K1274" s="86"/>
      <c r="L1274" s="86"/>
      <c r="M1274" s="86"/>
      <c r="N1274" s="86"/>
      <c r="O1274" s="86"/>
      <c r="P1274" s="86"/>
      <c r="Q1274" s="86"/>
      <c r="R1274" s="86"/>
      <c r="S1274" s="86"/>
      <c r="T1274" s="86"/>
      <c r="U1274" s="86"/>
      <c r="V1274" s="86"/>
      <c r="W1274" s="86"/>
      <c r="X1274" s="86"/>
      <c r="Y1274" s="86"/>
      <c r="Z1274" s="86"/>
      <c r="AA1274" s="86"/>
      <c r="AB1274" s="86"/>
      <c r="AC1274" s="86"/>
      <c r="AD1274" s="86"/>
      <c r="AE1274" s="86"/>
    </row>
    <row r="1275" spans="1:31">
      <c r="A1275" s="86"/>
      <c r="B1275" s="86"/>
      <c r="C1275" s="86"/>
      <c r="D1275" s="86"/>
      <c r="E1275" s="86"/>
      <c r="F1275" s="86"/>
      <c r="G1275" s="86"/>
      <c r="H1275" s="86"/>
      <c r="I1275" s="86"/>
      <c r="J1275" s="86"/>
      <c r="K1275" s="86"/>
      <c r="L1275" s="86"/>
      <c r="M1275" s="86"/>
      <c r="N1275" s="86"/>
      <c r="O1275" s="86"/>
      <c r="P1275" s="86"/>
      <c r="Q1275" s="86"/>
      <c r="R1275" s="86"/>
      <c r="S1275" s="86"/>
      <c r="T1275" s="86"/>
      <c r="U1275" s="86"/>
      <c r="V1275" s="86"/>
      <c r="W1275" s="86"/>
      <c r="X1275" s="86"/>
      <c r="Y1275" s="86"/>
      <c r="Z1275" s="86"/>
      <c r="AA1275" s="86"/>
      <c r="AB1275" s="86"/>
      <c r="AC1275" s="86"/>
      <c r="AD1275" s="86"/>
      <c r="AE1275" s="86"/>
    </row>
    <row r="1276" spans="1:31">
      <c r="A1276" s="86"/>
      <c r="B1276" s="86"/>
      <c r="C1276" s="86"/>
      <c r="D1276" s="86"/>
      <c r="E1276" s="86"/>
      <c r="F1276" s="86"/>
      <c r="G1276" s="86"/>
      <c r="H1276" s="86"/>
      <c r="I1276" s="86"/>
      <c r="J1276" s="86"/>
      <c r="K1276" s="86"/>
      <c r="L1276" s="86"/>
      <c r="M1276" s="86"/>
      <c r="N1276" s="86"/>
      <c r="O1276" s="86"/>
      <c r="P1276" s="86"/>
      <c r="Q1276" s="86"/>
      <c r="R1276" s="86"/>
      <c r="S1276" s="86"/>
      <c r="T1276" s="86"/>
      <c r="U1276" s="86"/>
      <c r="V1276" s="86"/>
      <c r="W1276" s="86"/>
      <c r="X1276" s="86"/>
      <c r="Y1276" s="86"/>
      <c r="Z1276" s="86"/>
      <c r="AA1276" s="86"/>
      <c r="AB1276" s="86"/>
      <c r="AC1276" s="86"/>
      <c r="AD1276" s="86"/>
      <c r="AE1276" s="86"/>
    </row>
    <row r="1277" spans="1:31">
      <c r="A1277" s="86"/>
      <c r="B1277" s="86"/>
      <c r="C1277" s="86"/>
      <c r="D1277" s="86"/>
      <c r="E1277" s="86"/>
      <c r="F1277" s="86"/>
      <c r="G1277" s="86"/>
      <c r="H1277" s="86"/>
      <c r="I1277" s="86"/>
      <c r="J1277" s="86"/>
      <c r="K1277" s="86"/>
      <c r="L1277" s="86"/>
      <c r="M1277" s="86"/>
      <c r="N1277" s="86"/>
      <c r="O1277" s="86"/>
      <c r="P1277" s="86"/>
      <c r="Q1277" s="86"/>
      <c r="R1277" s="86"/>
      <c r="S1277" s="86"/>
      <c r="T1277" s="86"/>
      <c r="U1277" s="86"/>
      <c r="V1277" s="86"/>
      <c r="W1277" s="86"/>
      <c r="X1277" s="86"/>
      <c r="Y1277" s="86"/>
      <c r="Z1277" s="86"/>
      <c r="AA1277" s="86"/>
      <c r="AB1277" s="86"/>
      <c r="AC1277" s="86"/>
      <c r="AD1277" s="86"/>
      <c r="AE1277" s="86"/>
    </row>
    <row r="1278" spans="1:31">
      <c r="A1278" s="86"/>
      <c r="B1278" s="86"/>
      <c r="C1278" s="86"/>
      <c r="D1278" s="86"/>
      <c r="E1278" s="86"/>
      <c r="F1278" s="86"/>
      <c r="G1278" s="86"/>
      <c r="H1278" s="86"/>
      <c r="I1278" s="86"/>
      <c r="J1278" s="86"/>
      <c r="K1278" s="86"/>
      <c r="L1278" s="86"/>
      <c r="M1278" s="86"/>
      <c r="N1278" s="86"/>
      <c r="O1278" s="86"/>
      <c r="P1278" s="86"/>
      <c r="Q1278" s="86"/>
      <c r="R1278" s="86"/>
      <c r="S1278" s="86"/>
      <c r="T1278" s="86"/>
      <c r="U1278" s="86"/>
      <c r="V1278" s="86"/>
      <c r="W1278" s="86"/>
      <c r="X1278" s="86"/>
      <c r="Y1278" s="86"/>
      <c r="Z1278" s="86"/>
      <c r="AA1278" s="86"/>
      <c r="AB1278" s="86"/>
      <c r="AC1278" s="86"/>
      <c r="AD1278" s="86"/>
      <c r="AE1278" s="86"/>
    </row>
    <row r="1279" spans="1:31">
      <c r="A1279" s="86"/>
      <c r="B1279" s="86"/>
      <c r="C1279" s="86"/>
      <c r="D1279" s="86"/>
      <c r="E1279" s="86"/>
      <c r="F1279" s="86"/>
      <c r="G1279" s="86"/>
      <c r="H1279" s="86"/>
      <c r="I1279" s="86"/>
      <c r="J1279" s="86"/>
      <c r="K1279" s="86"/>
      <c r="L1279" s="86"/>
      <c r="M1279" s="86"/>
      <c r="N1279" s="86"/>
      <c r="O1279" s="86"/>
      <c r="P1279" s="86"/>
      <c r="Q1279" s="86"/>
      <c r="R1279" s="86"/>
      <c r="S1279" s="86"/>
      <c r="T1279" s="86"/>
      <c r="U1279" s="86"/>
      <c r="V1279" s="86"/>
      <c r="W1279" s="86"/>
      <c r="X1279" s="86"/>
      <c r="Y1279" s="86"/>
      <c r="Z1279" s="86"/>
      <c r="AA1279" s="86"/>
      <c r="AB1279" s="86"/>
      <c r="AC1279" s="86"/>
      <c r="AD1279" s="86"/>
      <c r="AE1279" s="86"/>
    </row>
    <row r="1280" spans="1:31">
      <c r="A1280" s="86"/>
      <c r="B1280" s="86"/>
      <c r="C1280" s="86"/>
      <c r="D1280" s="86"/>
      <c r="E1280" s="86"/>
      <c r="F1280" s="86"/>
      <c r="G1280" s="86"/>
      <c r="H1280" s="86"/>
      <c r="I1280" s="86"/>
      <c r="J1280" s="86"/>
      <c r="K1280" s="86"/>
      <c r="L1280" s="86"/>
      <c r="M1280" s="86"/>
      <c r="N1280" s="86"/>
      <c r="O1280" s="86"/>
      <c r="P1280" s="86"/>
      <c r="Q1280" s="86"/>
      <c r="R1280" s="86"/>
      <c r="S1280" s="86"/>
      <c r="T1280" s="86"/>
      <c r="U1280" s="86"/>
      <c r="V1280" s="86"/>
      <c r="W1280" s="86"/>
      <c r="X1280" s="86"/>
      <c r="Y1280" s="86"/>
      <c r="Z1280" s="86"/>
      <c r="AA1280" s="86"/>
      <c r="AB1280" s="86"/>
      <c r="AC1280" s="86"/>
      <c r="AD1280" s="86"/>
      <c r="AE1280" s="86"/>
    </row>
    <row r="1281" spans="1:31">
      <c r="A1281" s="86"/>
      <c r="B1281" s="86"/>
      <c r="C1281" s="86"/>
      <c r="D1281" s="86"/>
      <c r="E1281" s="86"/>
      <c r="F1281" s="86"/>
      <c r="G1281" s="86"/>
      <c r="H1281" s="86"/>
      <c r="I1281" s="86"/>
      <c r="J1281" s="86"/>
      <c r="K1281" s="86"/>
      <c r="L1281" s="86"/>
      <c r="M1281" s="86"/>
      <c r="N1281" s="86"/>
      <c r="O1281" s="86"/>
      <c r="P1281" s="86"/>
      <c r="Q1281" s="86"/>
      <c r="R1281" s="86"/>
      <c r="S1281" s="86"/>
      <c r="T1281" s="86"/>
      <c r="U1281" s="86"/>
      <c r="V1281" s="86"/>
      <c r="W1281" s="86"/>
      <c r="X1281" s="86"/>
      <c r="Y1281" s="86"/>
      <c r="Z1281" s="86"/>
      <c r="AA1281" s="86"/>
      <c r="AB1281" s="86"/>
      <c r="AC1281" s="86"/>
      <c r="AD1281" s="86"/>
      <c r="AE1281" s="86"/>
    </row>
    <row r="1282" spans="1:31">
      <c r="A1282" s="86"/>
      <c r="B1282" s="86"/>
      <c r="C1282" s="86"/>
      <c r="D1282" s="86"/>
      <c r="E1282" s="86"/>
      <c r="F1282" s="86"/>
      <c r="G1282" s="86"/>
      <c r="H1282" s="86"/>
      <c r="I1282" s="86"/>
      <c r="J1282" s="86"/>
      <c r="K1282" s="86"/>
      <c r="L1282" s="86"/>
      <c r="M1282" s="86"/>
      <c r="N1282" s="86"/>
      <c r="O1282" s="86"/>
      <c r="P1282" s="86"/>
      <c r="Q1282" s="86"/>
      <c r="R1282" s="86"/>
      <c r="S1282" s="86"/>
      <c r="T1282" s="86"/>
      <c r="U1282" s="86"/>
      <c r="V1282" s="86"/>
      <c r="W1282" s="86"/>
      <c r="X1282" s="86"/>
      <c r="Y1282" s="86"/>
      <c r="Z1282" s="86"/>
      <c r="AA1282" s="86"/>
      <c r="AB1282" s="86"/>
      <c r="AC1282" s="86"/>
      <c r="AD1282" s="86"/>
      <c r="AE1282" s="86"/>
    </row>
    <row r="1283" spans="1:31">
      <c r="A1283" s="86"/>
      <c r="B1283" s="86"/>
      <c r="C1283" s="86"/>
      <c r="D1283" s="86"/>
      <c r="E1283" s="86"/>
      <c r="F1283" s="86"/>
      <c r="G1283" s="86"/>
      <c r="H1283" s="86"/>
      <c r="I1283" s="86"/>
      <c r="J1283" s="86"/>
      <c r="K1283" s="86"/>
      <c r="L1283" s="86"/>
      <c r="M1283" s="86"/>
      <c r="N1283" s="86"/>
      <c r="O1283" s="86"/>
      <c r="P1283" s="86"/>
      <c r="Q1283" s="86"/>
      <c r="R1283" s="86"/>
      <c r="S1283" s="86"/>
      <c r="T1283" s="86"/>
      <c r="U1283" s="86"/>
      <c r="V1283" s="86"/>
      <c r="W1283" s="86"/>
      <c r="X1283" s="86"/>
      <c r="Y1283" s="86"/>
      <c r="Z1283" s="86"/>
      <c r="AA1283" s="86"/>
      <c r="AB1283" s="86"/>
      <c r="AC1283" s="86"/>
      <c r="AD1283" s="86"/>
      <c r="AE1283" s="86"/>
    </row>
    <row r="1284" spans="1:31">
      <c r="A1284" s="86"/>
      <c r="B1284" s="86"/>
      <c r="C1284" s="86"/>
      <c r="D1284" s="86"/>
      <c r="E1284" s="86"/>
      <c r="F1284" s="86"/>
      <c r="G1284" s="86"/>
      <c r="H1284" s="86"/>
      <c r="I1284" s="86"/>
      <c r="J1284" s="86"/>
      <c r="K1284" s="86"/>
      <c r="L1284" s="86"/>
      <c r="M1284" s="86"/>
      <c r="N1284" s="86"/>
      <c r="O1284" s="86"/>
      <c r="P1284" s="86"/>
      <c r="Q1284" s="86"/>
      <c r="R1284" s="86"/>
      <c r="S1284" s="86"/>
      <c r="T1284" s="86"/>
      <c r="U1284" s="86"/>
      <c r="V1284" s="86"/>
      <c r="W1284" s="86"/>
      <c r="X1284" s="86"/>
      <c r="Y1284" s="86"/>
      <c r="Z1284" s="86"/>
      <c r="AA1284" s="86"/>
      <c r="AB1284" s="86"/>
      <c r="AC1284" s="86"/>
      <c r="AD1284" s="86"/>
      <c r="AE1284" s="86"/>
    </row>
    <row r="1285" spans="1:31">
      <c r="A1285" s="86"/>
      <c r="B1285" s="86"/>
      <c r="C1285" s="86"/>
      <c r="D1285" s="86"/>
      <c r="E1285" s="86"/>
      <c r="F1285" s="86"/>
      <c r="G1285" s="86"/>
      <c r="H1285" s="86"/>
      <c r="I1285" s="86"/>
      <c r="J1285" s="86"/>
      <c r="K1285" s="86"/>
      <c r="L1285" s="86"/>
      <c r="M1285" s="86"/>
      <c r="N1285" s="86"/>
      <c r="O1285" s="86"/>
      <c r="P1285" s="86"/>
      <c r="Q1285" s="86"/>
      <c r="R1285" s="86"/>
      <c r="S1285" s="86"/>
      <c r="T1285" s="86"/>
      <c r="U1285" s="86"/>
      <c r="V1285" s="86"/>
      <c r="W1285" s="86"/>
      <c r="X1285" s="86"/>
      <c r="Y1285" s="86"/>
      <c r="Z1285" s="86"/>
      <c r="AA1285" s="86"/>
      <c r="AB1285" s="86"/>
      <c r="AC1285" s="86"/>
      <c r="AD1285" s="86"/>
      <c r="AE1285" s="86"/>
    </row>
    <row r="1286" spans="1:31">
      <c r="A1286" s="86"/>
      <c r="B1286" s="86"/>
      <c r="C1286" s="86"/>
      <c r="D1286" s="86"/>
      <c r="E1286" s="86"/>
      <c r="F1286" s="86"/>
      <c r="G1286" s="86"/>
      <c r="H1286" s="86"/>
      <c r="I1286" s="86"/>
      <c r="J1286" s="86"/>
      <c r="K1286" s="86"/>
      <c r="L1286" s="86"/>
      <c r="M1286" s="86"/>
      <c r="N1286" s="86"/>
      <c r="O1286" s="86"/>
      <c r="P1286" s="86"/>
      <c r="Q1286" s="86"/>
      <c r="R1286" s="86"/>
      <c r="S1286" s="86"/>
      <c r="T1286" s="86"/>
      <c r="U1286" s="86"/>
      <c r="V1286" s="86"/>
      <c r="W1286" s="86"/>
      <c r="X1286" s="86"/>
      <c r="Y1286" s="86"/>
      <c r="Z1286" s="86"/>
      <c r="AA1286" s="86"/>
      <c r="AB1286" s="86"/>
      <c r="AC1286" s="86"/>
      <c r="AD1286" s="86"/>
      <c r="AE1286" s="86"/>
    </row>
    <row r="1287" spans="1:31">
      <c r="A1287" s="86"/>
      <c r="B1287" s="86"/>
      <c r="C1287" s="86"/>
      <c r="D1287" s="86"/>
      <c r="E1287" s="86"/>
      <c r="F1287" s="86"/>
      <c r="G1287" s="86"/>
      <c r="H1287" s="86"/>
      <c r="I1287" s="86"/>
      <c r="J1287" s="86"/>
      <c r="K1287" s="86"/>
      <c r="L1287" s="86"/>
      <c r="M1287" s="86"/>
      <c r="N1287" s="86"/>
      <c r="O1287" s="86"/>
      <c r="P1287" s="86"/>
      <c r="Q1287" s="86"/>
      <c r="R1287" s="86"/>
      <c r="S1287" s="86"/>
      <c r="T1287" s="86"/>
      <c r="U1287" s="86"/>
      <c r="V1287" s="86"/>
      <c r="W1287" s="86"/>
      <c r="X1287" s="86"/>
      <c r="Y1287" s="86"/>
      <c r="Z1287" s="86"/>
      <c r="AA1287" s="86"/>
      <c r="AB1287" s="86"/>
      <c r="AC1287" s="86"/>
      <c r="AD1287" s="86"/>
      <c r="AE1287" s="86"/>
    </row>
    <row r="1288" spans="1:31">
      <c r="A1288" s="86"/>
      <c r="B1288" s="86"/>
      <c r="C1288" s="86"/>
      <c r="D1288" s="86"/>
      <c r="E1288" s="86"/>
      <c r="F1288" s="86"/>
      <c r="G1288" s="86"/>
      <c r="H1288" s="86"/>
      <c r="I1288" s="86"/>
      <c r="J1288" s="86"/>
      <c r="K1288" s="86"/>
      <c r="L1288" s="86"/>
      <c r="M1288" s="86"/>
      <c r="N1288" s="86"/>
      <c r="O1288" s="86"/>
      <c r="P1288" s="86"/>
      <c r="Q1288" s="86"/>
      <c r="R1288" s="86"/>
      <c r="S1288" s="86"/>
      <c r="T1288" s="86"/>
      <c r="U1288" s="86"/>
      <c r="V1288" s="86"/>
      <c r="W1288" s="86"/>
      <c r="X1288" s="86"/>
      <c r="Y1288" s="86"/>
      <c r="Z1288" s="86"/>
      <c r="AA1288" s="86"/>
      <c r="AB1288" s="86"/>
      <c r="AC1288" s="86"/>
      <c r="AD1288" s="86"/>
      <c r="AE1288" s="86"/>
    </row>
    <row r="1289" spans="1:31">
      <c r="A1289" s="86"/>
      <c r="B1289" s="86"/>
      <c r="C1289" s="86"/>
      <c r="D1289" s="86"/>
      <c r="E1289" s="86"/>
      <c r="F1289" s="86"/>
      <c r="G1289" s="86"/>
      <c r="H1289" s="86"/>
      <c r="I1289" s="86"/>
      <c r="J1289" s="86"/>
      <c r="K1289" s="86"/>
      <c r="L1289" s="86"/>
      <c r="M1289" s="86"/>
      <c r="N1289" s="86"/>
      <c r="O1289" s="86"/>
      <c r="P1289" s="86"/>
      <c r="Q1289" s="86"/>
      <c r="R1289" s="86"/>
      <c r="S1289" s="86"/>
      <c r="T1289" s="86"/>
      <c r="U1289" s="86"/>
      <c r="V1289" s="86"/>
      <c r="W1289" s="86"/>
      <c r="X1289" s="86"/>
      <c r="Y1289" s="86"/>
      <c r="Z1289" s="86"/>
      <c r="AA1289" s="86"/>
      <c r="AB1289" s="86"/>
      <c r="AC1289" s="86"/>
      <c r="AD1289" s="86"/>
      <c r="AE1289" s="86"/>
    </row>
    <row r="1290" spans="1:31">
      <c r="A1290" s="86"/>
      <c r="B1290" s="86"/>
      <c r="C1290" s="86"/>
      <c r="D1290" s="86"/>
      <c r="E1290" s="86"/>
      <c r="F1290" s="86"/>
      <c r="G1290" s="86"/>
      <c r="H1290" s="86"/>
      <c r="I1290" s="86"/>
      <c r="J1290" s="86"/>
      <c r="K1290" s="86"/>
      <c r="L1290" s="86"/>
      <c r="M1290" s="86"/>
      <c r="N1290" s="86"/>
      <c r="O1290" s="86"/>
      <c r="P1290" s="86"/>
      <c r="Q1290" s="86"/>
      <c r="R1290" s="86"/>
      <c r="S1290" s="86"/>
      <c r="T1290" s="86"/>
      <c r="U1290" s="86"/>
      <c r="V1290" s="86"/>
      <c r="W1290" s="86"/>
      <c r="X1290" s="86"/>
      <c r="Y1290" s="86"/>
      <c r="Z1290" s="86"/>
      <c r="AA1290" s="86"/>
      <c r="AB1290" s="86"/>
      <c r="AC1290" s="86"/>
      <c r="AD1290" s="86"/>
      <c r="AE1290" s="86"/>
    </row>
    <row r="1291" spans="1:31">
      <c r="A1291" s="86"/>
      <c r="B1291" s="86"/>
      <c r="C1291" s="86"/>
      <c r="D1291" s="86"/>
      <c r="E1291" s="86"/>
      <c r="F1291" s="86"/>
      <c r="G1291" s="86"/>
      <c r="H1291" s="86"/>
      <c r="I1291" s="86"/>
      <c r="J1291" s="86"/>
      <c r="K1291" s="86"/>
      <c r="L1291" s="86"/>
      <c r="M1291" s="86"/>
      <c r="N1291" s="86"/>
      <c r="O1291" s="86"/>
      <c r="P1291" s="86"/>
      <c r="Q1291" s="86"/>
      <c r="R1291" s="86"/>
      <c r="S1291" s="86"/>
      <c r="T1291" s="86"/>
      <c r="U1291" s="86"/>
      <c r="V1291" s="86"/>
      <c r="W1291" s="86"/>
      <c r="X1291" s="86"/>
      <c r="Y1291" s="86"/>
      <c r="Z1291" s="86"/>
      <c r="AA1291" s="86"/>
      <c r="AB1291" s="86"/>
      <c r="AC1291" s="86"/>
      <c r="AD1291" s="86"/>
      <c r="AE1291" s="86"/>
    </row>
    <row r="1292" spans="1:31">
      <c r="A1292" s="86"/>
      <c r="B1292" s="86"/>
      <c r="C1292" s="86"/>
      <c r="D1292" s="86"/>
      <c r="E1292" s="86"/>
      <c r="F1292" s="86"/>
      <c r="G1292" s="86"/>
      <c r="H1292" s="86"/>
      <c r="I1292" s="86"/>
      <c r="J1292" s="86"/>
      <c r="K1292" s="86"/>
      <c r="L1292" s="86"/>
      <c r="M1292" s="86"/>
      <c r="N1292" s="86"/>
      <c r="O1292" s="86"/>
      <c r="P1292" s="86"/>
      <c r="Q1292" s="86"/>
      <c r="R1292" s="86"/>
      <c r="S1292" s="86"/>
      <c r="T1292" s="86"/>
      <c r="U1292" s="86"/>
      <c r="V1292" s="86"/>
      <c r="W1292" s="86"/>
      <c r="X1292" s="86"/>
      <c r="Y1292" s="86"/>
      <c r="Z1292" s="86"/>
      <c r="AA1292" s="86"/>
      <c r="AB1292" s="86"/>
      <c r="AC1292" s="86"/>
      <c r="AD1292" s="86"/>
      <c r="AE1292" s="86"/>
    </row>
    <row r="1293" spans="1:31">
      <c r="A1293" s="86"/>
      <c r="B1293" s="86"/>
      <c r="C1293" s="86"/>
      <c r="D1293" s="86"/>
      <c r="E1293" s="86"/>
      <c r="F1293" s="86"/>
      <c r="G1293" s="86"/>
      <c r="H1293" s="86"/>
      <c r="I1293" s="86"/>
      <c r="J1293" s="86"/>
      <c r="K1293" s="86"/>
      <c r="L1293" s="86"/>
      <c r="M1293" s="86"/>
      <c r="N1293" s="86"/>
      <c r="O1293" s="86"/>
      <c r="P1293" s="86"/>
      <c r="Q1293" s="86"/>
      <c r="R1293" s="86"/>
      <c r="S1293" s="86"/>
      <c r="T1293" s="86"/>
      <c r="U1293" s="86"/>
      <c r="V1293" s="86"/>
      <c r="W1293" s="86"/>
      <c r="X1293" s="86"/>
      <c r="Y1293" s="86"/>
      <c r="Z1293" s="86"/>
      <c r="AA1293" s="86"/>
      <c r="AB1293" s="86"/>
      <c r="AC1293" s="86"/>
      <c r="AD1293" s="86"/>
      <c r="AE1293" s="86"/>
    </row>
    <row r="1294" spans="1:31">
      <c r="A1294" s="86"/>
      <c r="B1294" s="86"/>
      <c r="C1294" s="86"/>
      <c r="D1294" s="86"/>
      <c r="E1294" s="86"/>
      <c r="F1294" s="86"/>
      <c r="G1294" s="86"/>
      <c r="H1294" s="86"/>
      <c r="I1294" s="86"/>
      <c r="J1294" s="86"/>
      <c r="K1294" s="86"/>
      <c r="L1294" s="86"/>
      <c r="M1294" s="86"/>
      <c r="N1294" s="86"/>
      <c r="O1294" s="86"/>
      <c r="P1294" s="86"/>
      <c r="Q1294" s="86"/>
      <c r="R1294" s="86"/>
      <c r="S1294" s="86"/>
      <c r="T1294" s="86"/>
      <c r="U1294" s="86"/>
      <c r="V1294" s="86"/>
      <c r="W1294" s="86"/>
      <c r="X1294" s="86"/>
      <c r="Y1294" s="86"/>
      <c r="Z1294" s="86"/>
      <c r="AA1294" s="86"/>
      <c r="AB1294" s="86"/>
      <c r="AC1294" s="86"/>
      <c r="AD1294" s="86"/>
      <c r="AE1294" s="86"/>
    </row>
    <row r="1295" spans="1:31">
      <c r="A1295" s="86"/>
      <c r="B1295" s="86"/>
      <c r="C1295" s="86"/>
      <c r="D1295" s="86"/>
      <c r="E1295" s="86"/>
      <c r="F1295" s="86"/>
      <c r="G1295" s="86"/>
      <c r="H1295" s="86"/>
      <c r="I1295" s="86"/>
      <c r="J1295" s="86"/>
      <c r="K1295" s="86"/>
      <c r="L1295" s="86"/>
      <c r="M1295" s="86"/>
      <c r="N1295" s="86"/>
      <c r="O1295" s="86"/>
      <c r="P1295" s="86"/>
      <c r="Q1295" s="86"/>
      <c r="R1295" s="86"/>
      <c r="S1295" s="86"/>
      <c r="T1295" s="86"/>
      <c r="U1295" s="86"/>
      <c r="V1295" s="86"/>
      <c r="W1295" s="86"/>
      <c r="X1295" s="86"/>
      <c r="Y1295" s="86"/>
      <c r="Z1295" s="86"/>
      <c r="AA1295" s="86"/>
      <c r="AB1295" s="86"/>
      <c r="AC1295" s="86"/>
      <c r="AD1295" s="86"/>
      <c r="AE1295" s="86"/>
    </row>
    <row r="1296" spans="1:31">
      <c r="A1296" s="86"/>
      <c r="B1296" s="86"/>
      <c r="C1296" s="86"/>
      <c r="D1296" s="86"/>
      <c r="E1296" s="86"/>
      <c r="F1296" s="86"/>
      <c r="G1296" s="86"/>
      <c r="H1296" s="86"/>
      <c r="I1296" s="86"/>
      <c r="J1296" s="86"/>
      <c r="K1296" s="86"/>
      <c r="L1296" s="86"/>
      <c r="M1296" s="86"/>
      <c r="N1296" s="86"/>
      <c r="O1296" s="86"/>
      <c r="P1296" s="86"/>
      <c r="Q1296" s="86"/>
      <c r="R1296" s="86"/>
      <c r="S1296" s="86"/>
      <c r="T1296" s="86"/>
      <c r="U1296" s="86"/>
      <c r="V1296" s="86"/>
      <c r="W1296" s="86"/>
      <c r="X1296" s="86"/>
      <c r="Y1296" s="86"/>
      <c r="Z1296" s="86"/>
      <c r="AA1296" s="86"/>
      <c r="AB1296" s="86"/>
      <c r="AC1296" s="86"/>
      <c r="AD1296" s="86"/>
      <c r="AE1296" s="86"/>
    </row>
    <row r="1297" spans="1:31">
      <c r="A1297" s="86"/>
      <c r="B1297" s="86"/>
      <c r="C1297" s="86"/>
      <c r="D1297" s="86"/>
      <c r="E1297" s="86"/>
      <c r="F1297" s="86"/>
      <c r="G1297" s="86"/>
      <c r="H1297" s="86"/>
      <c r="I1297" s="86"/>
      <c r="J1297" s="86"/>
      <c r="K1297" s="86"/>
      <c r="L1297" s="86"/>
      <c r="M1297" s="86"/>
      <c r="N1297" s="86"/>
      <c r="O1297" s="86"/>
      <c r="P1297" s="86"/>
      <c r="Q1297" s="86"/>
      <c r="R1297" s="86"/>
      <c r="S1297" s="86"/>
      <c r="T1297" s="86"/>
      <c r="U1297" s="86"/>
      <c r="V1297" s="86"/>
      <c r="W1297" s="86"/>
      <c r="X1297" s="86"/>
      <c r="Y1297" s="86"/>
      <c r="Z1297" s="86"/>
      <c r="AA1297" s="86"/>
      <c r="AB1297" s="86"/>
      <c r="AC1297" s="86"/>
      <c r="AD1297" s="86"/>
      <c r="AE1297" s="86"/>
    </row>
    <row r="1298" spans="1:31">
      <c r="A1298" s="86"/>
      <c r="B1298" s="86"/>
      <c r="C1298" s="86"/>
      <c r="D1298" s="86"/>
      <c r="E1298" s="86"/>
      <c r="F1298" s="86"/>
      <c r="G1298" s="86"/>
      <c r="H1298" s="86"/>
      <c r="I1298" s="86"/>
      <c r="J1298" s="86"/>
      <c r="K1298" s="86"/>
      <c r="L1298" s="86"/>
      <c r="M1298" s="86"/>
      <c r="N1298" s="86"/>
      <c r="O1298" s="86"/>
      <c r="P1298" s="86"/>
      <c r="Q1298" s="86"/>
      <c r="R1298" s="86"/>
      <c r="S1298" s="86"/>
      <c r="T1298" s="86"/>
      <c r="U1298" s="86"/>
      <c r="V1298" s="86"/>
      <c r="W1298" s="86"/>
      <c r="X1298" s="86"/>
      <c r="Y1298" s="86"/>
      <c r="Z1298" s="86"/>
      <c r="AA1298" s="86"/>
      <c r="AB1298" s="86"/>
      <c r="AC1298" s="86"/>
      <c r="AD1298" s="86"/>
      <c r="AE1298" s="86"/>
    </row>
    <row r="1299" spans="1:31">
      <c r="A1299" s="86"/>
      <c r="B1299" s="86"/>
      <c r="C1299" s="86"/>
      <c r="D1299" s="86"/>
      <c r="E1299" s="86"/>
      <c r="F1299" s="86"/>
      <c r="G1299" s="86"/>
      <c r="H1299" s="86"/>
      <c r="I1299" s="86"/>
      <c r="J1299" s="86"/>
      <c r="K1299" s="86"/>
      <c r="L1299" s="86"/>
      <c r="M1299" s="86"/>
      <c r="N1299" s="86"/>
      <c r="O1299" s="86"/>
      <c r="P1299" s="86"/>
      <c r="Q1299" s="86"/>
      <c r="R1299" s="86"/>
      <c r="S1299" s="86"/>
      <c r="T1299" s="86"/>
      <c r="U1299" s="86"/>
      <c r="V1299" s="86"/>
      <c r="W1299" s="86"/>
      <c r="X1299" s="86"/>
      <c r="Y1299" s="86"/>
      <c r="Z1299" s="86"/>
      <c r="AA1299" s="86"/>
      <c r="AB1299" s="86"/>
      <c r="AC1299" s="86"/>
      <c r="AD1299" s="86"/>
      <c r="AE1299" s="86"/>
    </row>
    <row r="1300" spans="1:31">
      <c r="A1300" s="86"/>
      <c r="B1300" s="86"/>
      <c r="C1300" s="86"/>
      <c r="D1300" s="86"/>
      <c r="E1300" s="86"/>
      <c r="F1300" s="86"/>
      <c r="G1300" s="86"/>
      <c r="H1300" s="86"/>
      <c r="I1300" s="86"/>
      <c r="J1300" s="86"/>
      <c r="K1300" s="86"/>
      <c r="L1300" s="86"/>
      <c r="M1300" s="86"/>
      <c r="N1300" s="86"/>
      <c r="O1300" s="86"/>
      <c r="P1300" s="86"/>
      <c r="Q1300" s="86"/>
      <c r="R1300" s="86"/>
      <c r="S1300" s="86"/>
      <c r="T1300" s="86"/>
      <c r="U1300" s="86"/>
      <c r="V1300" s="86"/>
      <c r="W1300" s="86"/>
      <c r="X1300" s="86"/>
      <c r="Y1300" s="86"/>
      <c r="Z1300" s="86"/>
      <c r="AA1300" s="86"/>
      <c r="AB1300" s="86"/>
      <c r="AC1300" s="86"/>
      <c r="AD1300" s="86"/>
      <c r="AE1300" s="86"/>
    </row>
    <row r="1301" spans="1:31">
      <c r="A1301" s="86"/>
      <c r="B1301" s="86"/>
      <c r="C1301" s="86"/>
      <c r="D1301" s="86"/>
      <c r="E1301" s="86"/>
      <c r="F1301" s="86"/>
      <c r="G1301" s="86"/>
      <c r="H1301" s="86"/>
      <c r="I1301" s="86"/>
      <c r="J1301" s="86"/>
      <c r="K1301" s="86"/>
      <c r="L1301" s="86"/>
      <c r="M1301" s="86"/>
      <c r="N1301" s="86"/>
      <c r="O1301" s="86"/>
      <c r="P1301" s="86"/>
      <c r="Q1301" s="86"/>
      <c r="R1301" s="86"/>
      <c r="S1301" s="86"/>
      <c r="T1301" s="86"/>
      <c r="U1301" s="86"/>
      <c r="V1301" s="86"/>
      <c r="W1301" s="86"/>
      <c r="X1301" s="86"/>
      <c r="Y1301" s="86"/>
      <c r="Z1301" s="86"/>
      <c r="AA1301" s="86"/>
      <c r="AB1301" s="86"/>
      <c r="AC1301" s="86"/>
      <c r="AD1301" s="86"/>
      <c r="AE1301" s="86"/>
    </row>
    <row r="1302" spans="1:31">
      <c r="A1302" s="86"/>
      <c r="B1302" s="86"/>
      <c r="C1302" s="86"/>
      <c r="D1302" s="86"/>
      <c r="E1302" s="86"/>
      <c r="F1302" s="86"/>
      <c r="G1302" s="86"/>
      <c r="H1302" s="86"/>
      <c r="I1302" s="86"/>
      <c r="J1302" s="86"/>
      <c r="K1302" s="86"/>
      <c r="L1302" s="86"/>
      <c r="M1302" s="86"/>
      <c r="N1302" s="86"/>
      <c r="O1302" s="86"/>
      <c r="P1302" s="86"/>
      <c r="Q1302" s="86"/>
      <c r="R1302" s="86"/>
      <c r="S1302" s="86"/>
      <c r="T1302" s="86"/>
      <c r="U1302" s="86"/>
      <c r="V1302" s="86"/>
      <c r="W1302" s="86"/>
      <c r="X1302" s="86"/>
      <c r="Y1302" s="86"/>
      <c r="Z1302" s="86"/>
      <c r="AA1302" s="86"/>
      <c r="AB1302" s="86"/>
      <c r="AC1302" s="86"/>
      <c r="AD1302" s="86"/>
      <c r="AE1302" s="86"/>
    </row>
    <row r="1303" spans="1:31">
      <c r="A1303" s="86"/>
      <c r="B1303" s="86"/>
      <c r="C1303" s="86"/>
      <c r="D1303" s="86"/>
      <c r="E1303" s="86"/>
      <c r="F1303" s="86"/>
      <c r="G1303" s="86"/>
      <c r="H1303" s="86"/>
      <c r="I1303" s="86"/>
      <c r="J1303" s="86"/>
      <c r="K1303" s="86"/>
      <c r="L1303" s="86"/>
      <c r="M1303" s="86"/>
      <c r="N1303" s="86"/>
      <c r="O1303" s="86"/>
      <c r="P1303" s="86"/>
      <c r="Q1303" s="86"/>
      <c r="R1303" s="86"/>
      <c r="S1303" s="86"/>
      <c r="T1303" s="86"/>
      <c r="U1303" s="86"/>
      <c r="V1303" s="86"/>
      <c r="W1303" s="86"/>
      <c r="X1303" s="86"/>
      <c r="Y1303" s="86"/>
      <c r="Z1303" s="86"/>
      <c r="AA1303" s="86"/>
      <c r="AB1303" s="86"/>
      <c r="AC1303" s="86"/>
      <c r="AD1303" s="86"/>
      <c r="AE1303" s="86"/>
    </row>
    <row r="1304" spans="1:31">
      <c r="A1304" s="86"/>
      <c r="B1304" s="86"/>
      <c r="C1304" s="86"/>
      <c r="D1304" s="86"/>
      <c r="E1304" s="86"/>
      <c r="F1304" s="86"/>
      <c r="G1304" s="86"/>
      <c r="H1304" s="86"/>
      <c r="I1304" s="86"/>
      <c r="J1304" s="86"/>
      <c r="K1304" s="86"/>
      <c r="L1304" s="86"/>
      <c r="M1304" s="86"/>
      <c r="N1304" s="86"/>
      <c r="O1304" s="86"/>
      <c r="P1304" s="86"/>
      <c r="Q1304" s="86"/>
      <c r="R1304" s="86"/>
      <c r="S1304" s="86"/>
      <c r="T1304" s="86"/>
      <c r="U1304" s="86"/>
      <c r="V1304" s="86"/>
      <c r="W1304" s="86"/>
      <c r="X1304" s="86"/>
      <c r="Y1304" s="86"/>
      <c r="Z1304" s="86"/>
      <c r="AA1304" s="86"/>
      <c r="AB1304" s="86"/>
      <c r="AC1304" s="86"/>
      <c r="AD1304" s="86"/>
      <c r="AE1304" s="86"/>
    </row>
    <row r="1305" spans="1:31">
      <c r="A1305" s="86"/>
      <c r="B1305" s="86"/>
      <c r="C1305" s="86"/>
      <c r="D1305" s="86"/>
      <c r="E1305" s="86"/>
      <c r="F1305" s="86"/>
      <c r="G1305" s="86"/>
      <c r="H1305" s="86"/>
      <c r="I1305" s="86"/>
      <c r="J1305" s="86"/>
      <c r="K1305" s="86"/>
      <c r="L1305" s="86"/>
      <c r="M1305" s="86"/>
      <c r="N1305" s="86"/>
      <c r="O1305" s="86"/>
      <c r="P1305" s="86"/>
      <c r="Q1305" s="86"/>
      <c r="R1305" s="86"/>
      <c r="S1305" s="86"/>
      <c r="T1305" s="86"/>
      <c r="U1305" s="86"/>
      <c r="V1305" s="86"/>
      <c r="W1305" s="86"/>
      <c r="X1305" s="86"/>
      <c r="Y1305" s="86"/>
      <c r="Z1305" s="86"/>
      <c r="AA1305" s="86"/>
      <c r="AB1305" s="86"/>
      <c r="AC1305" s="86"/>
      <c r="AD1305" s="86"/>
      <c r="AE1305" s="86"/>
    </row>
    <row r="1306" spans="1:31">
      <c r="A1306" s="86"/>
      <c r="B1306" s="86"/>
      <c r="C1306" s="86"/>
      <c r="D1306" s="86"/>
      <c r="E1306" s="86"/>
      <c r="F1306" s="86"/>
      <c r="G1306" s="86"/>
      <c r="H1306" s="86"/>
      <c r="I1306" s="86"/>
      <c r="J1306" s="86"/>
      <c r="K1306" s="86"/>
      <c r="L1306" s="86"/>
      <c r="M1306" s="86"/>
      <c r="N1306" s="86"/>
      <c r="O1306" s="86"/>
      <c r="P1306" s="86"/>
      <c r="Q1306" s="86"/>
      <c r="R1306" s="86"/>
      <c r="S1306" s="86"/>
      <c r="T1306" s="86"/>
      <c r="U1306" s="86"/>
      <c r="V1306" s="86"/>
      <c r="W1306" s="86"/>
      <c r="X1306" s="86"/>
      <c r="Y1306" s="86"/>
      <c r="Z1306" s="86"/>
      <c r="AA1306" s="86"/>
      <c r="AB1306" s="86"/>
      <c r="AC1306" s="86"/>
      <c r="AD1306" s="86"/>
      <c r="AE1306" s="86"/>
    </row>
    <row r="1307" spans="1:31">
      <c r="A1307" s="86"/>
      <c r="B1307" s="86"/>
      <c r="C1307" s="86"/>
      <c r="D1307" s="86"/>
      <c r="E1307" s="86"/>
      <c r="F1307" s="86"/>
      <c r="G1307" s="86"/>
      <c r="H1307" s="86"/>
      <c r="I1307" s="86"/>
      <c r="J1307" s="86"/>
      <c r="K1307" s="86"/>
      <c r="L1307" s="86"/>
      <c r="M1307" s="86"/>
      <c r="N1307" s="86"/>
      <c r="O1307" s="86"/>
      <c r="P1307" s="86"/>
      <c r="Q1307" s="86"/>
      <c r="R1307" s="86"/>
      <c r="S1307" s="86"/>
      <c r="T1307" s="86"/>
      <c r="U1307" s="86"/>
      <c r="V1307" s="86"/>
      <c r="W1307" s="86"/>
      <c r="X1307" s="86"/>
      <c r="Y1307" s="86"/>
      <c r="Z1307" s="86"/>
      <c r="AA1307" s="86"/>
      <c r="AB1307" s="86"/>
      <c r="AC1307" s="86"/>
      <c r="AD1307" s="86"/>
      <c r="AE1307" s="86"/>
    </row>
    <row r="1308" spans="1:31">
      <c r="A1308" s="86"/>
      <c r="B1308" s="86"/>
      <c r="C1308" s="86"/>
      <c r="D1308" s="86"/>
      <c r="E1308" s="86"/>
      <c r="F1308" s="86"/>
      <c r="G1308" s="86"/>
      <c r="H1308" s="86"/>
      <c r="I1308" s="86"/>
      <c r="J1308" s="86"/>
      <c r="K1308" s="86"/>
      <c r="L1308" s="86"/>
      <c r="M1308" s="86"/>
      <c r="N1308" s="86"/>
      <c r="O1308" s="86"/>
      <c r="P1308" s="86"/>
      <c r="Q1308" s="86"/>
      <c r="R1308" s="86"/>
      <c r="S1308" s="86"/>
      <c r="T1308" s="86"/>
      <c r="U1308" s="86"/>
      <c r="V1308" s="86"/>
      <c r="W1308" s="86"/>
      <c r="X1308" s="86"/>
      <c r="Y1308" s="86"/>
      <c r="Z1308" s="86"/>
      <c r="AA1308" s="86"/>
      <c r="AB1308" s="86"/>
      <c r="AC1308" s="86"/>
      <c r="AD1308" s="86"/>
      <c r="AE1308" s="86"/>
    </row>
    <row r="1309" spans="1:31">
      <c r="A1309" s="86"/>
      <c r="B1309" s="86"/>
      <c r="C1309" s="86"/>
      <c r="D1309" s="86"/>
      <c r="E1309" s="86"/>
      <c r="F1309" s="86"/>
      <c r="G1309" s="86"/>
      <c r="H1309" s="86"/>
      <c r="I1309" s="86"/>
      <c r="J1309" s="86"/>
      <c r="K1309" s="86"/>
      <c r="L1309" s="86"/>
      <c r="M1309" s="86"/>
      <c r="N1309" s="86"/>
      <c r="O1309" s="86"/>
      <c r="P1309" s="86"/>
      <c r="Q1309" s="86"/>
      <c r="R1309" s="86"/>
      <c r="S1309" s="86"/>
      <c r="T1309" s="86"/>
      <c r="U1309" s="86"/>
      <c r="V1309" s="86"/>
      <c r="W1309" s="86"/>
      <c r="X1309" s="86"/>
      <c r="Y1309" s="86"/>
      <c r="Z1309" s="86"/>
      <c r="AA1309" s="86"/>
      <c r="AB1309" s="86"/>
      <c r="AC1309" s="86"/>
      <c r="AD1309" s="86"/>
      <c r="AE1309" s="86"/>
    </row>
    <row r="1310" spans="1:31">
      <c r="A1310" s="86"/>
      <c r="B1310" s="86"/>
      <c r="C1310" s="86"/>
      <c r="D1310" s="86"/>
      <c r="E1310" s="86"/>
      <c r="F1310" s="86"/>
      <c r="G1310" s="86"/>
      <c r="H1310" s="86"/>
      <c r="I1310" s="86"/>
      <c r="J1310" s="86"/>
      <c r="K1310" s="86"/>
      <c r="L1310" s="86"/>
      <c r="M1310" s="86"/>
      <c r="N1310" s="86"/>
      <c r="O1310" s="86"/>
      <c r="P1310" s="86"/>
      <c r="Q1310" s="86"/>
      <c r="R1310" s="86"/>
      <c r="S1310" s="86"/>
      <c r="T1310" s="86"/>
      <c r="U1310" s="86"/>
      <c r="V1310" s="86"/>
      <c r="W1310" s="86"/>
      <c r="X1310" s="86"/>
      <c r="Y1310" s="86"/>
      <c r="Z1310" s="86"/>
      <c r="AA1310" s="86"/>
      <c r="AB1310" s="86"/>
      <c r="AC1310" s="86"/>
      <c r="AD1310" s="86"/>
      <c r="AE1310" s="86"/>
    </row>
    <row r="1311" spans="1:31">
      <c r="A1311" s="86"/>
      <c r="B1311" s="86"/>
      <c r="C1311" s="86"/>
      <c r="D1311" s="86"/>
      <c r="E1311" s="86"/>
      <c r="F1311" s="86"/>
      <c r="G1311" s="86"/>
      <c r="H1311" s="86"/>
      <c r="I1311" s="86"/>
      <c r="J1311" s="86"/>
      <c r="K1311" s="86"/>
      <c r="L1311" s="86"/>
      <c r="M1311" s="86"/>
      <c r="N1311" s="86"/>
      <c r="O1311" s="86"/>
      <c r="P1311" s="86"/>
      <c r="Q1311" s="86"/>
      <c r="R1311" s="86"/>
      <c r="S1311" s="86"/>
      <c r="T1311" s="86"/>
      <c r="U1311" s="86"/>
      <c r="V1311" s="86"/>
      <c r="W1311" s="86"/>
      <c r="X1311" s="86"/>
      <c r="Y1311" s="86"/>
      <c r="Z1311" s="86"/>
      <c r="AA1311" s="86"/>
      <c r="AB1311" s="86"/>
      <c r="AC1311" s="86"/>
      <c r="AD1311" s="86"/>
      <c r="AE1311" s="86"/>
    </row>
    <row r="1312" spans="1:31">
      <c r="A1312" s="86"/>
      <c r="B1312" s="86"/>
      <c r="C1312" s="86"/>
      <c r="D1312" s="86"/>
      <c r="E1312" s="86"/>
      <c r="F1312" s="86"/>
      <c r="G1312" s="86"/>
      <c r="H1312" s="86"/>
      <c r="I1312" s="86"/>
      <c r="J1312" s="86"/>
      <c r="K1312" s="86"/>
      <c r="L1312" s="86"/>
      <c r="M1312" s="86"/>
      <c r="N1312" s="86"/>
      <c r="O1312" s="86"/>
      <c r="P1312" s="86"/>
      <c r="Q1312" s="86"/>
      <c r="R1312" s="86"/>
      <c r="S1312" s="86"/>
      <c r="T1312" s="86"/>
      <c r="U1312" s="86"/>
      <c r="V1312" s="86"/>
      <c r="W1312" s="86"/>
      <c r="X1312" s="86"/>
      <c r="Y1312" s="86"/>
      <c r="Z1312" s="86"/>
      <c r="AA1312" s="86"/>
      <c r="AB1312" s="86"/>
      <c r="AC1312" s="86"/>
      <c r="AD1312" s="86"/>
      <c r="AE1312" s="86"/>
    </row>
    <row r="1313" spans="1:31">
      <c r="A1313" s="86"/>
      <c r="B1313" s="86"/>
      <c r="C1313" s="86"/>
      <c r="D1313" s="86"/>
      <c r="E1313" s="86"/>
      <c r="F1313" s="86"/>
      <c r="G1313" s="86"/>
      <c r="H1313" s="86"/>
      <c r="I1313" s="86"/>
      <c r="J1313" s="86"/>
      <c r="K1313" s="86"/>
      <c r="L1313" s="86"/>
      <c r="M1313" s="86"/>
      <c r="N1313" s="86"/>
      <c r="O1313" s="86"/>
      <c r="P1313" s="86"/>
      <c r="Q1313" s="86"/>
      <c r="R1313" s="86"/>
      <c r="S1313" s="86"/>
      <c r="T1313" s="86"/>
      <c r="U1313" s="86"/>
      <c r="V1313" s="86"/>
      <c r="W1313" s="86"/>
      <c r="X1313" s="86"/>
      <c r="Y1313" s="86"/>
      <c r="Z1313" s="86"/>
      <c r="AA1313" s="86"/>
      <c r="AB1313" s="86"/>
      <c r="AC1313" s="86"/>
      <c r="AD1313" s="86"/>
      <c r="AE1313" s="86"/>
    </row>
    <row r="1314" spans="1:31">
      <c r="A1314" s="86"/>
      <c r="B1314" s="86"/>
      <c r="C1314" s="86"/>
      <c r="D1314" s="86"/>
      <c r="E1314" s="86"/>
      <c r="F1314" s="86"/>
      <c r="G1314" s="86"/>
      <c r="H1314" s="86"/>
      <c r="I1314" s="86"/>
      <c r="J1314" s="86"/>
      <c r="K1314" s="86"/>
      <c r="L1314" s="86"/>
      <c r="M1314" s="86"/>
      <c r="N1314" s="86"/>
      <c r="O1314" s="86"/>
      <c r="P1314" s="86"/>
      <c r="Q1314" s="86"/>
      <c r="R1314" s="86"/>
      <c r="S1314" s="86"/>
      <c r="T1314" s="86"/>
      <c r="U1314" s="86"/>
      <c r="V1314" s="86"/>
      <c r="W1314" s="86"/>
      <c r="X1314" s="86"/>
      <c r="Y1314" s="86"/>
      <c r="Z1314" s="86"/>
      <c r="AA1314" s="86"/>
      <c r="AB1314" s="86"/>
      <c r="AC1314" s="86"/>
      <c r="AD1314" s="86"/>
      <c r="AE1314" s="86"/>
    </row>
    <row r="1315" spans="1:31">
      <c r="A1315" s="86"/>
      <c r="B1315" s="86"/>
      <c r="C1315" s="86"/>
      <c r="D1315" s="86"/>
      <c r="E1315" s="86"/>
      <c r="F1315" s="86"/>
      <c r="G1315" s="86"/>
      <c r="H1315" s="86"/>
      <c r="I1315" s="86"/>
      <c r="J1315" s="86"/>
      <c r="K1315" s="86"/>
      <c r="L1315" s="86"/>
      <c r="M1315" s="86"/>
      <c r="N1315" s="86"/>
      <c r="O1315" s="86"/>
      <c r="P1315" s="86"/>
      <c r="Q1315" s="86"/>
      <c r="R1315" s="86"/>
      <c r="S1315" s="86"/>
      <c r="T1315" s="86"/>
      <c r="U1315" s="86"/>
      <c r="V1315" s="86"/>
      <c r="W1315" s="86"/>
      <c r="X1315" s="86"/>
      <c r="Y1315" s="86"/>
      <c r="Z1315" s="86"/>
      <c r="AA1315" s="86"/>
      <c r="AB1315" s="86"/>
      <c r="AC1315" s="86"/>
      <c r="AD1315" s="86"/>
      <c r="AE1315" s="86"/>
    </row>
    <row r="1316" spans="1:31">
      <c r="A1316" s="86"/>
      <c r="B1316" s="86"/>
      <c r="C1316" s="86"/>
      <c r="D1316" s="86"/>
      <c r="E1316" s="86"/>
      <c r="F1316" s="86"/>
      <c r="G1316" s="86"/>
      <c r="H1316" s="86"/>
      <c r="I1316" s="86"/>
      <c r="J1316" s="86"/>
      <c r="K1316" s="86"/>
      <c r="L1316" s="86"/>
      <c r="M1316" s="86"/>
      <c r="N1316" s="86"/>
      <c r="O1316" s="86"/>
      <c r="P1316" s="86"/>
      <c r="Q1316" s="86"/>
      <c r="R1316" s="86"/>
      <c r="S1316" s="86"/>
      <c r="T1316" s="86"/>
      <c r="U1316" s="86"/>
      <c r="V1316" s="86"/>
      <c r="W1316" s="86"/>
      <c r="X1316" s="86"/>
      <c r="Y1316" s="86"/>
      <c r="Z1316" s="86"/>
      <c r="AA1316" s="86"/>
      <c r="AB1316" s="86"/>
      <c r="AC1316" s="86"/>
      <c r="AD1316" s="86"/>
      <c r="AE1316" s="86"/>
    </row>
    <row r="1317" spans="1:31">
      <c r="A1317" s="86"/>
      <c r="B1317" s="86"/>
      <c r="C1317" s="86"/>
      <c r="D1317" s="86"/>
      <c r="E1317" s="86"/>
      <c r="F1317" s="86"/>
      <c r="G1317" s="86"/>
      <c r="H1317" s="86"/>
      <c r="I1317" s="86"/>
      <c r="J1317" s="86"/>
      <c r="K1317" s="86"/>
      <c r="L1317" s="86"/>
      <c r="M1317" s="86"/>
      <c r="N1317" s="86"/>
      <c r="O1317" s="86"/>
      <c r="P1317" s="86"/>
      <c r="Q1317" s="86"/>
      <c r="R1317" s="86"/>
      <c r="S1317" s="86"/>
      <c r="T1317" s="86"/>
      <c r="U1317" s="86"/>
      <c r="V1317" s="86"/>
      <c r="W1317" s="86"/>
      <c r="X1317" s="86"/>
      <c r="Y1317" s="86"/>
      <c r="Z1317" s="86"/>
      <c r="AA1317" s="86"/>
      <c r="AB1317" s="86"/>
      <c r="AC1317" s="86"/>
      <c r="AD1317" s="86"/>
      <c r="AE1317" s="86"/>
    </row>
    <row r="1318" spans="1:31">
      <c r="A1318" s="86"/>
      <c r="B1318" s="86"/>
      <c r="C1318" s="86"/>
      <c r="D1318" s="86"/>
      <c r="E1318" s="86"/>
      <c r="F1318" s="86"/>
      <c r="G1318" s="86"/>
      <c r="H1318" s="86"/>
      <c r="I1318" s="86"/>
      <c r="J1318" s="86"/>
      <c r="K1318" s="86"/>
      <c r="L1318" s="86"/>
      <c r="M1318" s="86"/>
      <c r="N1318" s="86"/>
      <c r="O1318" s="86"/>
      <c r="P1318" s="86"/>
      <c r="Q1318" s="86"/>
      <c r="R1318" s="86"/>
      <c r="S1318" s="86"/>
      <c r="T1318" s="86"/>
      <c r="U1318" s="86"/>
      <c r="V1318" s="86"/>
      <c r="W1318" s="86"/>
      <c r="X1318" s="86"/>
      <c r="Y1318" s="86"/>
      <c r="Z1318" s="86"/>
      <c r="AA1318" s="86"/>
      <c r="AB1318" s="86"/>
      <c r="AC1318" s="86"/>
      <c r="AD1318" s="86"/>
      <c r="AE1318" s="86"/>
    </row>
    <row r="1319" spans="1:31">
      <c r="A1319" s="86"/>
      <c r="B1319" s="86"/>
      <c r="C1319" s="86"/>
      <c r="D1319" s="86"/>
      <c r="E1319" s="86"/>
      <c r="F1319" s="86"/>
      <c r="G1319" s="86"/>
      <c r="H1319" s="86"/>
      <c r="I1319" s="86"/>
      <c r="J1319" s="86"/>
      <c r="K1319" s="86"/>
      <c r="L1319" s="86"/>
      <c r="M1319" s="86"/>
      <c r="N1319" s="86"/>
      <c r="O1319" s="86"/>
      <c r="P1319" s="86"/>
      <c r="Q1319" s="86"/>
      <c r="R1319" s="86"/>
      <c r="S1319" s="86"/>
      <c r="T1319" s="86"/>
      <c r="U1319" s="86"/>
      <c r="V1319" s="86"/>
      <c r="W1319" s="86"/>
      <c r="X1319" s="86"/>
      <c r="Y1319" s="86"/>
      <c r="Z1319" s="86"/>
      <c r="AA1319" s="86"/>
      <c r="AB1319" s="86"/>
      <c r="AC1319" s="86"/>
      <c r="AD1319" s="86"/>
      <c r="AE1319" s="86"/>
    </row>
    <row r="1320" spans="1:31">
      <c r="A1320" s="86"/>
      <c r="B1320" s="86"/>
      <c r="C1320" s="86"/>
      <c r="D1320" s="86"/>
      <c r="E1320" s="86"/>
      <c r="F1320" s="86"/>
      <c r="G1320" s="86"/>
      <c r="H1320" s="86"/>
      <c r="I1320" s="86"/>
      <c r="J1320" s="86"/>
      <c r="K1320" s="86"/>
      <c r="L1320" s="86"/>
      <c r="M1320" s="86"/>
      <c r="N1320" s="86"/>
      <c r="O1320" s="86"/>
      <c r="P1320" s="86"/>
      <c r="Q1320" s="86"/>
      <c r="R1320" s="86"/>
      <c r="S1320" s="86"/>
      <c r="T1320" s="86"/>
      <c r="U1320" s="86"/>
      <c r="V1320" s="86"/>
      <c r="W1320" s="86"/>
      <c r="X1320" s="86"/>
      <c r="Y1320" s="86"/>
      <c r="Z1320" s="86"/>
      <c r="AA1320" s="86"/>
      <c r="AB1320" s="86"/>
      <c r="AC1320" s="86"/>
      <c r="AD1320" s="86"/>
      <c r="AE1320" s="86"/>
    </row>
    <row r="1321" spans="1:31">
      <c r="A1321" s="86"/>
      <c r="B1321" s="86"/>
      <c r="C1321" s="86"/>
      <c r="D1321" s="86"/>
      <c r="E1321" s="86"/>
      <c r="F1321" s="86"/>
      <c r="G1321" s="86"/>
      <c r="H1321" s="86"/>
      <c r="I1321" s="86"/>
      <c r="J1321" s="86"/>
      <c r="K1321" s="86"/>
      <c r="L1321" s="86"/>
      <c r="M1321" s="86"/>
      <c r="N1321" s="86"/>
      <c r="O1321" s="86"/>
      <c r="P1321" s="86"/>
      <c r="Q1321" s="86"/>
      <c r="R1321" s="86"/>
      <c r="S1321" s="86"/>
      <c r="T1321" s="86"/>
      <c r="U1321" s="86"/>
      <c r="V1321" s="86"/>
      <c r="W1321" s="86"/>
      <c r="X1321" s="86"/>
      <c r="Y1321" s="86"/>
      <c r="Z1321" s="86"/>
      <c r="AA1321" s="86"/>
      <c r="AB1321" s="86"/>
      <c r="AC1321" s="86"/>
      <c r="AD1321" s="86"/>
      <c r="AE1321" s="86"/>
    </row>
    <row r="1322" spans="1:31">
      <c r="A1322" s="86"/>
      <c r="B1322" s="86"/>
      <c r="C1322" s="86"/>
      <c r="D1322" s="86"/>
      <c r="E1322" s="86"/>
      <c r="F1322" s="86"/>
      <c r="G1322" s="86"/>
      <c r="H1322" s="86"/>
      <c r="I1322" s="86"/>
      <c r="J1322" s="86"/>
      <c r="K1322" s="86"/>
      <c r="L1322" s="86"/>
      <c r="M1322" s="86"/>
      <c r="N1322" s="86"/>
      <c r="O1322" s="86"/>
      <c r="P1322" s="86"/>
      <c r="Q1322" s="86"/>
      <c r="R1322" s="86"/>
      <c r="S1322" s="86"/>
      <c r="T1322" s="86"/>
      <c r="U1322" s="86"/>
      <c r="V1322" s="86"/>
      <c r="W1322" s="86"/>
      <c r="X1322" s="86"/>
      <c r="Y1322" s="86"/>
      <c r="Z1322" s="86"/>
      <c r="AA1322" s="86"/>
      <c r="AB1322" s="86"/>
      <c r="AC1322" s="86"/>
      <c r="AD1322" s="86"/>
      <c r="AE1322" s="86"/>
    </row>
    <row r="1323" spans="1:31">
      <c r="A1323" s="86"/>
      <c r="B1323" s="86"/>
      <c r="C1323" s="86"/>
      <c r="D1323" s="86"/>
      <c r="E1323" s="86"/>
      <c r="F1323" s="86"/>
      <c r="G1323" s="86"/>
      <c r="H1323" s="86"/>
      <c r="I1323" s="86"/>
      <c r="J1323" s="86"/>
      <c r="K1323" s="86"/>
      <c r="L1323" s="86"/>
      <c r="M1323" s="86"/>
      <c r="N1323" s="86"/>
      <c r="O1323" s="86"/>
      <c r="P1323" s="86"/>
      <c r="Q1323" s="86"/>
      <c r="R1323" s="86"/>
      <c r="S1323" s="86"/>
      <c r="T1323" s="86"/>
      <c r="U1323" s="86"/>
      <c r="V1323" s="86"/>
      <c r="W1323" s="86"/>
      <c r="X1323" s="86"/>
      <c r="Y1323" s="86"/>
      <c r="Z1323" s="86"/>
      <c r="AA1323" s="86"/>
      <c r="AB1323" s="86"/>
      <c r="AC1323" s="86"/>
      <c r="AD1323" s="86"/>
      <c r="AE1323" s="86"/>
    </row>
    <row r="1324" spans="1:31">
      <c r="A1324" s="86"/>
      <c r="B1324" s="86"/>
      <c r="C1324" s="86"/>
      <c r="D1324" s="86"/>
      <c r="E1324" s="86"/>
      <c r="F1324" s="86"/>
      <c r="G1324" s="86"/>
      <c r="H1324" s="86"/>
      <c r="I1324" s="86"/>
      <c r="J1324" s="86"/>
      <c r="K1324" s="86"/>
      <c r="L1324" s="86"/>
      <c r="M1324" s="86"/>
      <c r="N1324" s="86"/>
      <c r="O1324" s="86"/>
      <c r="P1324" s="86"/>
      <c r="Q1324" s="86"/>
      <c r="R1324" s="86"/>
      <c r="S1324" s="86"/>
      <c r="T1324" s="86"/>
      <c r="U1324" s="86"/>
      <c r="V1324" s="86"/>
      <c r="W1324" s="86"/>
      <c r="X1324" s="86"/>
      <c r="Y1324" s="86"/>
      <c r="Z1324" s="86"/>
      <c r="AA1324" s="86"/>
      <c r="AB1324" s="86"/>
      <c r="AC1324" s="86"/>
      <c r="AD1324" s="86"/>
      <c r="AE1324" s="86"/>
    </row>
    <row r="1325" spans="1:31">
      <c r="A1325" s="86"/>
      <c r="B1325" s="86"/>
      <c r="C1325" s="86"/>
      <c r="D1325" s="86"/>
      <c r="E1325" s="86"/>
      <c r="F1325" s="86"/>
      <c r="G1325" s="86"/>
      <c r="H1325" s="86"/>
      <c r="I1325" s="86"/>
      <c r="J1325" s="86"/>
      <c r="K1325" s="86"/>
      <c r="L1325" s="86"/>
      <c r="M1325" s="86"/>
      <c r="N1325" s="86"/>
      <c r="O1325" s="86"/>
      <c r="P1325" s="86"/>
      <c r="Q1325" s="86"/>
      <c r="R1325" s="86"/>
      <c r="S1325" s="86"/>
      <c r="T1325" s="86"/>
      <c r="U1325" s="86"/>
      <c r="V1325" s="86"/>
      <c r="W1325" s="86"/>
      <c r="X1325" s="86"/>
      <c r="Y1325" s="86"/>
      <c r="Z1325" s="86"/>
      <c r="AA1325" s="86"/>
      <c r="AB1325" s="86"/>
      <c r="AC1325" s="86"/>
      <c r="AD1325" s="86"/>
      <c r="AE1325" s="86"/>
    </row>
    <row r="1326" spans="1:31">
      <c r="A1326" s="86"/>
      <c r="B1326" s="86"/>
      <c r="C1326" s="86"/>
      <c r="D1326" s="86"/>
      <c r="E1326" s="86"/>
      <c r="F1326" s="86"/>
      <c r="G1326" s="86"/>
      <c r="H1326" s="86"/>
      <c r="I1326" s="86"/>
      <c r="J1326" s="86"/>
      <c r="K1326" s="86"/>
      <c r="L1326" s="86"/>
      <c r="M1326" s="86"/>
      <c r="N1326" s="86"/>
      <c r="O1326" s="86"/>
      <c r="P1326" s="86"/>
      <c r="Q1326" s="86"/>
      <c r="R1326" s="86"/>
      <c r="S1326" s="86"/>
      <c r="T1326" s="86"/>
      <c r="U1326" s="86"/>
      <c r="V1326" s="86"/>
      <c r="W1326" s="86"/>
      <c r="X1326" s="86"/>
      <c r="Y1326" s="86"/>
      <c r="Z1326" s="86"/>
      <c r="AA1326" s="86"/>
      <c r="AB1326" s="86"/>
      <c r="AC1326" s="86"/>
      <c r="AD1326" s="86"/>
      <c r="AE1326" s="86"/>
    </row>
    <row r="1327" spans="1:31">
      <c r="A1327" s="86"/>
      <c r="B1327" s="86"/>
      <c r="C1327" s="86"/>
      <c r="D1327" s="86"/>
      <c r="E1327" s="86"/>
      <c r="F1327" s="86"/>
      <c r="G1327" s="86"/>
      <c r="H1327" s="86"/>
      <c r="I1327" s="86"/>
      <c r="J1327" s="86"/>
      <c r="K1327" s="86"/>
      <c r="L1327" s="86"/>
      <c r="M1327" s="86"/>
      <c r="N1327" s="86"/>
      <c r="O1327" s="86"/>
      <c r="P1327" s="86"/>
      <c r="Q1327" s="86"/>
      <c r="R1327" s="86"/>
      <c r="S1327" s="86"/>
      <c r="T1327" s="86"/>
      <c r="U1327" s="86"/>
      <c r="V1327" s="86"/>
      <c r="W1327" s="86"/>
      <c r="X1327" s="86"/>
      <c r="Y1327" s="86"/>
      <c r="Z1327" s="86"/>
      <c r="AA1327" s="86"/>
      <c r="AB1327" s="86"/>
      <c r="AC1327" s="86"/>
      <c r="AD1327" s="86"/>
      <c r="AE1327" s="86"/>
    </row>
    <row r="1328" spans="1:31">
      <c r="A1328" s="86"/>
      <c r="B1328" s="86"/>
      <c r="C1328" s="86"/>
      <c r="D1328" s="86"/>
      <c r="E1328" s="86"/>
      <c r="F1328" s="86"/>
      <c r="G1328" s="86"/>
      <c r="H1328" s="86"/>
      <c r="I1328" s="86"/>
      <c r="J1328" s="86"/>
      <c r="K1328" s="86"/>
      <c r="L1328" s="86"/>
      <c r="M1328" s="86"/>
      <c r="N1328" s="86"/>
      <c r="O1328" s="86"/>
      <c r="P1328" s="86"/>
      <c r="Q1328" s="86"/>
      <c r="R1328" s="86"/>
      <c r="S1328" s="86"/>
      <c r="T1328" s="86"/>
      <c r="U1328" s="86"/>
      <c r="V1328" s="86"/>
      <c r="W1328" s="86"/>
      <c r="X1328" s="86"/>
      <c r="Y1328" s="86"/>
      <c r="Z1328" s="86"/>
      <c r="AA1328" s="86"/>
      <c r="AB1328" s="86"/>
      <c r="AC1328" s="86"/>
      <c r="AD1328" s="86"/>
      <c r="AE1328" s="86"/>
    </row>
    <row r="1329" spans="1:31">
      <c r="A1329" s="86"/>
      <c r="B1329" s="86"/>
      <c r="C1329" s="86"/>
      <c r="D1329" s="86"/>
      <c r="E1329" s="86"/>
      <c r="F1329" s="86"/>
      <c r="G1329" s="86"/>
      <c r="H1329" s="86"/>
      <c r="I1329" s="86"/>
      <c r="J1329" s="86"/>
      <c r="K1329" s="86"/>
      <c r="L1329" s="86"/>
      <c r="M1329" s="86"/>
      <c r="N1329" s="86"/>
      <c r="O1329" s="86"/>
      <c r="P1329" s="86"/>
      <c r="Q1329" s="86"/>
      <c r="R1329" s="86"/>
      <c r="S1329" s="86"/>
      <c r="T1329" s="86"/>
      <c r="U1329" s="86"/>
      <c r="V1329" s="86"/>
      <c r="W1329" s="86"/>
      <c r="X1329" s="86"/>
      <c r="Y1329" s="86"/>
      <c r="Z1329" s="86"/>
      <c r="AA1329" s="86"/>
      <c r="AB1329" s="86"/>
      <c r="AC1329" s="86"/>
      <c r="AD1329" s="86"/>
      <c r="AE1329" s="86"/>
    </row>
    <row r="1330" spans="1:31">
      <c r="A1330" s="86"/>
      <c r="B1330" s="86"/>
      <c r="C1330" s="86"/>
      <c r="D1330" s="86"/>
      <c r="E1330" s="86"/>
      <c r="F1330" s="86"/>
      <c r="G1330" s="86"/>
      <c r="H1330" s="86"/>
      <c r="I1330" s="86"/>
      <c r="J1330" s="86"/>
      <c r="K1330" s="86"/>
      <c r="L1330" s="86"/>
      <c r="M1330" s="86"/>
      <c r="N1330" s="86"/>
      <c r="O1330" s="86"/>
      <c r="P1330" s="86"/>
      <c r="Q1330" s="86"/>
      <c r="R1330" s="86"/>
      <c r="S1330" s="86"/>
      <c r="T1330" s="86"/>
      <c r="U1330" s="86"/>
      <c r="V1330" s="86"/>
      <c r="W1330" s="86"/>
      <c r="X1330" s="86"/>
      <c r="Y1330" s="86"/>
      <c r="Z1330" s="86"/>
      <c r="AA1330" s="86"/>
      <c r="AB1330" s="86"/>
      <c r="AC1330" s="86"/>
      <c r="AD1330" s="86"/>
      <c r="AE1330" s="86"/>
    </row>
    <row r="1331" spans="1:31">
      <c r="A1331" s="86"/>
      <c r="B1331" s="86"/>
      <c r="C1331" s="86"/>
      <c r="D1331" s="86"/>
      <c r="E1331" s="86"/>
      <c r="F1331" s="86"/>
      <c r="G1331" s="86"/>
      <c r="H1331" s="86"/>
      <c r="I1331" s="86"/>
      <c r="J1331" s="86"/>
      <c r="K1331" s="86"/>
      <c r="L1331" s="86"/>
      <c r="M1331" s="86"/>
      <c r="N1331" s="86"/>
      <c r="O1331" s="86"/>
      <c r="P1331" s="86"/>
      <c r="Q1331" s="86"/>
      <c r="R1331" s="86"/>
      <c r="S1331" s="86"/>
      <c r="T1331" s="86"/>
      <c r="U1331" s="86"/>
      <c r="V1331" s="86"/>
      <c r="W1331" s="86"/>
      <c r="X1331" s="86"/>
      <c r="Y1331" s="86"/>
      <c r="Z1331" s="86"/>
      <c r="AA1331" s="86"/>
      <c r="AB1331" s="86"/>
      <c r="AC1331" s="86"/>
      <c r="AD1331" s="86"/>
      <c r="AE1331" s="86"/>
    </row>
    <row r="1332" spans="1:31">
      <c r="A1332" s="86"/>
      <c r="B1332" s="86"/>
      <c r="C1332" s="86"/>
      <c r="D1332" s="86"/>
      <c r="E1332" s="86"/>
      <c r="F1332" s="86"/>
      <c r="G1332" s="86"/>
      <c r="H1332" s="86"/>
      <c r="I1332" s="86"/>
      <c r="J1332" s="86"/>
      <c r="K1332" s="86"/>
      <c r="L1332" s="86"/>
      <c r="M1332" s="86"/>
      <c r="N1332" s="86"/>
      <c r="O1332" s="86"/>
      <c r="P1332" s="86"/>
      <c r="Q1332" s="86"/>
      <c r="R1332" s="86"/>
      <c r="S1332" s="86"/>
      <c r="T1332" s="86"/>
      <c r="U1332" s="86"/>
      <c r="V1332" s="86"/>
      <c r="W1332" s="86"/>
      <c r="X1332" s="86"/>
      <c r="Y1332" s="86"/>
      <c r="Z1332" s="86"/>
      <c r="AA1332" s="86"/>
      <c r="AB1332" s="86"/>
      <c r="AC1332" s="86"/>
      <c r="AD1332" s="86"/>
      <c r="AE1332" s="86"/>
    </row>
    <row r="1333" spans="1:31">
      <c r="A1333" s="86"/>
      <c r="B1333" s="86"/>
      <c r="C1333" s="86"/>
      <c r="D1333" s="86"/>
      <c r="E1333" s="86"/>
      <c r="F1333" s="86"/>
      <c r="G1333" s="86"/>
      <c r="H1333" s="86"/>
      <c r="I1333" s="86"/>
      <c r="J1333" s="86"/>
      <c r="K1333" s="86"/>
      <c r="L1333" s="86"/>
      <c r="M1333" s="86"/>
      <c r="N1333" s="86"/>
      <c r="O1333" s="86"/>
      <c r="P1333" s="86"/>
      <c r="Q1333" s="86"/>
      <c r="R1333" s="86"/>
      <c r="S1333" s="86"/>
      <c r="T1333" s="86"/>
      <c r="U1333" s="86"/>
      <c r="V1333" s="86"/>
      <c r="W1333" s="86"/>
      <c r="X1333" s="86"/>
      <c r="Y1333" s="86"/>
      <c r="Z1333" s="86"/>
      <c r="AA1333" s="86"/>
      <c r="AB1333" s="86"/>
      <c r="AC1333" s="86"/>
      <c r="AD1333" s="86"/>
      <c r="AE1333" s="86"/>
    </row>
    <row r="1334" spans="1:31">
      <c r="A1334" s="86"/>
      <c r="B1334" s="86"/>
      <c r="C1334" s="86"/>
      <c r="D1334" s="86"/>
      <c r="E1334" s="86"/>
      <c r="F1334" s="86"/>
      <c r="G1334" s="86"/>
      <c r="H1334" s="86"/>
      <c r="I1334" s="86"/>
      <c r="J1334" s="86"/>
      <c r="K1334" s="86"/>
      <c r="L1334" s="86"/>
      <c r="M1334" s="86"/>
      <c r="N1334" s="86"/>
      <c r="O1334" s="86"/>
      <c r="P1334" s="86"/>
      <c r="Q1334" s="86"/>
      <c r="R1334" s="86"/>
      <c r="S1334" s="86"/>
      <c r="T1334" s="86"/>
      <c r="U1334" s="86"/>
      <c r="V1334" s="86"/>
      <c r="W1334" s="86"/>
      <c r="X1334" s="86"/>
      <c r="Y1334" s="86"/>
      <c r="Z1334" s="86"/>
      <c r="AA1334" s="86"/>
      <c r="AB1334" s="86"/>
      <c r="AC1334" s="86"/>
      <c r="AD1334" s="86"/>
      <c r="AE1334" s="86"/>
    </row>
    <row r="1335" spans="1:31">
      <c r="A1335" s="86"/>
      <c r="B1335" s="86"/>
      <c r="C1335" s="86"/>
      <c r="D1335" s="86"/>
      <c r="E1335" s="86"/>
      <c r="F1335" s="86"/>
      <c r="G1335" s="86"/>
      <c r="H1335" s="86"/>
      <c r="I1335" s="86"/>
      <c r="J1335" s="86"/>
      <c r="K1335" s="86"/>
      <c r="L1335" s="86"/>
      <c r="M1335" s="86"/>
      <c r="N1335" s="86"/>
      <c r="O1335" s="86"/>
      <c r="P1335" s="86"/>
      <c r="Q1335" s="86"/>
      <c r="R1335" s="86"/>
      <c r="S1335" s="86"/>
      <c r="T1335" s="86"/>
      <c r="U1335" s="86"/>
      <c r="V1335" s="86"/>
      <c r="W1335" s="86"/>
      <c r="X1335" s="86"/>
      <c r="Y1335" s="86"/>
      <c r="Z1335" s="86"/>
      <c r="AA1335" s="86"/>
      <c r="AB1335" s="86"/>
      <c r="AC1335" s="86"/>
      <c r="AD1335" s="86"/>
      <c r="AE1335" s="86"/>
    </row>
    <row r="1336" spans="1:31">
      <c r="A1336" s="86"/>
      <c r="B1336" s="86"/>
      <c r="C1336" s="86"/>
      <c r="D1336" s="86"/>
      <c r="E1336" s="86"/>
      <c r="F1336" s="86"/>
      <c r="G1336" s="86"/>
      <c r="H1336" s="86"/>
      <c r="I1336" s="86"/>
      <c r="J1336" s="86"/>
      <c r="K1336" s="86"/>
      <c r="L1336" s="86"/>
      <c r="M1336" s="86"/>
      <c r="N1336" s="86"/>
      <c r="O1336" s="86"/>
      <c r="P1336" s="86"/>
      <c r="Q1336" s="86"/>
      <c r="R1336" s="86"/>
      <c r="S1336" s="86"/>
      <c r="T1336" s="86"/>
      <c r="U1336" s="86"/>
      <c r="V1336" s="86"/>
      <c r="W1336" s="86"/>
      <c r="X1336" s="86"/>
      <c r="Y1336" s="86"/>
      <c r="Z1336" s="86"/>
      <c r="AA1336" s="86"/>
      <c r="AB1336" s="86"/>
      <c r="AC1336" s="86"/>
      <c r="AD1336" s="86"/>
      <c r="AE1336" s="86"/>
    </row>
    <row r="1337" spans="1:31">
      <c r="A1337" s="86"/>
      <c r="B1337" s="86"/>
      <c r="C1337" s="86"/>
      <c r="D1337" s="86"/>
      <c r="E1337" s="86"/>
      <c r="F1337" s="86"/>
      <c r="G1337" s="86"/>
      <c r="H1337" s="86"/>
      <c r="I1337" s="86"/>
      <c r="J1337" s="86"/>
      <c r="K1337" s="86"/>
      <c r="L1337" s="86"/>
      <c r="M1337" s="86"/>
      <c r="N1337" s="86"/>
      <c r="O1337" s="86"/>
      <c r="P1337" s="86"/>
      <c r="Q1337" s="86"/>
      <c r="R1337" s="86"/>
      <c r="S1337" s="86"/>
      <c r="T1337" s="86"/>
      <c r="U1337" s="86"/>
      <c r="V1337" s="86"/>
      <c r="W1337" s="86"/>
      <c r="X1337" s="86"/>
      <c r="Y1337" s="86"/>
      <c r="Z1337" s="86"/>
      <c r="AA1337" s="86"/>
      <c r="AB1337" s="86"/>
      <c r="AC1337" s="86"/>
      <c r="AD1337" s="86"/>
      <c r="AE1337" s="86"/>
    </row>
    <row r="1338" spans="1:31">
      <c r="A1338" s="86"/>
      <c r="B1338" s="86"/>
      <c r="C1338" s="86"/>
      <c r="D1338" s="86"/>
      <c r="E1338" s="86"/>
      <c r="F1338" s="86"/>
      <c r="G1338" s="86"/>
      <c r="H1338" s="86"/>
      <c r="I1338" s="86"/>
      <c r="J1338" s="86"/>
      <c r="K1338" s="86"/>
      <c r="L1338" s="86"/>
      <c r="M1338" s="86"/>
      <c r="N1338" s="86"/>
      <c r="O1338" s="86"/>
      <c r="P1338" s="86"/>
      <c r="Q1338" s="86"/>
      <c r="R1338" s="86"/>
      <c r="S1338" s="86"/>
      <c r="T1338" s="86"/>
      <c r="U1338" s="86"/>
      <c r="V1338" s="86"/>
      <c r="W1338" s="86"/>
      <c r="X1338" s="86"/>
      <c r="Y1338" s="86"/>
      <c r="Z1338" s="86"/>
      <c r="AA1338" s="86"/>
      <c r="AB1338" s="86"/>
      <c r="AC1338" s="86"/>
      <c r="AD1338" s="86"/>
      <c r="AE1338" s="86"/>
    </row>
    <row r="1339" spans="1:31">
      <c r="A1339" s="86"/>
      <c r="B1339" s="86"/>
      <c r="C1339" s="86"/>
      <c r="D1339" s="86"/>
      <c r="E1339" s="86"/>
      <c r="F1339" s="86"/>
      <c r="G1339" s="86"/>
      <c r="H1339" s="86"/>
      <c r="I1339" s="86"/>
      <c r="J1339" s="86"/>
      <c r="K1339" s="86"/>
      <c r="L1339" s="86"/>
      <c r="M1339" s="86"/>
      <c r="N1339" s="86"/>
      <c r="O1339" s="86"/>
      <c r="P1339" s="86"/>
      <c r="Q1339" s="86"/>
      <c r="R1339" s="86"/>
      <c r="S1339" s="86"/>
      <c r="T1339" s="86"/>
      <c r="U1339" s="86"/>
      <c r="V1339" s="86"/>
      <c r="W1339" s="86"/>
      <c r="X1339" s="86"/>
      <c r="Y1339" s="86"/>
      <c r="Z1339" s="86"/>
      <c r="AA1339" s="86"/>
      <c r="AB1339" s="86"/>
      <c r="AC1339" s="86"/>
      <c r="AD1339" s="86"/>
      <c r="AE1339" s="86"/>
    </row>
    <row r="1340" spans="1:31">
      <c r="A1340" s="86"/>
      <c r="B1340" s="86"/>
      <c r="C1340" s="86"/>
      <c r="D1340" s="86"/>
      <c r="E1340" s="86"/>
      <c r="F1340" s="86"/>
      <c r="G1340" s="86"/>
      <c r="H1340" s="86"/>
      <c r="I1340" s="86"/>
      <c r="J1340" s="86"/>
      <c r="K1340" s="86"/>
      <c r="L1340" s="86"/>
      <c r="M1340" s="86"/>
      <c r="N1340" s="86"/>
      <c r="O1340" s="86"/>
      <c r="P1340" s="86"/>
      <c r="Q1340" s="86"/>
      <c r="R1340" s="86"/>
      <c r="S1340" s="86"/>
      <c r="T1340" s="86"/>
      <c r="U1340" s="86"/>
      <c r="V1340" s="86"/>
      <c r="W1340" s="86"/>
      <c r="X1340" s="86"/>
      <c r="Y1340" s="86"/>
      <c r="Z1340" s="86"/>
      <c r="AA1340" s="86"/>
      <c r="AB1340" s="86"/>
      <c r="AC1340" s="86"/>
      <c r="AD1340" s="86"/>
      <c r="AE1340" s="86"/>
    </row>
    <row r="1341" spans="1:31">
      <c r="A1341" s="86"/>
      <c r="B1341" s="86"/>
      <c r="C1341" s="86"/>
      <c r="D1341" s="86"/>
      <c r="E1341" s="86"/>
      <c r="F1341" s="86"/>
      <c r="G1341" s="86"/>
      <c r="H1341" s="86"/>
      <c r="I1341" s="86"/>
      <c r="J1341" s="86"/>
      <c r="K1341" s="86"/>
      <c r="L1341" s="86"/>
      <c r="M1341" s="86"/>
      <c r="N1341" s="86"/>
      <c r="O1341" s="86"/>
      <c r="P1341" s="86"/>
      <c r="Q1341" s="86"/>
      <c r="R1341" s="86"/>
      <c r="S1341" s="86"/>
      <c r="T1341" s="86"/>
      <c r="U1341" s="86"/>
      <c r="V1341" s="86"/>
      <c r="W1341" s="86"/>
      <c r="X1341" s="86"/>
      <c r="Y1341" s="86"/>
      <c r="Z1341" s="86"/>
      <c r="AA1341" s="86"/>
      <c r="AB1341" s="86"/>
      <c r="AC1341" s="86"/>
      <c r="AD1341" s="86"/>
      <c r="AE1341" s="86"/>
    </row>
    <row r="1342" spans="1:31">
      <c r="A1342" s="86"/>
      <c r="B1342" s="86"/>
      <c r="C1342" s="86"/>
      <c r="D1342" s="86"/>
      <c r="E1342" s="86"/>
      <c r="F1342" s="86"/>
      <c r="G1342" s="86"/>
      <c r="H1342" s="86"/>
      <c r="I1342" s="86"/>
      <c r="J1342" s="86"/>
      <c r="K1342" s="86"/>
      <c r="L1342" s="86"/>
      <c r="M1342" s="86"/>
      <c r="N1342" s="86"/>
      <c r="O1342" s="86"/>
      <c r="P1342" s="86"/>
      <c r="Q1342" s="86"/>
      <c r="R1342" s="86"/>
      <c r="S1342" s="86"/>
      <c r="T1342" s="86"/>
      <c r="U1342" s="86"/>
      <c r="V1342" s="86"/>
      <c r="W1342" s="86"/>
      <c r="X1342" s="86"/>
      <c r="Y1342" s="86"/>
      <c r="Z1342" s="86"/>
      <c r="AA1342" s="86"/>
      <c r="AB1342" s="86"/>
      <c r="AC1342" s="86"/>
      <c r="AD1342" s="86"/>
      <c r="AE1342" s="86"/>
    </row>
    <row r="1343" spans="1:31">
      <c r="A1343" s="86"/>
      <c r="B1343" s="86"/>
      <c r="C1343" s="86"/>
      <c r="D1343" s="86"/>
      <c r="E1343" s="86"/>
      <c r="F1343" s="86"/>
      <c r="G1343" s="86"/>
      <c r="H1343" s="86"/>
      <c r="I1343" s="86"/>
      <c r="J1343" s="86"/>
      <c r="K1343" s="86"/>
      <c r="L1343" s="86"/>
      <c r="M1343" s="86"/>
      <c r="N1343" s="86"/>
      <c r="O1343" s="86"/>
      <c r="P1343" s="86"/>
      <c r="Q1343" s="86"/>
      <c r="R1343" s="86"/>
      <c r="S1343" s="86"/>
      <c r="T1343" s="86"/>
      <c r="U1343" s="86"/>
      <c r="V1343" s="86"/>
      <c r="W1343" s="86"/>
      <c r="X1343" s="86"/>
      <c r="Y1343" s="86"/>
      <c r="Z1343" s="86"/>
      <c r="AA1343" s="86"/>
      <c r="AB1343" s="86"/>
      <c r="AC1343" s="86"/>
      <c r="AD1343" s="86"/>
      <c r="AE1343" s="86"/>
    </row>
    <row r="1344" spans="1:31">
      <c r="A1344" s="86"/>
      <c r="B1344" s="86"/>
      <c r="C1344" s="86"/>
      <c r="D1344" s="86"/>
      <c r="E1344" s="86"/>
      <c r="F1344" s="86"/>
      <c r="G1344" s="86"/>
      <c r="H1344" s="86"/>
      <c r="I1344" s="86"/>
      <c r="J1344" s="86"/>
      <c r="K1344" s="86"/>
      <c r="L1344" s="86"/>
      <c r="M1344" s="86"/>
      <c r="N1344" s="86"/>
      <c r="O1344" s="86"/>
      <c r="P1344" s="86"/>
      <c r="Q1344" s="86"/>
      <c r="R1344" s="86"/>
      <c r="S1344" s="86"/>
      <c r="T1344" s="86"/>
      <c r="U1344" s="86"/>
      <c r="V1344" s="86"/>
      <c r="W1344" s="86"/>
      <c r="X1344" s="86"/>
      <c r="Y1344" s="86"/>
      <c r="Z1344" s="86"/>
      <c r="AA1344" s="86"/>
      <c r="AB1344" s="86"/>
      <c r="AC1344" s="86"/>
      <c r="AD1344" s="86"/>
      <c r="AE1344" s="86"/>
    </row>
    <row r="1345" spans="1:31">
      <c r="A1345" s="86"/>
      <c r="B1345" s="86"/>
      <c r="C1345" s="86"/>
      <c r="D1345" s="86"/>
      <c r="E1345" s="86"/>
      <c r="F1345" s="86"/>
      <c r="G1345" s="86"/>
      <c r="H1345" s="86"/>
      <c r="I1345" s="86"/>
      <c r="J1345" s="86"/>
      <c r="K1345" s="86"/>
      <c r="L1345" s="86"/>
      <c r="M1345" s="86"/>
      <c r="N1345" s="86"/>
      <c r="O1345" s="86"/>
      <c r="P1345" s="86"/>
      <c r="Q1345" s="86"/>
      <c r="R1345" s="86"/>
      <c r="S1345" s="86"/>
      <c r="T1345" s="86"/>
      <c r="U1345" s="86"/>
      <c r="V1345" s="86"/>
      <c r="W1345" s="86"/>
      <c r="X1345" s="86"/>
      <c r="Y1345" s="86"/>
      <c r="Z1345" s="86"/>
      <c r="AA1345" s="86"/>
      <c r="AB1345" s="86"/>
      <c r="AC1345" s="86"/>
      <c r="AD1345" s="86"/>
      <c r="AE1345" s="86"/>
    </row>
    <row r="1346" spans="1:31">
      <c r="A1346" s="86"/>
      <c r="B1346" s="86"/>
      <c r="C1346" s="86"/>
      <c r="D1346" s="86"/>
      <c r="E1346" s="86"/>
      <c r="F1346" s="86"/>
      <c r="G1346" s="86"/>
      <c r="H1346" s="86"/>
      <c r="I1346" s="86"/>
      <c r="J1346" s="86"/>
      <c r="K1346" s="86"/>
      <c r="L1346" s="86"/>
      <c r="M1346" s="86"/>
      <c r="N1346" s="86"/>
      <c r="O1346" s="86"/>
      <c r="P1346" s="86"/>
      <c r="Q1346" s="86"/>
      <c r="R1346" s="86"/>
      <c r="S1346" s="86"/>
      <c r="T1346" s="86"/>
      <c r="U1346" s="86"/>
      <c r="V1346" s="86"/>
      <c r="W1346" s="86"/>
      <c r="X1346" s="86"/>
      <c r="Y1346" s="86"/>
      <c r="Z1346" s="86"/>
      <c r="AA1346" s="86"/>
      <c r="AB1346" s="86"/>
      <c r="AC1346" s="86"/>
      <c r="AD1346" s="86"/>
      <c r="AE1346" s="86"/>
    </row>
    <row r="1347" spans="1:31">
      <c r="A1347" s="86"/>
      <c r="B1347" s="86"/>
      <c r="C1347" s="86"/>
      <c r="D1347" s="86"/>
      <c r="E1347" s="86"/>
      <c r="F1347" s="86"/>
      <c r="G1347" s="86"/>
      <c r="H1347" s="86"/>
      <c r="I1347" s="86"/>
      <c r="J1347" s="86"/>
      <c r="K1347" s="86"/>
      <c r="L1347" s="86"/>
      <c r="M1347" s="86"/>
      <c r="N1347" s="86"/>
      <c r="O1347" s="86"/>
      <c r="P1347" s="86"/>
      <c r="Q1347" s="86"/>
      <c r="R1347" s="86"/>
      <c r="S1347" s="86"/>
      <c r="T1347" s="86"/>
      <c r="U1347" s="86"/>
      <c r="V1347" s="86"/>
      <c r="W1347" s="86"/>
      <c r="X1347" s="86"/>
      <c r="Y1347" s="86"/>
      <c r="Z1347" s="86"/>
      <c r="AA1347" s="86"/>
      <c r="AB1347" s="86"/>
      <c r="AC1347" s="86"/>
      <c r="AD1347" s="86"/>
      <c r="AE1347" s="86"/>
    </row>
    <row r="1348" spans="1:31">
      <c r="A1348" s="86"/>
      <c r="B1348" s="86"/>
      <c r="C1348" s="86"/>
      <c r="D1348" s="86"/>
      <c r="E1348" s="86"/>
      <c r="F1348" s="86"/>
      <c r="G1348" s="86"/>
      <c r="H1348" s="86"/>
      <c r="I1348" s="86"/>
      <c r="J1348" s="86"/>
      <c r="K1348" s="86"/>
      <c r="L1348" s="86"/>
      <c r="M1348" s="86"/>
      <c r="N1348" s="86"/>
      <c r="O1348" s="86"/>
      <c r="P1348" s="86"/>
      <c r="Q1348" s="86"/>
      <c r="R1348" s="86"/>
      <c r="S1348" s="86"/>
      <c r="T1348" s="86"/>
      <c r="U1348" s="86"/>
      <c r="V1348" s="86"/>
      <c r="W1348" s="86"/>
      <c r="X1348" s="86"/>
      <c r="Y1348" s="86"/>
      <c r="Z1348" s="86"/>
      <c r="AA1348" s="86"/>
      <c r="AB1348" s="86"/>
      <c r="AC1348" s="86"/>
      <c r="AD1348" s="86"/>
      <c r="AE1348" s="86"/>
    </row>
    <row r="1349" spans="1:31">
      <c r="A1349" s="86"/>
      <c r="B1349" s="86"/>
      <c r="C1349" s="86"/>
      <c r="D1349" s="86"/>
      <c r="E1349" s="86"/>
      <c r="F1349" s="86"/>
      <c r="G1349" s="86"/>
      <c r="H1349" s="86"/>
      <c r="I1349" s="86"/>
      <c r="J1349" s="86"/>
      <c r="K1349" s="86"/>
      <c r="L1349" s="86"/>
      <c r="M1349" s="86"/>
      <c r="N1349" s="86"/>
      <c r="O1349" s="86"/>
      <c r="P1349" s="86"/>
      <c r="Q1349" s="86"/>
      <c r="R1349" s="86"/>
      <c r="S1349" s="86"/>
      <c r="T1349" s="86"/>
      <c r="U1349" s="86"/>
      <c r="V1349" s="86"/>
      <c r="W1349" s="86"/>
      <c r="X1349" s="86"/>
      <c r="Y1349" s="86"/>
      <c r="Z1349" s="86"/>
      <c r="AA1349" s="86"/>
      <c r="AB1349" s="86"/>
      <c r="AC1349" s="86"/>
      <c r="AD1349" s="86"/>
      <c r="AE1349" s="86"/>
    </row>
    <row r="1350" spans="1:31">
      <c r="A1350" s="86"/>
      <c r="B1350" s="86"/>
      <c r="C1350" s="86"/>
      <c r="D1350" s="86"/>
      <c r="E1350" s="86"/>
      <c r="F1350" s="86"/>
      <c r="G1350" s="86"/>
      <c r="H1350" s="86"/>
      <c r="I1350" s="86"/>
      <c r="J1350" s="86"/>
      <c r="K1350" s="86"/>
      <c r="L1350" s="86"/>
      <c r="M1350" s="86"/>
      <c r="N1350" s="86"/>
      <c r="O1350" s="86"/>
      <c r="P1350" s="86"/>
      <c r="Q1350" s="86"/>
      <c r="R1350" s="86"/>
      <c r="S1350" s="86"/>
      <c r="T1350" s="86"/>
      <c r="U1350" s="86"/>
      <c r="V1350" s="86"/>
      <c r="W1350" s="86"/>
      <c r="X1350" s="86"/>
      <c r="Y1350" s="86"/>
      <c r="Z1350" s="86"/>
      <c r="AA1350" s="86"/>
      <c r="AB1350" s="86"/>
      <c r="AC1350" s="86"/>
      <c r="AD1350" s="86"/>
      <c r="AE1350" s="86"/>
    </row>
    <row r="1351" spans="1:31">
      <c r="A1351" s="86"/>
      <c r="B1351" s="86"/>
      <c r="C1351" s="86"/>
      <c r="D1351" s="86"/>
      <c r="E1351" s="86"/>
      <c r="F1351" s="86"/>
      <c r="G1351" s="86"/>
      <c r="H1351" s="86"/>
      <c r="I1351" s="86"/>
      <c r="J1351" s="86"/>
      <c r="K1351" s="86"/>
      <c r="L1351" s="86"/>
      <c r="M1351" s="86"/>
      <c r="N1351" s="86"/>
      <c r="O1351" s="86"/>
      <c r="P1351" s="86"/>
      <c r="Q1351" s="86"/>
      <c r="R1351" s="86"/>
      <c r="S1351" s="86"/>
      <c r="T1351" s="86"/>
      <c r="U1351" s="86"/>
      <c r="V1351" s="86"/>
      <c r="W1351" s="86"/>
      <c r="X1351" s="86"/>
      <c r="Y1351" s="86"/>
      <c r="Z1351" s="86"/>
      <c r="AA1351" s="86"/>
      <c r="AB1351" s="86"/>
      <c r="AC1351" s="86"/>
      <c r="AD1351" s="86"/>
      <c r="AE1351" s="86"/>
    </row>
    <row r="1352" spans="1:31">
      <c r="A1352" s="86"/>
      <c r="B1352" s="86"/>
      <c r="C1352" s="86"/>
      <c r="D1352" s="86"/>
      <c r="E1352" s="86"/>
      <c r="F1352" s="86"/>
      <c r="G1352" s="86"/>
      <c r="H1352" s="86"/>
      <c r="I1352" s="86"/>
      <c r="J1352" s="86"/>
      <c r="K1352" s="86"/>
      <c r="L1352" s="86"/>
      <c r="M1352" s="86"/>
      <c r="N1352" s="86"/>
      <c r="O1352" s="86"/>
      <c r="P1352" s="86"/>
      <c r="Q1352" s="86"/>
      <c r="R1352" s="86"/>
      <c r="S1352" s="86"/>
      <c r="T1352" s="86"/>
      <c r="U1352" s="86"/>
      <c r="V1352" s="86"/>
      <c r="W1352" s="86"/>
      <c r="X1352" s="86"/>
      <c r="Y1352" s="86"/>
      <c r="Z1352" s="86"/>
      <c r="AA1352" s="86"/>
      <c r="AB1352" s="86"/>
      <c r="AC1352" s="86"/>
      <c r="AD1352" s="86"/>
      <c r="AE1352" s="86"/>
    </row>
    <row r="1353" spans="1:31">
      <c r="A1353" s="86"/>
      <c r="B1353" s="86"/>
      <c r="C1353" s="86"/>
      <c r="D1353" s="86"/>
      <c r="E1353" s="86"/>
      <c r="F1353" s="86"/>
      <c r="G1353" s="86"/>
      <c r="H1353" s="86"/>
      <c r="I1353" s="86"/>
      <c r="J1353" s="86"/>
      <c r="K1353" s="86"/>
      <c r="L1353" s="86"/>
      <c r="M1353" s="86"/>
      <c r="N1353" s="86"/>
      <c r="O1353" s="86"/>
      <c r="P1353" s="86"/>
      <c r="Q1353" s="86"/>
      <c r="R1353" s="86"/>
      <c r="S1353" s="86"/>
      <c r="T1353" s="86"/>
      <c r="U1353" s="86"/>
      <c r="V1353" s="86"/>
      <c r="W1353" s="86"/>
      <c r="X1353" s="86"/>
      <c r="Y1353" s="86"/>
      <c r="Z1353" s="86"/>
      <c r="AA1353" s="86"/>
      <c r="AB1353" s="86"/>
      <c r="AC1353" s="86"/>
      <c r="AD1353" s="86"/>
      <c r="AE1353" s="86"/>
    </row>
    <row r="1354" spans="1:31">
      <c r="A1354" s="86"/>
      <c r="B1354" s="86"/>
      <c r="C1354" s="86"/>
      <c r="D1354" s="86"/>
      <c r="E1354" s="86"/>
      <c r="F1354" s="86"/>
      <c r="G1354" s="86"/>
      <c r="H1354" s="86"/>
      <c r="I1354" s="86"/>
      <c r="J1354" s="86"/>
      <c r="K1354" s="86"/>
      <c r="L1354" s="86"/>
      <c r="M1354" s="86"/>
      <c r="N1354" s="86"/>
      <c r="O1354" s="86"/>
      <c r="P1354" s="86"/>
      <c r="Q1354" s="86"/>
      <c r="R1354" s="86"/>
      <c r="S1354" s="86"/>
      <c r="T1354" s="86"/>
      <c r="U1354" s="86"/>
      <c r="V1354" s="86"/>
      <c r="W1354" s="86"/>
      <c r="X1354" s="86"/>
      <c r="Y1354" s="86"/>
      <c r="Z1354" s="86"/>
      <c r="AA1354" s="86"/>
      <c r="AB1354" s="86"/>
      <c r="AC1354" s="86"/>
      <c r="AD1354" s="86"/>
      <c r="AE1354" s="86"/>
    </row>
    <row r="1355" spans="1:31">
      <c r="A1355" s="86"/>
      <c r="B1355" s="86"/>
      <c r="C1355" s="86"/>
      <c r="D1355" s="86"/>
      <c r="E1355" s="86"/>
      <c r="F1355" s="86"/>
      <c r="G1355" s="86"/>
      <c r="H1355" s="86"/>
      <c r="I1355" s="86"/>
      <c r="J1355" s="86"/>
      <c r="K1355" s="86"/>
      <c r="L1355" s="86"/>
      <c r="M1355" s="86"/>
      <c r="N1355" s="86"/>
      <c r="O1355" s="86"/>
      <c r="P1355" s="86"/>
      <c r="Q1355" s="86"/>
      <c r="R1355" s="86"/>
      <c r="S1355" s="86"/>
      <c r="T1355" s="86"/>
      <c r="U1355" s="86"/>
      <c r="V1355" s="86"/>
      <c r="W1355" s="86"/>
      <c r="X1355" s="86"/>
      <c r="Y1355" s="86"/>
      <c r="Z1355" s="86"/>
      <c r="AA1355" s="86"/>
      <c r="AB1355" s="86"/>
      <c r="AC1355" s="86"/>
      <c r="AD1355" s="86"/>
      <c r="AE1355" s="86"/>
    </row>
    <row r="1356" spans="1:31">
      <c r="A1356" s="86"/>
      <c r="B1356" s="86"/>
      <c r="C1356" s="86"/>
      <c r="D1356" s="86"/>
      <c r="E1356" s="86"/>
      <c r="F1356" s="86"/>
      <c r="G1356" s="86"/>
      <c r="H1356" s="86"/>
      <c r="I1356" s="86"/>
      <c r="J1356" s="86"/>
      <c r="K1356" s="86"/>
      <c r="L1356" s="86"/>
      <c r="M1356" s="86"/>
      <c r="N1356" s="86"/>
      <c r="O1356" s="86"/>
      <c r="P1356" s="86"/>
      <c r="Q1356" s="86"/>
      <c r="R1356" s="86"/>
      <c r="S1356" s="86"/>
      <c r="T1356" s="86"/>
      <c r="U1356" s="86"/>
      <c r="V1356" s="86"/>
      <c r="W1356" s="86"/>
      <c r="X1356" s="86"/>
      <c r="Y1356" s="86"/>
      <c r="Z1356" s="86"/>
      <c r="AA1356" s="86"/>
      <c r="AB1356" s="86"/>
      <c r="AC1356" s="86"/>
      <c r="AD1356" s="86"/>
      <c r="AE1356" s="86"/>
    </row>
    <row r="1357" spans="1:31">
      <c r="A1357" s="86"/>
      <c r="B1357" s="86"/>
      <c r="C1357" s="86"/>
      <c r="D1357" s="86"/>
      <c r="E1357" s="86"/>
      <c r="F1357" s="86"/>
      <c r="G1357" s="86"/>
      <c r="H1357" s="86"/>
      <c r="I1357" s="86"/>
      <c r="J1357" s="86"/>
      <c r="K1357" s="86"/>
      <c r="L1357" s="86"/>
      <c r="M1357" s="86"/>
      <c r="N1357" s="86"/>
      <c r="O1357" s="86"/>
      <c r="P1357" s="86"/>
      <c r="Q1357" s="86"/>
      <c r="R1357" s="86"/>
      <c r="S1357" s="86"/>
      <c r="T1357" s="86"/>
      <c r="U1357" s="86"/>
      <c r="V1357" s="86"/>
      <c r="W1357" s="86"/>
      <c r="X1357" s="86"/>
      <c r="Y1357" s="86"/>
      <c r="Z1357" s="86"/>
      <c r="AA1357" s="86"/>
      <c r="AB1357" s="86"/>
      <c r="AC1357" s="86"/>
      <c r="AD1357" s="86"/>
      <c r="AE1357" s="86"/>
    </row>
    <row r="1358" spans="1:31">
      <c r="A1358" s="86"/>
      <c r="B1358" s="86"/>
      <c r="C1358" s="86"/>
      <c r="D1358" s="86"/>
      <c r="E1358" s="86"/>
      <c r="F1358" s="86"/>
      <c r="G1358" s="86"/>
      <c r="H1358" s="86"/>
      <c r="I1358" s="86"/>
      <c r="J1358" s="86"/>
      <c r="K1358" s="86"/>
      <c r="L1358" s="86"/>
      <c r="M1358" s="86"/>
      <c r="N1358" s="86"/>
      <c r="O1358" s="86"/>
      <c r="P1358" s="86"/>
      <c r="Q1358" s="86"/>
      <c r="R1358" s="86"/>
      <c r="S1358" s="86"/>
      <c r="T1358" s="86"/>
      <c r="U1358" s="86"/>
      <c r="V1358" s="86"/>
      <c r="W1358" s="86"/>
      <c r="X1358" s="86"/>
      <c r="Y1358" s="86"/>
      <c r="Z1358" s="86"/>
      <c r="AA1358" s="86"/>
      <c r="AB1358" s="86"/>
      <c r="AC1358" s="86"/>
      <c r="AD1358" s="86"/>
      <c r="AE1358" s="86"/>
    </row>
    <row r="1359" spans="1:31">
      <c r="A1359" s="86"/>
      <c r="B1359" s="86"/>
      <c r="C1359" s="86"/>
      <c r="D1359" s="86"/>
      <c r="E1359" s="86"/>
      <c r="F1359" s="86"/>
      <c r="G1359" s="86"/>
      <c r="H1359" s="86"/>
      <c r="I1359" s="86"/>
      <c r="J1359" s="86"/>
      <c r="K1359" s="86"/>
      <c r="L1359" s="86"/>
      <c r="M1359" s="86"/>
      <c r="N1359" s="86"/>
      <c r="O1359" s="86"/>
      <c r="P1359" s="86"/>
      <c r="Q1359" s="86"/>
      <c r="R1359" s="86"/>
      <c r="S1359" s="86"/>
      <c r="T1359" s="86"/>
      <c r="U1359" s="86"/>
      <c r="V1359" s="86"/>
      <c r="W1359" s="86"/>
      <c r="X1359" s="86"/>
      <c r="Y1359" s="86"/>
      <c r="Z1359" s="86"/>
      <c r="AA1359" s="86"/>
      <c r="AB1359" s="86"/>
      <c r="AC1359" s="86"/>
      <c r="AD1359" s="86"/>
      <c r="AE1359" s="86"/>
    </row>
    <row r="1360" spans="1:31">
      <c r="A1360" s="86"/>
      <c r="B1360" s="86"/>
      <c r="C1360" s="86"/>
      <c r="D1360" s="86"/>
      <c r="E1360" s="86"/>
      <c r="F1360" s="86"/>
      <c r="G1360" s="86"/>
      <c r="H1360" s="86"/>
      <c r="I1360" s="86"/>
      <c r="J1360" s="86"/>
      <c r="K1360" s="86"/>
      <c r="L1360" s="86"/>
      <c r="M1360" s="86"/>
      <c r="N1360" s="86"/>
      <c r="O1360" s="86"/>
      <c r="P1360" s="86"/>
      <c r="Q1360" s="86"/>
      <c r="R1360" s="86"/>
      <c r="S1360" s="86"/>
      <c r="T1360" s="86"/>
      <c r="U1360" s="86"/>
      <c r="V1360" s="86"/>
      <c r="W1360" s="86"/>
      <c r="X1360" s="86"/>
      <c r="Y1360" s="86"/>
      <c r="Z1360" s="86"/>
      <c r="AA1360" s="86"/>
      <c r="AB1360" s="86"/>
      <c r="AC1360" s="86"/>
      <c r="AD1360" s="86"/>
      <c r="AE1360" s="86"/>
    </row>
    <row r="1361" spans="1:31">
      <c r="A1361" s="86"/>
      <c r="B1361" s="86"/>
      <c r="C1361" s="86"/>
      <c r="D1361" s="86"/>
      <c r="E1361" s="86"/>
      <c r="F1361" s="86"/>
      <c r="G1361" s="86"/>
      <c r="H1361" s="86"/>
      <c r="I1361" s="86"/>
      <c r="J1361" s="86"/>
      <c r="K1361" s="86"/>
      <c r="L1361" s="86"/>
      <c r="M1361" s="86"/>
      <c r="N1361" s="86"/>
      <c r="O1361" s="86"/>
      <c r="P1361" s="86"/>
      <c r="Q1361" s="86"/>
      <c r="R1361" s="86"/>
      <c r="S1361" s="86"/>
      <c r="T1361" s="86"/>
      <c r="U1361" s="86"/>
      <c r="V1361" s="86"/>
      <c r="W1361" s="86"/>
      <c r="X1361" s="86"/>
      <c r="Y1361" s="86"/>
      <c r="Z1361" s="86"/>
      <c r="AA1361" s="86"/>
      <c r="AB1361" s="86"/>
      <c r="AC1361" s="86"/>
      <c r="AD1361" s="86"/>
      <c r="AE1361" s="86"/>
    </row>
    <row r="1362" spans="1:31">
      <c r="A1362" s="86"/>
      <c r="B1362" s="86"/>
      <c r="C1362" s="86"/>
      <c r="D1362" s="86"/>
      <c r="E1362" s="86"/>
      <c r="F1362" s="86"/>
      <c r="G1362" s="86"/>
      <c r="H1362" s="86"/>
      <c r="I1362" s="86"/>
      <c r="J1362" s="86"/>
      <c r="K1362" s="86"/>
      <c r="L1362" s="86"/>
      <c r="M1362" s="86"/>
      <c r="N1362" s="86"/>
      <c r="O1362" s="86"/>
      <c r="P1362" s="86"/>
      <c r="Q1362" s="86"/>
      <c r="R1362" s="86"/>
      <c r="S1362" s="86"/>
      <c r="T1362" s="86"/>
      <c r="U1362" s="86"/>
      <c r="V1362" s="86"/>
      <c r="W1362" s="86"/>
      <c r="X1362" s="86"/>
      <c r="Y1362" s="86"/>
      <c r="Z1362" s="86"/>
      <c r="AA1362" s="86"/>
      <c r="AB1362" s="86"/>
      <c r="AC1362" s="86"/>
      <c r="AD1362" s="86"/>
      <c r="AE1362" s="86"/>
    </row>
    <row r="1363" spans="1:31">
      <c r="A1363" s="86"/>
      <c r="B1363" s="86"/>
      <c r="C1363" s="86"/>
      <c r="D1363" s="86"/>
      <c r="E1363" s="86"/>
      <c r="F1363" s="86"/>
      <c r="G1363" s="86"/>
      <c r="H1363" s="86"/>
      <c r="I1363" s="86"/>
      <c r="J1363" s="86"/>
      <c r="K1363" s="86"/>
      <c r="L1363" s="86"/>
      <c r="M1363" s="86"/>
      <c r="N1363" s="86"/>
      <c r="O1363" s="86"/>
      <c r="P1363" s="86"/>
      <c r="Q1363" s="86"/>
      <c r="R1363" s="86"/>
      <c r="S1363" s="86"/>
      <c r="T1363" s="86"/>
      <c r="U1363" s="86"/>
      <c r="V1363" s="86"/>
      <c r="W1363" s="86"/>
      <c r="X1363" s="86"/>
      <c r="Y1363" s="86"/>
      <c r="Z1363" s="86"/>
      <c r="AA1363" s="86"/>
      <c r="AB1363" s="86"/>
      <c r="AC1363" s="86"/>
      <c r="AD1363" s="86"/>
      <c r="AE1363" s="86"/>
    </row>
    <row r="1364" spans="1:31">
      <c r="A1364" s="86"/>
      <c r="B1364" s="86"/>
      <c r="C1364" s="86"/>
      <c r="D1364" s="86"/>
      <c r="E1364" s="86"/>
      <c r="F1364" s="86"/>
      <c r="G1364" s="86"/>
      <c r="H1364" s="86"/>
      <c r="I1364" s="86"/>
      <c r="J1364" s="86"/>
      <c r="K1364" s="86"/>
      <c r="L1364" s="86"/>
      <c r="M1364" s="86"/>
      <c r="N1364" s="86"/>
      <c r="O1364" s="86"/>
      <c r="P1364" s="86"/>
      <c r="Q1364" s="86"/>
      <c r="R1364" s="86"/>
      <c r="S1364" s="86"/>
      <c r="T1364" s="86"/>
      <c r="U1364" s="86"/>
      <c r="V1364" s="86"/>
      <c r="W1364" s="86"/>
      <c r="X1364" s="86"/>
      <c r="Y1364" s="86"/>
      <c r="Z1364" s="86"/>
      <c r="AA1364" s="86"/>
      <c r="AB1364" s="86"/>
      <c r="AC1364" s="86"/>
      <c r="AD1364" s="86"/>
      <c r="AE1364" s="86"/>
    </row>
    <row r="1365" spans="1:31">
      <c r="A1365" s="86"/>
      <c r="B1365" s="86"/>
      <c r="C1365" s="86"/>
      <c r="D1365" s="86"/>
      <c r="E1365" s="86"/>
      <c r="F1365" s="86"/>
      <c r="G1365" s="86"/>
      <c r="H1365" s="86"/>
      <c r="I1365" s="86"/>
      <c r="J1365" s="86"/>
      <c r="K1365" s="86"/>
      <c r="L1365" s="86"/>
      <c r="M1365" s="86"/>
      <c r="N1365" s="86"/>
      <c r="O1365" s="86"/>
      <c r="P1365" s="86"/>
      <c r="Q1365" s="86"/>
      <c r="R1365" s="86"/>
      <c r="S1365" s="86"/>
      <c r="T1365" s="86"/>
      <c r="U1365" s="86"/>
      <c r="V1365" s="86"/>
      <c r="W1365" s="86"/>
      <c r="X1365" s="86"/>
      <c r="Y1365" s="86"/>
      <c r="Z1365" s="86"/>
      <c r="AA1365" s="86"/>
      <c r="AB1365" s="86"/>
      <c r="AC1365" s="86"/>
      <c r="AD1365" s="86"/>
      <c r="AE1365" s="86"/>
    </row>
    <row r="1366" spans="1:31">
      <c r="A1366" s="86"/>
      <c r="B1366" s="86"/>
      <c r="C1366" s="86"/>
      <c r="D1366" s="86"/>
      <c r="E1366" s="86"/>
      <c r="F1366" s="86"/>
      <c r="G1366" s="86"/>
      <c r="H1366" s="86"/>
      <c r="I1366" s="86"/>
      <c r="J1366" s="86"/>
      <c r="K1366" s="86"/>
      <c r="L1366" s="86"/>
      <c r="M1366" s="86"/>
      <c r="N1366" s="86"/>
      <c r="O1366" s="86"/>
      <c r="P1366" s="86"/>
      <c r="Q1366" s="86"/>
      <c r="R1366" s="86"/>
      <c r="S1366" s="86"/>
      <c r="T1366" s="86"/>
      <c r="U1366" s="86"/>
      <c r="V1366" s="86"/>
      <c r="W1366" s="86"/>
      <c r="X1366" s="86"/>
      <c r="Y1366" s="86"/>
      <c r="Z1366" s="86"/>
      <c r="AA1366" s="86"/>
      <c r="AB1366" s="86"/>
      <c r="AC1366" s="86"/>
      <c r="AD1366" s="86"/>
      <c r="AE1366" s="86"/>
    </row>
    <row r="1367" spans="1:31">
      <c r="A1367" s="86"/>
      <c r="B1367" s="86"/>
      <c r="C1367" s="86"/>
      <c r="D1367" s="86"/>
      <c r="E1367" s="86"/>
      <c r="F1367" s="86"/>
      <c r="G1367" s="86"/>
      <c r="H1367" s="86"/>
      <c r="I1367" s="86"/>
      <c r="J1367" s="86"/>
      <c r="K1367" s="86"/>
      <c r="L1367" s="86"/>
      <c r="M1367" s="86"/>
      <c r="N1367" s="86"/>
      <c r="O1367" s="86"/>
      <c r="P1367" s="86"/>
      <c r="Q1367" s="86"/>
      <c r="R1367" s="86"/>
      <c r="S1367" s="86"/>
      <c r="T1367" s="86"/>
      <c r="U1367" s="86"/>
      <c r="V1367" s="86"/>
      <c r="W1367" s="86"/>
      <c r="X1367" s="86"/>
      <c r="Y1367" s="86"/>
      <c r="Z1367" s="86"/>
      <c r="AA1367" s="86"/>
      <c r="AB1367" s="86"/>
      <c r="AC1367" s="86"/>
      <c r="AD1367" s="86"/>
      <c r="AE1367" s="86"/>
    </row>
    <row r="1368" spans="1:31">
      <c r="A1368" s="86"/>
      <c r="B1368" s="86"/>
      <c r="C1368" s="86"/>
      <c r="D1368" s="86"/>
      <c r="E1368" s="86"/>
      <c r="F1368" s="86"/>
      <c r="G1368" s="86"/>
      <c r="H1368" s="86"/>
      <c r="I1368" s="86"/>
      <c r="J1368" s="86"/>
      <c r="K1368" s="86"/>
      <c r="L1368" s="86"/>
      <c r="M1368" s="86"/>
      <c r="N1368" s="86"/>
      <c r="O1368" s="86"/>
      <c r="P1368" s="86"/>
      <c r="Q1368" s="86"/>
      <c r="R1368" s="86"/>
      <c r="S1368" s="86"/>
      <c r="T1368" s="86"/>
      <c r="U1368" s="86"/>
      <c r="V1368" s="86"/>
      <c r="W1368" s="86"/>
      <c r="X1368" s="86"/>
      <c r="Y1368" s="86"/>
      <c r="Z1368" s="86"/>
      <c r="AA1368" s="86"/>
      <c r="AB1368" s="86"/>
      <c r="AC1368" s="86"/>
      <c r="AD1368" s="86"/>
      <c r="AE1368" s="86"/>
    </row>
    <row r="1369" spans="1:31">
      <c r="A1369" s="86"/>
      <c r="B1369" s="86"/>
      <c r="C1369" s="86"/>
      <c r="D1369" s="86"/>
      <c r="E1369" s="86"/>
      <c r="F1369" s="86"/>
      <c r="G1369" s="86"/>
      <c r="H1369" s="86"/>
      <c r="I1369" s="86"/>
      <c r="J1369" s="86"/>
      <c r="K1369" s="86"/>
      <c r="L1369" s="86"/>
      <c r="M1369" s="86"/>
      <c r="N1369" s="86"/>
      <c r="O1369" s="86"/>
      <c r="P1369" s="86"/>
      <c r="Q1369" s="86"/>
      <c r="R1369" s="86"/>
      <c r="S1369" s="86"/>
      <c r="T1369" s="86"/>
      <c r="U1369" s="86"/>
      <c r="V1369" s="86"/>
      <c r="W1369" s="86"/>
      <c r="X1369" s="86"/>
      <c r="Y1369" s="86"/>
      <c r="Z1369" s="86"/>
      <c r="AA1369" s="86"/>
      <c r="AB1369" s="86"/>
      <c r="AC1369" s="86"/>
      <c r="AD1369" s="86"/>
      <c r="AE1369" s="86"/>
    </row>
    <row r="1370" spans="1:31">
      <c r="A1370" s="86"/>
      <c r="B1370" s="86"/>
      <c r="C1370" s="86"/>
      <c r="D1370" s="86"/>
      <c r="E1370" s="86"/>
      <c r="F1370" s="86"/>
      <c r="G1370" s="86"/>
      <c r="H1370" s="86"/>
      <c r="I1370" s="86"/>
      <c r="J1370" s="86"/>
      <c r="K1370" s="86"/>
      <c r="L1370" s="86"/>
      <c r="M1370" s="86"/>
      <c r="N1370" s="86"/>
      <c r="O1370" s="86"/>
      <c r="P1370" s="86"/>
      <c r="Q1370" s="86"/>
      <c r="R1370" s="86"/>
      <c r="S1370" s="86"/>
      <c r="T1370" s="86"/>
      <c r="U1370" s="86"/>
      <c r="V1370" s="86"/>
      <c r="W1370" s="86"/>
      <c r="X1370" s="86"/>
      <c r="Y1370" s="86"/>
      <c r="Z1370" s="86"/>
      <c r="AA1370" s="86"/>
      <c r="AB1370" s="86"/>
      <c r="AC1370" s="86"/>
      <c r="AD1370" s="86"/>
      <c r="AE1370" s="86"/>
    </row>
    <row r="1371" spans="1:31">
      <c r="A1371" s="86"/>
      <c r="B1371" s="86"/>
      <c r="C1371" s="86"/>
      <c r="D1371" s="86"/>
      <c r="E1371" s="86"/>
      <c r="F1371" s="86"/>
      <c r="G1371" s="86"/>
      <c r="H1371" s="86"/>
      <c r="I1371" s="86"/>
      <c r="J1371" s="86"/>
      <c r="K1371" s="86"/>
      <c r="L1371" s="86"/>
      <c r="M1371" s="86"/>
      <c r="N1371" s="86"/>
      <c r="O1371" s="86"/>
      <c r="P1371" s="86"/>
      <c r="Q1371" s="86"/>
      <c r="R1371" s="86"/>
      <c r="S1371" s="86"/>
      <c r="T1371" s="86"/>
      <c r="U1371" s="86"/>
      <c r="V1371" s="86"/>
      <c r="W1371" s="86"/>
      <c r="X1371" s="86"/>
      <c r="Y1371" s="86"/>
      <c r="Z1371" s="86"/>
      <c r="AA1371" s="86"/>
      <c r="AB1371" s="86"/>
      <c r="AC1371" s="86"/>
      <c r="AD1371" s="86"/>
      <c r="AE1371" s="86"/>
    </row>
    <row r="1372" spans="1:31">
      <c r="A1372" s="86"/>
      <c r="B1372" s="86"/>
      <c r="C1372" s="86"/>
      <c r="D1372" s="86"/>
      <c r="E1372" s="86"/>
      <c r="F1372" s="86"/>
      <c r="G1372" s="86"/>
      <c r="H1372" s="86"/>
      <c r="I1372" s="86"/>
      <c r="J1372" s="86"/>
      <c r="K1372" s="86"/>
      <c r="L1372" s="86"/>
      <c r="M1372" s="86"/>
      <c r="N1372" s="86"/>
      <c r="O1372" s="86"/>
      <c r="P1372" s="86"/>
      <c r="Q1372" s="86"/>
      <c r="R1372" s="86"/>
      <c r="S1372" s="86"/>
      <c r="T1372" s="86"/>
      <c r="U1372" s="86"/>
      <c r="V1372" s="86"/>
      <c r="W1372" s="86"/>
      <c r="X1372" s="86"/>
      <c r="Y1372" s="86"/>
      <c r="Z1372" s="86"/>
      <c r="AA1372" s="86"/>
      <c r="AB1372" s="86"/>
      <c r="AC1372" s="86"/>
      <c r="AD1372" s="86"/>
      <c r="AE1372" s="86"/>
    </row>
    <row r="1373" spans="1:31">
      <c r="A1373" s="86"/>
      <c r="B1373" s="86"/>
      <c r="C1373" s="86"/>
      <c r="D1373" s="86"/>
      <c r="E1373" s="86"/>
      <c r="F1373" s="86"/>
      <c r="G1373" s="86"/>
      <c r="H1373" s="86"/>
      <c r="I1373" s="86"/>
      <c r="J1373" s="86"/>
      <c r="K1373" s="86"/>
      <c r="L1373" s="86"/>
      <c r="M1373" s="86"/>
      <c r="N1373" s="86"/>
      <c r="O1373" s="86"/>
      <c r="P1373" s="86"/>
      <c r="Q1373" s="86"/>
      <c r="R1373" s="86"/>
      <c r="S1373" s="86"/>
      <c r="T1373" s="86"/>
      <c r="U1373" s="86"/>
      <c r="V1373" s="86"/>
      <c r="W1373" s="86"/>
      <c r="X1373" s="86"/>
      <c r="Y1373" s="86"/>
      <c r="Z1373" s="86"/>
      <c r="AA1373" s="86"/>
      <c r="AB1373" s="86"/>
      <c r="AC1373" s="86"/>
      <c r="AD1373" s="86"/>
      <c r="AE1373" s="86"/>
    </row>
    <row r="1374" spans="1:31">
      <c r="A1374" s="86"/>
      <c r="B1374" s="86"/>
      <c r="C1374" s="86"/>
      <c r="D1374" s="86"/>
      <c r="E1374" s="86"/>
      <c r="F1374" s="86"/>
      <c r="G1374" s="86"/>
      <c r="H1374" s="86"/>
      <c r="I1374" s="86"/>
      <c r="J1374" s="86"/>
      <c r="K1374" s="86"/>
      <c r="L1374" s="86"/>
      <c r="M1374" s="86"/>
      <c r="N1374" s="86"/>
      <c r="O1374" s="86"/>
      <c r="P1374" s="86"/>
      <c r="Q1374" s="86"/>
      <c r="R1374" s="86"/>
      <c r="S1374" s="86"/>
      <c r="T1374" s="86"/>
      <c r="U1374" s="86"/>
      <c r="V1374" s="86"/>
      <c r="W1374" s="86"/>
      <c r="X1374" s="86"/>
      <c r="Y1374" s="86"/>
      <c r="Z1374" s="86"/>
      <c r="AA1374" s="86"/>
      <c r="AB1374" s="86"/>
      <c r="AC1374" s="86"/>
      <c r="AD1374" s="86"/>
      <c r="AE1374" s="86"/>
    </row>
    <row r="1375" spans="1:31">
      <c r="A1375" s="86"/>
      <c r="B1375" s="86"/>
      <c r="C1375" s="86"/>
      <c r="D1375" s="86"/>
      <c r="E1375" s="86"/>
      <c r="F1375" s="86"/>
      <c r="G1375" s="86"/>
      <c r="H1375" s="86"/>
      <c r="I1375" s="86"/>
      <c r="J1375" s="86"/>
      <c r="K1375" s="86"/>
      <c r="L1375" s="86"/>
      <c r="M1375" s="86"/>
      <c r="N1375" s="86"/>
      <c r="O1375" s="86"/>
      <c r="P1375" s="86"/>
      <c r="Q1375" s="86"/>
      <c r="R1375" s="86"/>
      <c r="S1375" s="86"/>
      <c r="T1375" s="86"/>
      <c r="U1375" s="86"/>
      <c r="V1375" s="86"/>
      <c r="W1375" s="86"/>
      <c r="X1375" s="86"/>
      <c r="Y1375" s="86"/>
      <c r="Z1375" s="86"/>
      <c r="AA1375" s="86"/>
      <c r="AB1375" s="86"/>
      <c r="AC1375" s="86"/>
      <c r="AD1375" s="86"/>
      <c r="AE1375" s="86"/>
    </row>
    <row r="1376" spans="1:31">
      <c r="A1376" s="86"/>
      <c r="B1376" s="86"/>
      <c r="C1376" s="86"/>
      <c r="D1376" s="86"/>
      <c r="E1376" s="86"/>
      <c r="F1376" s="86"/>
      <c r="G1376" s="86"/>
      <c r="H1376" s="86"/>
      <c r="I1376" s="86"/>
      <c r="J1376" s="86"/>
      <c r="K1376" s="86"/>
      <c r="L1376" s="86"/>
      <c r="M1376" s="86"/>
      <c r="N1376" s="86"/>
      <c r="O1376" s="86"/>
      <c r="P1376" s="86"/>
      <c r="Q1376" s="86"/>
      <c r="R1376" s="86"/>
      <c r="S1376" s="86"/>
      <c r="T1376" s="86"/>
      <c r="U1376" s="86"/>
      <c r="V1376" s="86"/>
      <c r="W1376" s="86"/>
      <c r="X1376" s="86"/>
      <c r="Y1376" s="86"/>
      <c r="Z1376" s="86"/>
      <c r="AA1376" s="86"/>
      <c r="AB1376" s="86"/>
      <c r="AC1376" s="86"/>
      <c r="AD1376" s="86"/>
      <c r="AE1376" s="86"/>
    </row>
    <row r="1377" spans="1:31">
      <c r="A1377" s="86"/>
      <c r="B1377" s="86"/>
      <c r="C1377" s="86"/>
      <c r="D1377" s="86"/>
      <c r="E1377" s="86"/>
      <c r="F1377" s="86"/>
      <c r="G1377" s="86"/>
      <c r="H1377" s="86"/>
      <c r="I1377" s="86"/>
      <c r="J1377" s="86"/>
      <c r="K1377" s="86"/>
      <c r="L1377" s="86"/>
      <c r="M1377" s="86"/>
      <c r="N1377" s="86"/>
      <c r="O1377" s="86"/>
      <c r="P1377" s="86"/>
      <c r="Q1377" s="86"/>
      <c r="R1377" s="86"/>
      <c r="S1377" s="86"/>
      <c r="T1377" s="86"/>
      <c r="U1377" s="86"/>
      <c r="V1377" s="86"/>
      <c r="W1377" s="86"/>
      <c r="X1377" s="86"/>
      <c r="Y1377" s="86"/>
      <c r="Z1377" s="86"/>
      <c r="AA1377" s="86"/>
      <c r="AB1377" s="86"/>
      <c r="AC1377" s="86"/>
      <c r="AD1377" s="86"/>
      <c r="AE1377" s="86"/>
    </row>
    <row r="1378" spans="1:31">
      <c r="A1378" s="86"/>
      <c r="B1378" s="86"/>
      <c r="C1378" s="86"/>
      <c r="D1378" s="86"/>
      <c r="E1378" s="86"/>
      <c r="F1378" s="86"/>
      <c r="G1378" s="86"/>
      <c r="H1378" s="86"/>
      <c r="I1378" s="86"/>
      <c r="J1378" s="86"/>
      <c r="K1378" s="86"/>
      <c r="L1378" s="86"/>
      <c r="M1378" s="86"/>
      <c r="N1378" s="86"/>
      <c r="O1378" s="86"/>
      <c r="P1378" s="86"/>
      <c r="Q1378" s="86"/>
      <c r="R1378" s="86"/>
      <c r="S1378" s="86"/>
      <c r="T1378" s="86"/>
      <c r="U1378" s="86"/>
      <c r="V1378" s="86"/>
      <c r="W1378" s="86"/>
      <c r="X1378" s="86"/>
      <c r="Y1378" s="86"/>
      <c r="Z1378" s="86"/>
      <c r="AA1378" s="86"/>
      <c r="AB1378" s="86"/>
      <c r="AC1378" s="86"/>
      <c r="AD1378" s="86"/>
      <c r="AE1378" s="86"/>
    </row>
    <row r="1379" spans="1:31">
      <c r="A1379" s="86"/>
      <c r="B1379" s="86"/>
      <c r="C1379" s="86"/>
      <c r="D1379" s="86"/>
      <c r="E1379" s="86"/>
      <c r="F1379" s="86"/>
      <c r="G1379" s="86"/>
      <c r="H1379" s="86"/>
      <c r="I1379" s="86"/>
      <c r="J1379" s="86"/>
      <c r="K1379" s="86"/>
      <c r="L1379" s="86"/>
      <c r="M1379" s="86"/>
      <c r="N1379" s="86"/>
      <c r="O1379" s="86"/>
      <c r="P1379" s="86"/>
      <c r="Q1379" s="86"/>
      <c r="R1379" s="86"/>
      <c r="S1379" s="86"/>
      <c r="T1379" s="86"/>
      <c r="U1379" s="86"/>
      <c r="V1379" s="86"/>
      <c r="W1379" s="86"/>
      <c r="X1379" s="86"/>
      <c r="Y1379" s="86"/>
      <c r="Z1379" s="86"/>
      <c r="AA1379" s="86"/>
      <c r="AB1379" s="86"/>
      <c r="AC1379" s="86"/>
      <c r="AD1379" s="86"/>
      <c r="AE1379" s="86"/>
    </row>
    <row r="1380" spans="1:31">
      <c r="A1380" s="86"/>
      <c r="B1380" s="86"/>
      <c r="C1380" s="86"/>
      <c r="D1380" s="86"/>
      <c r="E1380" s="86"/>
      <c r="F1380" s="86"/>
      <c r="G1380" s="86"/>
      <c r="H1380" s="86"/>
      <c r="I1380" s="86"/>
      <c r="J1380" s="86"/>
      <c r="K1380" s="86"/>
      <c r="L1380" s="86"/>
      <c r="M1380" s="86"/>
      <c r="N1380" s="86"/>
      <c r="O1380" s="86"/>
      <c r="P1380" s="86"/>
      <c r="Q1380" s="86"/>
      <c r="R1380" s="86"/>
      <c r="S1380" s="86"/>
      <c r="T1380" s="86"/>
      <c r="U1380" s="86"/>
      <c r="V1380" s="86"/>
      <c r="W1380" s="86"/>
      <c r="X1380" s="86"/>
      <c r="Y1380" s="86"/>
      <c r="Z1380" s="86"/>
      <c r="AA1380" s="86"/>
      <c r="AB1380" s="86"/>
      <c r="AC1380" s="86"/>
      <c r="AD1380" s="86"/>
      <c r="AE1380" s="86"/>
    </row>
    <row r="1381" spans="1:31">
      <c r="A1381" s="86"/>
      <c r="B1381" s="86"/>
      <c r="C1381" s="86"/>
      <c r="D1381" s="86"/>
      <c r="E1381" s="86"/>
      <c r="F1381" s="86"/>
      <c r="G1381" s="86"/>
      <c r="H1381" s="86"/>
      <c r="I1381" s="86"/>
      <c r="J1381" s="86"/>
      <c r="K1381" s="86"/>
      <c r="L1381" s="86"/>
      <c r="M1381" s="86"/>
      <c r="N1381" s="86"/>
      <c r="O1381" s="86"/>
      <c r="P1381" s="86"/>
      <c r="Q1381" s="86"/>
      <c r="R1381" s="86"/>
      <c r="S1381" s="86"/>
      <c r="T1381" s="86"/>
      <c r="U1381" s="86"/>
      <c r="V1381" s="86"/>
      <c r="W1381" s="86"/>
      <c r="X1381" s="86"/>
      <c r="Y1381" s="86"/>
      <c r="Z1381" s="86"/>
      <c r="AA1381" s="86"/>
      <c r="AB1381" s="86"/>
      <c r="AC1381" s="86"/>
      <c r="AD1381" s="86"/>
      <c r="AE1381" s="86"/>
    </row>
    <row r="1382" spans="1:31">
      <c r="A1382" s="86"/>
      <c r="B1382" s="86"/>
      <c r="C1382" s="86"/>
      <c r="D1382" s="86"/>
      <c r="E1382" s="86"/>
      <c r="F1382" s="86"/>
      <c r="G1382" s="86"/>
      <c r="H1382" s="86"/>
      <c r="I1382" s="86"/>
      <c r="J1382" s="86"/>
      <c r="K1382" s="86"/>
      <c r="L1382" s="86"/>
      <c r="M1382" s="86"/>
      <c r="N1382" s="86"/>
      <c r="O1382" s="86"/>
      <c r="P1382" s="86"/>
      <c r="Q1382" s="86"/>
      <c r="R1382" s="86"/>
      <c r="S1382" s="86"/>
      <c r="T1382" s="86"/>
      <c r="U1382" s="86"/>
      <c r="V1382" s="86"/>
      <c r="W1382" s="86"/>
      <c r="X1382" s="86"/>
      <c r="Y1382" s="86"/>
      <c r="Z1382" s="86"/>
      <c r="AA1382" s="86"/>
      <c r="AB1382" s="86"/>
      <c r="AC1382" s="86"/>
      <c r="AD1382" s="86"/>
      <c r="AE1382" s="86"/>
    </row>
    <row r="1383" spans="1:31">
      <c r="A1383" s="86"/>
      <c r="B1383" s="86"/>
      <c r="C1383" s="86"/>
      <c r="D1383" s="86"/>
      <c r="E1383" s="86"/>
      <c r="F1383" s="86"/>
      <c r="G1383" s="86"/>
      <c r="H1383" s="86"/>
      <c r="I1383" s="86"/>
      <c r="J1383" s="86"/>
      <c r="K1383" s="86"/>
      <c r="L1383" s="86"/>
      <c r="M1383" s="86"/>
      <c r="N1383" s="86"/>
      <c r="O1383" s="86"/>
      <c r="P1383" s="86"/>
      <c r="Q1383" s="86"/>
      <c r="R1383" s="86"/>
      <c r="S1383" s="86"/>
      <c r="T1383" s="86"/>
      <c r="U1383" s="86"/>
      <c r="V1383" s="86"/>
      <c r="W1383" s="86"/>
      <c r="X1383" s="86"/>
      <c r="Y1383" s="86"/>
      <c r="Z1383" s="86"/>
      <c r="AA1383" s="86"/>
      <c r="AB1383" s="86"/>
      <c r="AC1383" s="86"/>
      <c r="AD1383" s="86"/>
      <c r="AE1383" s="86"/>
    </row>
    <row r="1384" spans="1:31">
      <c r="A1384" s="86"/>
      <c r="B1384" s="86"/>
      <c r="C1384" s="86"/>
      <c r="D1384" s="86"/>
      <c r="E1384" s="86"/>
      <c r="F1384" s="86"/>
      <c r="G1384" s="86"/>
      <c r="H1384" s="86"/>
      <c r="I1384" s="86"/>
      <c r="J1384" s="86"/>
      <c r="K1384" s="86"/>
      <c r="L1384" s="86"/>
      <c r="M1384" s="86"/>
      <c r="N1384" s="86"/>
      <c r="O1384" s="86"/>
      <c r="P1384" s="86"/>
      <c r="Q1384" s="86"/>
      <c r="R1384" s="86"/>
      <c r="S1384" s="86"/>
      <c r="T1384" s="86"/>
      <c r="U1384" s="86"/>
      <c r="V1384" s="86"/>
      <c r="W1384" s="86"/>
      <c r="X1384" s="86"/>
      <c r="Y1384" s="86"/>
      <c r="Z1384" s="86"/>
      <c r="AA1384" s="86"/>
      <c r="AB1384" s="86"/>
      <c r="AC1384" s="86"/>
      <c r="AD1384" s="86"/>
      <c r="AE1384" s="86"/>
    </row>
    <row r="1385" spans="1:31">
      <c r="A1385" s="86"/>
      <c r="B1385" s="86"/>
      <c r="C1385" s="86"/>
      <c r="D1385" s="86"/>
      <c r="E1385" s="86"/>
      <c r="F1385" s="86"/>
      <c r="G1385" s="86"/>
      <c r="H1385" s="86"/>
      <c r="I1385" s="86"/>
      <c r="J1385" s="86"/>
      <c r="K1385" s="86"/>
      <c r="L1385" s="86"/>
      <c r="M1385" s="86"/>
      <c r="N1385" s="86"/>
      <c r="O1385" s="86"/>
      <c r="P1385" s="86"/>
      <c r="Q1385" s="86"/>
      <c r="R1385" s="86"/>
      <c r="S1385" s="86"/>
      <c r="T1385" s="86"/>
      <c r="U1385" s="86"/>
      <c r="V1385" s="86"/>
      <c r="W1385" s="86"/>
      <c r="X1385" s="86"/>
      <c r="Y1385" s="86"/>
      <c r="Z1385" s="86"/>
      <c r="AA1385" s="86"/>
      <c r="AB1385" s="86"/>
      <c r="AC1385" s="86"/>
      <c r="AD1385" s="86"/>
      <c r="AE1385" s="86"/>
    </row>
    <row r="1386" spans="1:31">
      <c r="A1386" s="86"/>
      <c r="B1386" s="86"/>
      <c r="C1386" s="86"/>
      <c r="D1386" s="86"/>
      <c r="E1386" s="86"/>
      <c r="F1386" s="86"/>
      <c r="G1386" s="86"/>
      <c r="H1386" s="86"/>
      <c r="I1386" s="86"/>
      <c r="J1386" s="86"/>
      <c r="K1386" s="86"/>
      <c r="L1386" s="86"/>
      <c r="M1386" s="86"/>
      <c r="N1386" s="86"/>
      <c r="O1386" s="86"/>
      <c r="P1386" s="86"/>
      <c r="Q1386" s="86"/>
      <c r="R1386" s="86"/>
      <c r="S1386" s="86"/>
      <c r="T1386" s="86"/>
      <c r="U1386" s="86"/>
      <c r="V1386" s="86"/>
      <c r="W1386" s="86"/>
      <c r="X1386" s="86"/>
      <c r="Y1386" s="86"/>
      <c r="Z1386" s="86"/>
      <c r="AA1386" s="86"/>
      <c r="AB1386" s="86"/>
      <c r="AC1386" s="86"/>
      <c r="AD1386" s="86"/>
      <c r="AE1386" s="86"/>
    </row>
    <row r="1387" spans="1:31">
      <c r="A1387" s="86"/>
      <c r="B1387" s="86"/>
      <c r="C1387" s="86"/>
      <c r="D1387" s="86"/>
      <c r="E1387" s="86"/>
      <c r="F1387" s="86"/>
      <c r="G1387" s="86"/>
      <c r="H1387" s="86"/>
      <c r="I1387" s="86"/>
      <c r="J1387" s="86"/>
      <c r="K1387" s="86"/>
      <c r="L1387" s="86"/>
      <c r="M1387" s="86"/>
      <c r="N1387" s="86"/>
      <c r="O1387" s="86"/>
      <c r="P1387" s="86"/>
      <c r="Q1387" s="86"/>
      <c r="R1387" s="86"/>
      <c r="S1387" s="86"/>
      <c r="T1387" s="86"/>
      <c r="U1387" s="86"/>
      <c r="V1387" s="86"/>
      <c r="W1387" s="86"/>
      <c r="X1387" s="86"/>
      <c r="Y1387" s="86"/>
      <c r="Z1387" s="86"/>
      <c r="AA1387" s="86"/>
      <c r="AB1387" s="86"/>
      <c r="AC1387" s="86"/>
      <c r="AD1387" s="86"/>
      <c r="AE1387" s="86"/>
    </row>
    <row r="1388" spans="1:31">
      <c r="A1388" s="86"/>
      <c r="B1388" s="86"/>
      <c r="C1388" s="86"/>
      <c r="D1388" s="86"/>
      <c r="E1388" s="86"/>
      <c r="F1388" s="86"/>
      <c r="G1388" s="86"/>
      <c r="H1388" s="86"/>
      <c r="I1388" s="86"/>
      <c r="J1388" s="86"/>
      <c r="K1388" s="86"/>
      <c r="L1388" s="86"/>
      <c r="M1388" s="86"/>
      <c r="N1388" s="86"/>
      <c r="O1388" s="86"/>
      <c r="P1388" s="86"/>
      <c r="Q1388" s="86"/>
      <c r="R1388" s="86"/>
      <c r="S1388" s="86"/>
      <c r="T1388" s="86"/>
      <c r="U1388" s="86"/>
      <c r="V1388" s="86"/>
      <c r="W1388" s="86"/>
      <c r="X1388" s="86"/>
      <c r="Y1388" s="86"/>
      <c r="Z1388" s="86"/>
      <c r="AA1388" s="86"/>
      <c r="AB1388" s="86"/>
      <c r="AC1388" s="86"/>
      <c r="AD1388" s="86"/>
      <c r="AE1388" s="86"/>
    </row>
    <row r="1389" spans="1:31">
      <c r="A1389" s="86"/>
      <c r="B1389" s="86"/>
      <c r="C1389" s="86"/>
      <c r="D1389" s="86"/>
      <c r="E1389" s="86"/>
      <c r="F1389" s="86"/>
      <c r="G1389" s="86"/>
      <c r="H1389" s="86"/>
      <c r="I1389" s="86"/>
      <c r="J1389" s="86"/>
      <c r="K1389" s="86"/>
      <c r="L1389" s="86"/>
      <c r="M1389" s="86"/>
      <c r="N1389" s="86"/>
      <c r="O1389" s="86"/>
      <c r="P1389" s="86"/>
      <c r="Q1389" s="86"/>
      <c r="R1389" s="86"/>
      <c r="S1389" s="86"/>
      <c r="T1389" s="86"/>
      <c r="U1389" s="86"/>
      <c r="V1389" s="86"/>
      <c r="W1389" s="86"/>
      <c r="X1389" s="86"/>
      <c r="Y1389" s="86"/>
      <c r="Z1389" s="86"/>
      <c r="AA1389" s="86"/>
      <c r="AB1389" s="86"/>
      <c r="AC1389" s="86"/>
      <c r="AD1389" s="86"/>
      <c r="AE1389" s="86"/>
    </row>
    <row r="1390" spans="1:31">
      <c r="A1390" s="86"/>
      <c r="B1390" s="86"/>
      <c r="C1390" s="86"/>
      <c r="D1390" s="86"/>
      <c r="E1390" s="86"/>
      <c r="F1390" s="86"/>
      <c r="G1390" s="86"/>
      <c r="H1390" s="86"/>
      <c r="I1390" s="86"/>
      <c r="J1390" s="86"/>
      <c r="K1390" s="86"/>
      <c r="L1390" s="86"/>
      <c r="M1390" s="86"/>
      <c r="N1390" s="86"/>
      <c r="O1390" s="86"/>
      <c r="P1390" s="86"/>
      <c r="Q1390" s="86"/>
      <c r="R1390" s="86"/>
      <c r="S1390" s="86"/>
      <c r="T1390" s="86"/>
      <c r="U1390" s="86"/>
      <c r="V1390" s="86"/>
      <c r="W1390" s="86"/>
      <c r="X1390" s="86"/>
      <c r="Y1390" s="86"/>
      <c r="Z1390" s="86"/>
      <c r="AA1390" s="86"/>
      <c r="AB1390" s="86"/>
      <c r="AC1390" s="86"/>
      <c r="AD1390" s="86"/>
      <c r="AE1390" s="86"/>
    </row>
    <row r="1391" spans="1:31">
      <c r="A1391" s="86"/>
      <c r="B1391" s="86"/>
      <c r="C1391" s="86"/>
      <c r="D1391" s="86"/>
      <c r="E1391" s="86"/>
      <c r="F1391" s="86"/>
      <c r="G1391" s="86"/>
      <c r="H1391" s="86"/>
      <c r="I1391" s="86"/>
      <c r="J1391" s="86"/>
      <c r="K1391" s="86"/>
      <c r="L1391" s="86"/>
      <c r="M1391" s="86"/>
      <c r="N1391" s="86"/>
      <c r="O1391" s="86"/>
      <c r="P1391" s="86"/>
      <c r="Q1391" s="86"/>
      <c r="R1391" s="86"/>
      <c r="S1391" s="86"/>
      <c r="T1391" s="86"/>
      <c r="U1391" s="86"/>
      <c r="V1391" s="86"/>
      <c r="W1391" s="86"/>
      <c r="X1391" s="86"/>
      <c r="Y1391" s="86"/>
      <c r="Z1391" s="86"/>
      <c r="AA1391" s="86"/>
      <c r="AB1391" s="86"/>
      <c r="AC1391" s="86"/>
      <c r="AD1391" s="86"/>
      <c r="AE1391" s="86"/>
    </row>
    <row r="1392" spans="1:31">
      <c r="A1392" s="86"/>
      <c r="B1392" s="86"/>
      <c r="C1392" s="86"/>
      <c r="D1392" s="86"/>
      <c r="E1392" s="86"/>
      <c r="F1392" s="86"/>
      <c r="G1392" s="86"/>
      <c r="H1392" s="86"/>
      <c r="I1392" s="86"/>
      <c r="J1392" s="86"/>
      <c r="K1392" s="86"/>
      <c r="L1392" s="86"/>
      <c r="M1392" s="86"/>
      <c r="N1392" s="86"/>
      <c r="O1392" s="86"/>
      <c r="P1392" s="86"/>
      <c r="Q1392" s="86"/>
      <c r="R1392" s="86"/>
      <c r="S1392" s="86"/>
      <c r="T1392" s="86"/>
      <c r="U1392" s="86"/>
      <c r="V1392" s="86"/>
      <c r="W1392" s="86"/>
      <c r="X1392" s="86"/>
      <c r="Y1392" s="86"/>
      <c r="Z1392" s="86"/>
      <c r="AA1392" s="86"/>
      <c r="AB1392" s="86"/>
      <c r="AC1392" s="86"/>
      <c r="AD1392" s="86"/>
      <c r="AE1392" s="86"/>
    </row>
    <row r="1393" spans="1:31">
      <c r="A1393" s="86"/>
      <c r="B1393" s="86"/>
      <c r="C1393" s="86"/>
      <c r="D1393" s="86"/>
      <c r="E1393" s="86"/>
      <c r="F1393" s="86"/>
      <c r="G1393" s="86"/>
      <c r="H1393" s="86"/>
      <c r="I1393" s="86"/>
      <c r="J1393" s="86"/>
      <c r="K1393" s="86"/>
      <c r="L1393" s="86"/>
      <c r="M1393" s="86"/>
      <c r="N1393" s="86"/>
      <c r="O1393" s="86"/>
      <c r="P1393" s="86"/>
      <c r="Q1393" s="86"/>
      <c r="R1393" s="86"/>
      <c r="S1393" s="86"/>
      <c r="T1393" s="86"/>
      <c r="U1393" s="86"/>
      <c r="V1393" s="86"/>
      <c r="W1393" s="86"/>
      <c r="X1393" s="86"/>
      <c r="Y1393" s="86"/>
      <c r="Z1393" s="86"/>
      <c r="AA1393" s="86"/>
      <c r="AB1393" s="86"/>
      <c r="AC1393" s="86"/>
      <c r="AD1393" s="86"/>
      <c r="AE1393" s="86"/>
    </row>
    <row r="1394" spans="1:31">
      <c r="A1394" s="86"/>
      <c r="B1394" s="86"/>
      <c r="C1394" s="86"/>
      <c r="D1394" s="86"/>
      <c r="E1394" s="86"/>
      <c r="F1394" s="86"/>
      <c r="G1394" s="86"/>
      <c r="H1394" s="86"/>
      <c r="I1394" s="86"/>
      <c r="J1394" s="86"/>
      <c r="K1394" s="86"/>
      <c r="L1394" s="86"/>
      <c r="M1394" s="86"/>
      <c r="N1394" s="86"/>
      <c r="O1394" s="86"/>
      <c r="P1394" s="86"/>
      <c r="Q1394" s="86"/>
      <c r="R1394" s="86"/>
      <c r="S1394" s="86"/>
      <c r="T1394" s="86"/>
      <c r="U1394" s="86"/>
      <c r="V1394" s="86"/>
      <c r="W1394" s="86"/>
      <c r="X1394" s="86"/>
      <c r="Y1394" s="86"/>
      <c r="Z1394" s="86"/>
      <c r="AA1394" s="86"/>
      <c r="AB1394" s="86"/>
      <c r="AC1394" s="86"/>
      <c r="AD1394" s="86"/>
      <c r="AE1394" s="86"/>
    </row>
    <row r="1395" spans="1:31">
      <c r="A1395" s="86"/>
      <c r="B1395" s="86"/>
      <c r="C1395" s="86"/>
      <c r="D1395" s="86"/>
      <c r="E1395" s="86"/>
      <c r="F1395" s="86"/>
      <c r="G1395" s="86"/>
      <c r="H1395" s="86"/>
      <c r="I1395" s="86"/>
      <c r="J1395" s="86"/>
      <c r="K1395" s="86"/>
      <c r="L1395" s="86"/>
      <c r="M1395" s="86"/>
      <c r="N1395" s="86"/>
      <c r="O1395" s="86"/>
      <c r="P1395" s="86"/>
      <c r="Q1395" s="86"/>
      <c r="R1395" s="86"/>
      <c r="S1395" s="86"/>
      <c r="T1395" s="86"/>
      <c r="U1395" s="86"/>
      <c r="V1395" s="86"/>
      <c r="W1395" s="86"/>
      <c r="X1395" s="86"/>
      <c r="Y1395" s="86"/>
      <c r="Z1395" s="86"/>
      <c r="AA1395" s="86"/>
      <c r="AB1395" s="86"/>
      <c r="AC1395" s="86"/>
      <c r="AD1395" s="86"/>
      <c r="AE1395" s="86"/>
    </row>
    <row r="1396" spans="1:31">
      <c r="A1396" s="86"/>
      <c r="B1396" s="86"/>
      <c r="C1396" s="86"/>
      <c r="D1396" s="86"/>
      <c r="E1396" s="86"/>
      <c r="F1396" s="86"/>
      <c r="G1396" s="86"/>
      <c r="H1396" s="86"/>
      <c r="I1396" s="86"/>
      <c r="J1396" s="86"/>
      <c r="K1396" s="86"/>
      <c r="L1396" s="86"/>
      <c r="M1396" s="86"/>
      <c r="N1396" s="86"/>
      <c r="O1396" s="86"/>
      <c r="P1396" s="86"/>
      <c r="Q1396" s="86"/>
      <c r="R1396" s="86"/>
      <c r="S1396" s="86"/>
      <c r="T1396" s="86"/>
      <c r="U1396" s="86"/>
      <c r="V1396" s="86"/>
      <c r="W1396" s="86"/>
      <c r="X1396" s="86"/>
      <c r="Y1396" s="86"/>
      <c r="Z1396" s="86"/>
      <c r="AA1396" s="86"/>
      <c r="AB1396" s="86"/>
      <c r="AC1396" s="86"/>
      <c r="AD1396" s="86"/>
      <c r="AE1396" s="86"/>
    </row>
    <row r="1397" spans="1:31">
      <c r="A1397" s="86"/>
      <c r="B1397" s="86"/>
      <c r="C1397" s="86"/>
      <c r="D1397" s="86"/>
      <c r="E1397" s="86"/>
      <c r="F1397" s="86"/>
      <c r="G1397" s="86"/>
      <c r="H1397" s="86"/>
      <c r="I1397" s="86"/>
      <c r="J1397" s="86"/>
      <c r="K1397" s="86"/>
      <c r="L1397" s="86"/>
      <c r="M1397" s="86"/>
      <c r="N1397" s="86"/>
      <c r="O1397" s="86"/>
      <c r="P1397" s="86"/>
      <c r="Q1397" s="86"/>
      <c r="R1397" s="86"/>
      <c r="S1397" s="86"/>
      <c r="T1397" s="86"/>
      <c r="U1397" s="86"/>
      <c r="V1397" s="86"/>
      <c r="W1397" s="86"/>
      <c r="X1397" s="86"/>
      <c r="Y1397" s="86"/>
      <c r="Z1397" s="86"/>
      <c r="AA1397" s="86"/>
      <c r="AB1397" s="86"/>
      <c r="AC1397" s="86"/>
      <c r="AD1397" s="86"/>
      <c r="AE1397" s="86"/>
    </row>
    <row r="1398" spans="1:31">
      <c r="A1398" s="86"/>
      <c r="B1398" s="86"/>
      <c r="C1398" s="86"/>
      <c r="D1398" s="86"/>
      <c r="E1398" s="86"/>
      <c r="F1398" s="86"/>
      <c r="G1398" s="86"/>
      <c r="H1398" s="86"/>
      <c r="I1398" s="86"/>
      <c r="J1398" s="86"/>
      <c r="K1398" s="86"/>
      <c r="L1398" s="86"/>
      <c r="M1398" s="86"/>
      <c r="N1398" s="86"/>
      <c r="O1398" s="86"/>
      <c r="P1398" s="86"/>
      <c r="Q1398" s="86"/>
      <c r="R1398" s="86"/>
      <c r="S1398" s="86"/>
      <c r="T1398" s="86"/>
      <c r="U1398" s="86"/>
      <c r="V1398" s="86"/>
      <c r="W1398" s="86"/>
      <c r="X1398" s="86"/>
      <c r="Y1398" s="86"/>
      <c r="Z1398" s="86"/>
      <c r="AA1398" s="86"/>
      <c r="AB1398" s="86"/>
      <c r="AC1398" s="86"/>
      <c r="AD1398" s="86"/>
      <c r="AE1398" s="86"/>
    </row>
    <row r="1399" spans="1:31">
      <c r="A1399" s="86"/>
      <c r="B1399" s="86"/>
      <c r="C1399" s="86"/>
      <c r="D1399" s="86"/>
      <c r="E1399" s="86"/>
      <c r="F1399" s="86"/>
      <c r="G1399" s="86"/>
      <c r="H1399" s="86"/>
      <c r="I1399" s="86"/>
      <c r="J1399" s="86"/>
      <c r="K1399" s="86"/>
      <c r="L1399" s="86"/>
      <c r="M1399" s="86"/>
      <c r="N1399" s="86"/>
      <c r="O1399" s="86"/>
      <c r="P1399" s="86"/>
      <c r="Q1399" s="86"/>
      <c r="R1399" s="86"/>
      <c r="S1399" s="86"/>
      <c r="T1399" s="86"/>
      <c r="U1399" s="86"/>
      <c r="V1399" s="86"/>
      <c r="W1399" s="86"/>
      <c r="X1399" s="86"/>
      <c r="Y1399" s="86"/>
      <c r="Z1399" s="86"/>
      <c r="AA1399" s="86"/>
      <c r="AB1399" s="86"/>
      <c r="AC1399" s="86"/>
      <c r="AD1399" s="86"/>
      <c r="AE1399" s="86"/>
    </row>
    <row r="1400" spans="1:31">
      <c r="A1400" s="86"/>
      <c r="B1400" s="86"/>
      <c r="C1400" s="86"/>
      <c r="D1400" s="86"/>
      <c r="E1400" s="86"/>
      <c r="F1400" s="86"/>
      <c r="G1400" s="86"/>
      <c r="H1400" s="86"/>
      <c r="I1400" s="86"/>
      <c r="J1400" s="86"/>
      <c r="K1400" s="86"/>
      <c r="L1400" s="86"/>
      <c r="M1400" s="86"/>
      <c r="N1400" s="86"/>
      <c r="O1400" s="86"/>
      <c r="P1400" s="86"/>
      <c r="Q1400" s="86"/>
      <c r="R1400" s="86"/>
      <c r="S1400" s="86"/>
      <c r="T1400" s="86"/>
      <c r="U1400" s="86"/>
      <c r="V1400" s="86"/>
      <c r="W1400" s="86"/>
      <c r="X1400" s="86"/>
      <c r="Y1400" s="86"/>
      <c r="Z1400" s="86"/>
      <c r="AA1400" s="86"/>
      <c r="AB1400" s="86"/>
      <c r="AC1400" s="86"/>
      <c r="AD1400" s="86"/>
      <c r="AE1400" s="86"/>
    </row>
    <row r="1401" spans="1:31">
      <c r="A1401" s="86"/>
      <c r="B1401" s="86"/>
      <c r="C1401" s="86"/>
      <c r="D1401" s="86"/>
      <c r="E1401" s="86"/>
      <c r="F1401" s="86"/>
      <c r="G1401" s="86"/>
      <c r="H1401" s="86"/>
      <c r="I1401" s="86"/>
      <c r="J1401" s="86"/>
      <c r="K1401" s="86"/>
      <c r="L1401" s="86"/>
      <c r="M1401" s="86"/>
      <c r="N1401" s="86"/>
      <c r="O1401" s="86"/>
      <c r="P1401" s="86"/>
      <c r="Q1401" s="86"/>
      <c r="R1401" s="86"/>
      <c r="S1401" s="86"/>
      <c r="T1401" s="86"/>
      <c r="U1401" s="86"/>
      <c r="V1401" s="86"/>
      <c r="W1401" s="86"/>
      <c r="X1401" s="86"/>
      <c r="Y1401" s="86"/>
      <c r="Z1401" s="86"/>
      <c r="AA1401" s="86"/>
      <c r="AB1401" s="86"/>
      <c r="AC1401" s="86"/>
      <c r="AD1401" s="86"/>
      <c r="AE1401" s="86"/>
    </row>
    <row r="1402" spans="1:31">
      <c r="A1402" s="86"/>
      <c r="B1402" s="86"/>
      <c r="C1402" s="86"/>
      <c r="D1402" s="86"/>
      <c r="E1402" s="86"/>
      <c r="F1402" s="86"/>
      <c r="G1402" s="86"/>
      <c r="H1402" s="86"/>
      <c r="I1402" s="86"/>
      <c r="J1402" s="86"/>
      <c r="K1402" s="86"/>
      <c r="L1402" s="86"/>
      <c r="M1402" s="86"/>
      <c r="N1402" s="86"/>
      <c r="O1402" s="86"/>
      <c r="P1402" s="86"/>
      <c r="Q1402" s="86"/>
      <c r="R1402" s="86"/>
      <c r="S1402" s="86"/>
      <c r="T1402" s="86"/>
      <c r="U1402" s="86"/>
      <c r="V1402" s="86"/>
      <c r="W1402" s="86"/>
      <c r="X1402" s="86"/>
      <c r="Y1402" s="86"/>
      <c r="Z1402" s="86"/>
      <c r="AA1402" s="86"/>
      <c r="AB1402" s="86"/>
      <c r="AC1402" s="86"/>
      <c r="AD1402" s="86"/>
      <c r="AE1402" s="86"/>
    </row>
    <row r="1403" spans="1:31">
      <c r="A1403" s="86"/>
      <c r="B1403" s="86"/>
      <c r="C1403" s="86"/>
      <c r="D1403" s="86"/>
      <c r="E1403" s="86"/>
      <c r="F1403" s="86"/>
      <c r="G1403" s="86"/>
      <c r="H1403" s="86"/>
      <c r="I1403" s="86"/>
      <c r="J1403" s="86"/>
      <c r="K1403" s="86"/>
      <c r="L1403" s="86"/>
      <c r="M1403" s="86"/>
      <c r="N1403" s="86"/>
      <c r="O1403" s="86"/>
      <c r="P1403" s="86"/>
      <c r="Q1403" s="86"/>
      <c r="R1403" s="86"/>
      <c r="S1403" s="86"/>
      <c r="T1403" s="86"/>
      <c r="U1403" s="86"/>
      <c r="V1403" s="86"/>
      <c r="W1403" s="86"/>
      <c r="X1403" s="86"/>
      <c r="Y1403" s="86"/>
      <c r="Z1403" s="86"/>
      <c r="AA1403" s="86"/>
      <c r="AB1403" s="86"/>
      <c r="AC1403" s="86"/>
      <c r="AD1403" s="86"/>
      <c r="AE1403" s="86"/>
    </row>
    <row r="1404" spans="1:31">
      <c r="A1404" s="86"/>
      <c r="B1404" s="86"/>
      <c r="C1404" s="86"/>
      <c r="D1404" s="86"/>
      <c r="E1404" s="86"/>
      <c r="F1404" s="86"/>
      <c r="G1404" s="86"/>
      <c r="H1404" s="86"/>
      <c r="I1404" s="86"/>
      <c r="J1404" s="86"/>
      <c r="K1404" s="86"/>
      <c r="L1404" s="86"/>
      <c r="M1404" s="86"/>
      <c r="N1404" s="86"/>
      <c r="O1404" s="86"/>
      <c r="P1404" s="86"/>
      <c r="Q1404" s="86"/>
      <c r="R1404" s="86"/>
      <c r="S1404" s="86"/>
      <c r="T1404" s="86"/>
      <c r="U1404" s="86"/>
      <c r="V1404" s="86"/>
      <c r="W1404" s="86"/>
      <c r="X1404" s="86"/>
      <c r="Y1404" s="86"/>
      <c r="Z1404" s="86"/>
      <c r="AA1404" s="86"/>
      <c r="AB1404" s="86"/>
      <c r="AC1404" s="86"/>
      <c r="AD1404" s="86"/>
      <c r="AE1404" s="86"/>
    </row>
    <row r="1405" spans="1:31">
      <c r="A1405" s="86"/>
      <c r="B1405" s="86"/>
      <c r="C1405" s="86"/>
      <c r="D1405" s="86"/>
      <c r="E1405" s="86"/>
      <c r="F1405" s="86"/>
      <c r="G1405" s="86"/>
      <c r="H1405" s="86"/>
      <c r="I1405" s="86"/>
      <c r="J1405" s="86"/>
      <c r="K1405" s="86"/>
      <c r="L1405" s="86"/>
      <c r="M1405" s="86"/>
      <c r="N1405" s="86"/>
      <c r="O1405" s="86"/>
      <c r="P1405" s="86"/>
      <c r="Q1405" s="86"/>
      <c r="R1405" s="86"/>
      <c r="S1405" s="86"/>
      <c r="T1405" s="86"/>
      <c r="U1405" s="86"/>
      <c r="V1405" s="86"/>
      <c r="W1405" s="86"/>
      <c r="X1405" s="86"/>
      <c r="Y1405" s="86"/>
      <c r="Z1405" s="86"/>
      <c r="AA1405" s="86"/>
      <c r="AB1405" s="86"/>
      <c r="AC1405" s="86"/>
      <c r="AD1405" s="86"/>
      <c r="AE1405" s="86"/>
    </row>
    <row r="1406" spans="1:31">
      <c r="A1406" s="86"/>
      <c r="B1406" s="86"/>
      <c r="C1406" s="86"/>
      <c r="D1406" s="86"/>
      <c r="E1406" s="86"/>
      <c r="F1406" s="86"/>
      <c r="G1406" s="86"/>
      <c r="H1406" s="86"/>
      <c r="I1406" s="86"/>
      <c r="J1406" s="86"/>
      <c r="K1406" s="86"/>
      <c r="L1406" s="86"/>
      <c r="M1406" s="86"/>
      <c r="N1406" s="86"/>
      <c r="O1406" s="86"/>
      <c r="P1406" s="86"/>
      <c r="Q1406" s="86"/>
      <c r="R1406" s="86"/>
      <c r="S1406" s="86"/>
      <c r="T1406" s="86"/>
      <c r="U1406" s="86"/>
      <c r="V1406" s="86"/>
      <c r="W1406" s="86"/>
      <c r="X1406" s="86"/>
      <c r="Y1406" s="86"/>
      <c r="Z1406" s="86"/>
      <c r="AA1406" s="86"/>
      <c r="AB1406" s="86"/>
      <c r="AC1406" s="86"/>
      <c r="AD1406" s="86"/>
      <c r="AE1406" s="86"/>
    </row>
    <row r="1407" spans="1:31">
      <c r="A1407" s="86"/>
      <c r="B1407" s="86"/>
      <c r="C1407" s="86"/>
      <c r="D1407" s="86"/>
      <c r="E1407" s="86"/>
      <c r="F1407" s="86"/>
      <c r="G1407" s="86"/>
      <c r="H1407" s="86"/>
      <c r="I1407" s="86"/>
      <c r="J1407" s="86"/>
      <c r="K1407" s="86"/>
      <c r="L1407" s="86"/>
      <c r="M1407" s="86"/>
      <c r="N1407" s="86"/>
      <c r="O1407" s="86"/>
      <c r="P1407" s="86"/>
      <c r="Q1407" s="86"/>
      <c r="R1407" s="86"/>
      <c r="S1407" s="86"/>
      <c r="T1407" s="86"/>
      <c r="U1407" s="86"/>
      <c r="V1407" s="86"/>
      <c r="W1407" s="86"/>
      <c r="X1407" s="86"/>
      <c r="Y1407" s="86"/>
      <c r="Z1407" s="86"/>
      <c r="AA1407" s="86"/>
      <c r="AB1407" s="86"/>
      <c r="AC1407" s="86"/>
      <c r="AD1407" s="86"/>
      <c r="AE1407" s="86"/>
    </row>
    <row r="1408" spans="1:31">
      <c r="A1408" s="86"/>
      <c r="B1408" s="86"/>
      <c r="C1408" s="86"/>
      <c r="D1408" s="86"/>
      <c r="E1408" s="86"/>
      <c r="F1408" s="86"/>
      <c r="G1408" s="86"/>
      <c r="H1408" s="86"/>
      <c r="I1408" s="86"/>
      <c r="J1408" s="86"/>
      <c r="K1408" s="86"/>
      <c r="L1408" s="86"/>
      <c r="M1408" s="86"/>
      <c r="N1408" s="86"/>
      <c r="O1408" s="86"/>
      <c r="P1408" s="86"/>
      <c r="Q1408" s="86"/>
      <c r="R1408" s="86"/>
      <c r="S1408" s="86"/>
      <c r="T1408" s="86"/>
      <c r="U1408" s="86"/>
      <c r="V1408" s="86"/>
      <c r="W1408" s="86"/>
      <c r="X1408" s="86"/>
      <c r="Y1408" s="86"/>
      <c r="Z1408" s="86"/>
      <c r="AA1408" s="86"/>
      <c r="AB1408" s="86"/>
      <c r="AC1408" s="86"/>
      <c r="AD1408" s="86"/>
      <c r="AE1408" s="86"/>
    </row>
    <row r="1409" spans="1:31">
      <c r="A1409" s="86"/>
      <c r="B1409" s="86"/>
      <c r="C1409" s="86"/>
      <c r="D1409" s="86"/>
      <c r="E1409" s="86"/>
      <c r="F1409" s="86"/>
      <c r="G1409" s="86"/>
      <c r="H1409" s="86"/>
      <c r="I1409" s="86"/>
      <c r="J1409" s="86"/>
      <c r="K1409" s="86"/>
      <c r="L1409" s="86"/>
      <c r="M1409" s="86"/>
      <c r="N1409" s="86"/>
      <c r="O1409" s="86"/>
      <c r="P1409" s="86"/>
      <c r="Q1409" s="86"/>
      <c r="R1409" s="86"/>
      <c r="S1409" s="86"/>
      <c r="T1409" s="86"/>
      <c r="U1409" s="86"/>
      <c r="V1409" s="86"/>
      <c r="W1409" s="86"/>
      <c r="X1409" s="86"/>
      <c r="Y1409" s="86"/>
      <c r="Z1409" s="86"/>
      <c r="AA1409" s="86"/>
      <c r="AB1409" s="86"/>
      <c r="AC1409" s="86"/>
      <c r="AD1409" s="86"/>
      <c r="AE1409" s="86"/>
    </row>
    <row r="1410" spans="1:31">
      <c r="A1410" s="86"/>
      <c r="B1410" s="86"/>
      <c r="C1410" s="86"/>
      <c r="D1410" s="86"/>
      <c r="E1410" s="86"/>
      <c r="F1410" s="86"/>
      <c r="G1410" s="86"/>
      <c r="H1410" s="86"/>
      <c r="I1410" s="86"/>
      <c r="J1410" s="86"/>
      <c r="K1410" s="86"/>
      <c r="L1410" s="86"/>
      <c r="M1410" s="86"/>
      <c r="N1410" s="86"/>
      <c r="O1410" s="86"/>
      <c r="P1410" s="86"/>
      <c r="Q1410" s="86"/>
      <c r="R1410" s="86"/>
      <c r="S1410" s="86"/>
      <c r="T1410" s="86"/>
      <c r="U1410" s="86"/>
      <c r="V1410" s="86"/>
      <c r="W1410" s="86"/>
      <c r="X1410" s="86"/>
      <c r="Y1410" s="86"/>
      <c r="Z1410" s="86"/>
      <c r="AA1410" s="86"/>
      <c r="AB1410" s="86"/>
      <c r="AC1410" s="86"/>
      <c r="AD1410" s="86"/>
      <c r="AE1410" s="86"/>
    </row>
    <row r="1411" spans="1:31">
      <c r="A1411" s="86"/>
      <c r="B1411" s="86"/>
      <c r="C1411" s="86"/>
      <c r="D1411" s="86"/>
      <c r="E1411" s="86"/>
      <c r="F1411" s="86"/>
      <c r="G1411" s="86"/>
      <c r="H1411" s="86"/>
      <c r="I1411" s="86"/>
      <c r="J1411" s="86"/>
      <c r="K1411" s="86"/>
      <c r="L1411" s="86"/>
      <c r="M1411" s="86"/>
      <c r="N1411" s="86"/>
      <c r="O1411" s="86"/>
      <c r="P1411" s="86"/>
      <c r="Q1411" s="86"/>
      <c r="R1411" s="86"/>
      <c r="S1411" s="86"/>
      <c r="T1411" s="86"/>
      <c r="U1411" s="86"/>
      <c r="V1411" s="86"/>
      <c r="W1411" s="86"/>
      <c r="X1411" s="86"/>
      <c r="Y1411" s="86"/>
      <c r="Z1411" s="86"/>
      <c r="AA1411" s="86"/>
      <c r="AB1411" s="86"/>
      <c r="AC1411" s="86"/>
      <c r="AD1411" s="86"/>
      <c r="AE1411" s="86"/>
    </row>
    <row r="1412" spans="1:31">
      <c r="A1412" s="86"/>
      <c r="B1412" s="86"/>
      <c r="C1412" s="86"/>
      <c r="D1412" s="86"/>
      <c r="E1412" s="86"/>
      <c r="F1412" s="86"/>
      <c r="G1412" s="86"/>
      <c r="H1412" s="86"/>
      <c r="I1412" s="86"/>
      <c r="J1412" s="86"/>
      <c r="K1412" s="86"/>
      <c r="L1412" s="86"/>
      <c r="M1412" s="86"/>
      <c r="N1412" s="86"/>
      <c r="O1412" s="86"/>
      <c r="P1412" s="86"/>
      <c r="Q1412" s="86"/>
      <c r="R1412" s="86"/>
      <c r="S1412" s="86"/>
      <c r="T1412" s="86"/>
      <c r="U1412" s="86"/>
      <c r="V1412" s="86"/>
      <c r="W1412" s="86"/>
      <c r="X1412" s="86"/>
      <c r="Y1412" s="86"/>
      <c r="Z1412" s="86"/>
      <c r="AA1412" s="86"/>
      <c r="AB1412" s="86"/>
      <c r="AC1412" s="86"/>
      <c r="AD1412" s="86"/>
      <c r="AE1412" s="86"/>
    </row>
    <row r="1413" spans="1:31">
      <c r="A1413" s="86"/>
      <c r="B1413" s="86"/>
      <c r="C1413" s="86"/>
      <c r="D1413" s="86"/>
      <c r="E1413" s="86"/>
      <c r="F1413" s="86"/>
      <c r="G1413" s="86"/>
      <c r="H1413" s="86"/>
      <c r="I1413" s="86"/>
      <c r="J1413" s="86"/>
      <c r="K1413" s="86"/>
      <c r="L1413" s="86"/>
      <c r="M1413" s="86"/>
      <c r="N1413" s="86"/>
      <c r="O1413" s="86"/>
      <c r="P1413" s="86"/>
      <c r="Q1413" s="86"/>
      <c r="R1413" s="86"/>
      <c r="S1413" s="86"/>
      <c r="T1413" s="86"/>
      <c r="U1413" s="86"/>
      <c r="V1413" s="86"/>
      <c r="W1413" s="86"/>
      <c r="X1413" s="86"/>
      <c r="Y1413" s="86"/>
      <c r="Z1413" s="86"/>
      <c r="AA1413" s="86"/>
      <c r="AB1413" s="86"/>
      <c r="AC1413" s="86"/>
      <c r="AD1413" s="86"/>
      <c r="AE1413" s="86"/>
    </row>
    <row r="1414" spans="1:31">
      <c r="A1414" s="86"/>
      <c r="B1414" s="86"/>
      <c r="C1414" s="86"/>
      <c r="D1414" s="86"/>
      <c r="E1414" s="86"/>
      <c r="F1414" s="86"/>
      <c r="G1414" s="86"/>
      <c r="H1414" s="86"/>
      <c r="I1414" s="86"/>
      <c r="J1414" s="86"/>
      <c r="K1414" s="86"/>
      <c r="L1414" s="86"/>
      <c r="M1414" s="86"/>
      <c r="N1414" s="86"/>
      <c r="O1414" s="86"/>
      <c r="P1414" s="86"/>
      <c r="Q1414" s="86"/>
      <c r="R1414" s="86"/>
      <c r="S1414" s="86"/>
      <c r="T1414" s="86"/>
      <c r="U1414" s="86"/>
      <c r="V1414" s="86"/>
      <c r="W1414" s="86"/>
      <c r="X1414" s="86"/>
      <c r="Y1414" s="86"/>
      <c r="Z1414" s="86"/>
      <c r="AA1414" s="86"/>
      <c r="AB1414" s="86"/>
      <c r="AC1414" s="86"/>
      <c r="AD1414" s="86"/>
      <c r="AE1414" s="86"/>
    </row>
    <row r="1415" spans="1:31">
      <c r="A1415" s="86"/>
      <c r="B1415" s="86"/>
      <c r="C1415" s="86"/>
      <c r="D1415" s="86"/>
      <c r="E1415" s="86"/>
      <c r="F1415" s="86"/>
      <c r="G1415" s="86"/>
      <c r="H1415" s="86"/>
      <c r="I1415" s="86"/>
      <c r="J1415" s="86"/>
      <c r="K1415" s="86"/>
      <c r="L1415" s="86"/>
      <c r="M1415" s="86"/>
      <c r="N1415" s="86"/>
      <c r="O1415" s="86"/>
      <c r="P1415" s="86"/>
      <c r="Q1415" s="86"/>
      <c r="R1415" s="86"/>
      <c r="S1415" s="86"/>
      <c r="T1415" s="86"/>
      <c r="U1415" s="86"/>
      <c r="V1415" s="86"/>
      <c r="W1415" s="86"/>
      <c r="X1415" s="86"/>
      <c r="Y1415" s="86"/>
      <c r="Z1415" s="86"/>
      <c r="AA1415" s="86"/>
      <c r="AB1415" s="86"/>
      <c r="AC1415" s="86"/>
      <c r="AD1415" s="86"/>
      <c r="AE1415" s="86"/>
    </row>
    <row r="1416" spans="1:31">
      <c r="A1416" s="86"/>
      <c r="B1416" s="86"/>
      <c r="C1416" s="86"/>
      <c r="D1416" s="86"/>
      <c r="E1416" s="86"/>
      <c r="F1416" s="86"/>
      <c r="G1416" s="86"/>
      <c r="H1416" s="86"/>
      <c r="I1416" s="86"/>
      <c r="J1416" s="86"/>
      <c r="K1416" s="86"/>
      <c r="L1416" s="86"/>
      <c r="M1416" s="86"/>
      <c r="N1416" s="86"/>
      <c r="O1416" s="86"/>
      <c r="P1416" s="86"/>
      <c r="Q1416" s="86"/>
      <c r="R1416" s="86"/>
      <c r="S1416" s="86"/>
      <c r="T1416" s="86"/>
      <c r="U1416" s="86"/>
      <c r="V1416" s="86"/>
      <c r="W1416" s="86"/>
      <c r="X1416" s="86"/>
      <c r="Y1416" s="86"/>
      <c r="Z1416" s="86"/>
      <c r="AA1416" s="86"/>
      <c r="AB1416" s="86"/>
      <c r="AC1416" s="86"/>
      <c r="AD1416" s="86"/>
      <c r="AE1416" s="86"/>
    </row>
    <row r="1417" spans="1:31">
      <c r="A1417" s="86"/>
      <c r="B1417" s="86"/>
      <c r="C1417" s="86"/>
      <c r="D1417" s="86"/>
      <c r="E1417" s="86"/>
      <c r="F1417" s="86"/>
      <c r="G1417" s="86"/>
      <c r="H1417" s="86"/>
      <c r="I1417" s="86"/>
      <c r="J1417" s="86"/>
      <c r="K1417" s="86"/>
      <c r="L1417" s="86"/>
      <c r="M1417" s="86"/>
      <c r="N1417" s="86"/>
      <c r="O1417" s="86"/>
      <c r="P1417" s="86"/>
      <c r="Q1417" s="86"/>
      <c r="R1417" s="86"/>
      <c r="S1417" s="86"/>
      <c r="T1417" s="86"/>
      <c r="U1417" s="86"/>
      <c r="V1417" s="86"/>
      <c r="W1417" s="86"/>
      <c r="X1417" s="86"/>
      <c r="Y1417" s="86"/>
      <c r="Z1417" s="86"/>
      <c r="AA1417" s="86"/>
      <c r="AB1417" s="86"/>
      <c r="AC1417" s="86"/>
      <c r="AD1417" s="86"/>
      <c r="AE1417" s="86"/>
    </row>
    <row r="1418" spans="1:31">
      <c r="A1418" s="86"/>
      <c r="B1418" s="86"/>
      <c r="C1418" s="86"/>
      <c r="D1418" s="86"/>
      <c r="E1418" s="86"/>
      <c r="F1418" s="86"/>
      <c r="G1418" s="86"/>
      <c r="H1418" s="86"/>
      <c r="I1418" s="86"/>
      <c r="J1418" s="86"/>
      <c r="K1418" s="86"/>
      <c r="L1418" s="86"/>
      <c r="M1418" s="86"/>
      <c r="N1418" s="86"/>
      <c r="O1418" s="86"/>
      <c r="P1418" s="86"/>
      <c r="Q1418" s="86"/>
      <c r="R1418" s="86"/>
      <c r="S1418" s="86"/>
      <c r="T1418" s="86"/>
      <c r="U1418" s="86"/>
      <c r="V1418" s="86"/>
      <c r="W1418" s="86"/>
      <c r="X1418" s="86"/>
      <c r="Y1418" s="86"/>
      <c r="Z1418" s="86"/>
      <c r="AA1418" s="86"/>
      <c r="AB1418" s="86"/>
      <c r="AC1418" s="86"/>
      <c r="AD1418" s="86"/>
      <c r="AE1418" s="86"/>
    </row>
    <row r="1419" spans="1:31">
      <c r="A1419" s="86"/>
      <c r="B1419" s="86"/>
      <c r="C1419" s="86"/>
      <c r="D1419" s="86"/>
      <c r="E1419" s="86"/>
      <c r="F1419" s="86"/>
      <c r="G1419" s="86"/>
      <c r="H1419" s="86"/>
      <c r="I1419" s="86"/>
      <c r="J1419" s="86"/>
      <c r="K1419" s="86"/>
      <c r="L1419" s="86"/>
      <c r="M1419" s="86"/>
      <c r="N1419" s="86"/>
      <c r="O1419" s="86"/>
      <c r="P1419" s="86"/>
      <c r="Q1419" s="86"/>
      <c r="R1419" s="86"/>
      <c r="S1419" s="86"/>
      <c r="T1419" s="86"/>
      <c r="U1419" s="86"/>
      <c r="V1419" s="86"/>
      <c r="W1419" s="86"/>
      <c r="X1419" s="86"/>
      <c r="Y1419" s="86"/>
      <c r="Z1419" s="86"/>
      <c r="AA1419" s="86"/>
      <c r="AB1419" s="86"/>
      <c r="AC1419" s="86"/>
      <c r="AD1419" s="86"/>
      <c r="AE1419" s="86"/>
    </row>
    <row r="1420" spans="1:31">
      <c r="A1420" s="86"/>
      <c r="B1420" s="86"/>
      <c r="C1420" s="86"/>
      <c r="D1420" s="86"/>
      <c r="E1420" s="86"/>
      <c r="F1420" s="86"/>
      <c r="G1420" s="86"/>
      <c r="H1420" s="86"/>
      <c r="I1420" s="86"/>
      <c r="J1420" s="86"/>
      <c r="K1420" s="86"/>
      <c r="L1420" s="86"/>
      <c r="M1420" s="86"/>
      <c r="N1420" s="86"/>
      <c r="O1420" s="86"/>
      <c r="P1420" s="86"/>
      <c r="Q1420" s="86"/>
      <c r="R1420" s="86"/>
      <c r="S1420" s="86"/>
      <c r="T1420" s="86"/>
      <c r="U1420" s="86"/>
      <c r="V1420" s="86"/>
      <c r="W1420" s="86"/>
      <c r="X1420" s="86"/>
      <c r="Y1420" s="86"/>
      <c r="Z1420" s="86"/>
      <c r="AA1420" s="86"/>
      <c r="AB1420" s="86"/>
      <c r="AC1420" s="86"/>
      <c r="AD1420" s="86"/>
      <c r="AE1420" s="86"/>
    </row>
    <row r="1421" spans="1:31">
      <c r="A1421" s="86"/>
      <c r="B1421" s="86"/>
      <c r="C1421" s="86"/>
      <c r="D1421" s="86"/>
      <c r="E1421" s="86"/>
      <c r="F1421" s="86"/>
      <c r="G1421" s="86"/>
      <c r="H1421" s="86"/>
      <c r="I1421" s="86"/>
      <c r="J1421" s="86"/>
      <c r="K1421" s="86"/>
      <c r="L1421" s="86"/>
      <c r="M1421" s="86"/>
      <c r="N1421" s="86"/>
      <c r="O1421" s="86"/>
      <c r="P1421" s="86"/>
      <c r="Q1421" s="86"/>
      <c r="R1421" s="86"/>
      <c r="S1421" s="86"/>
      <c r="T1421" s="86"/>
      <c r="U1421" s="86"/>
      <c r="V1421" s="86"/>
      <c r="W1421" s="86"/>
      <c r="X1421" s="86"/>
      <c r="Y1421" s="86"/>
      <c r="Z1421" s="86"/>
      <c r="AA1421" s="86"/>
      <c r="AB1421" s="86"/>
      <c r="AC1421" s="86"/>
      <c r="AD1421" s="86"/>
      <c r="AE1421" s="86"/>
    </row>
    <row r="1422" spans="1:31">
      <c r="A1422" s="86"/>
      <c r="B1422" s="86"/>
      <c r="C1422" s="86"/>
      <c r="D1422" s="86"/>
      <c r="E1422" s="86"/>
      <c r="F1422" s="86"/>
      <c r="G1422" s="86"/>
      <c r="H1422" s="86"/>
      <c r="I1422" s="86"/>
      <c r="J1422" s="86"/>
      <c r="K1422" s="86"/>
      <c r="L1422" s="86"/>
      <c r="M1422" s="86"/>
      <c r="N1422" s="86"/>
      <c r="O1422" s="86"/>
      <c r="P1422" s="86"/>
      <c r="Q1422" s="86"/>
      <c r="R1422" s="86"/>
      <c r="S1422" s="86"/>
      <c r="T1422" s="86"/>
      <c r="U1422" s="86"/>
      <c r="V1422" s="86"/>
      <c r="W1422" s="86"/>
      <c r="X1422" s="86"/>
      <c r="Y1422" s="86"/>
      <c r="Z1422" s="86"/>
      <c r="AA1422" s="86"/>
      <c r="AB1422" s="86"/>
      <c r="AC1422" s="86"/>
      <c r="AD1422" s="86"/>
      <c r="AE1422" s="86"/>
    </row>
    <row r="1423" spans="1:31">
      <c r="A1423" s="86"/>
      <c r="B1423" s="86"/>
      <c r="C1423" s="86"/>
      <c r="D1423" s="86"/>
      <c r="E1423" s="86"/>
      <c r="F1423" s="86"/>
      <c r="G1423" s="86"/>
      <c r="H1423" s="86"/>
      <c r="I1423" s="86"/>
      <c r="J1423" s="86"/>
      <c r="K1423" s="86"/>
      <c r="L1423" s="86"/>
      <c r="M1423" s="86"/>
      <c r="N1423" s="86"/>
      <c r="O1423" s="86"/>
      <c r="P1423" s="86"/>
      <c r="Q1423" s="86"/>
      <c r="R1423" s="86"/>
      <c r="S1423" s="86"/>
      <c r="T1423" s="86"/>
      <c r="U1423" s="86"/>
      <c r="V1423" s="86"/>
      <c r="W1423" s="86"/>
      <c r="X1423" s="86"/>
      <c r="Y1423" s="86"/>
      <c r="Z1423" s="86"/>
      <c r="AA1423" s="86"/>
      <c r="AB1423" s="86"/>
      <c r="AC1423" s="86"/>
      <c r="AD1423" s="86"/>
      <c r="AE1423" s="86"/>
    </row>
    <row r="1424" spans="1:31">
      <c r="A1424" s="86"/>
      <c r="B1424" s="86"/>
      <c r="C1424" s="86"/>
      <c r="D1424" s="86"/>
      <c r="E1424" s="86"/>
      <c r="F1424" s="86"/>
      <c r="G1424" s="86"/>
      <c r="H1424" s="86"/>
      <c r="I1424" s="86"/>
      <c r="J1424" s="86"/>
      <c r="K1424" s="86"/>
      <c r="L1424" s="86"/>
      <c r="M1424" s="86"/>
      <c r="N1424" s="86"/>
      <c r="O1424" s="86"/>
      <c r="P1424" s="86"/>
      <c r="Q1424" s="86"/>
      <c r="R1424" s="86"/>
      <c r="S1424" s="86"/>
      <c r="T1424" s="86"/>
      <c r="U1424" s="86"/>
      <c r="V1424" s="86"/>
      <c r="W1424" s="86"/>
      <c r="X1424" s="86"/>
      <c r="Y1424" s="86"/>
      <c r="Z1424" s="86"/>
      <c r="AA1424" s="86"/>
      <c r="AB1424" s="86"/>
      <c r="AC1424" s="86"/>
      <c r="AD1424" s="86"/>
      <c r="AE1424" s="86"/>
    </row>
    <row r="1425" spans="1:31">
      <c r="A1425" s="86"/>
      <c r="B1425" s="86"/>
      <c r="C1425" s="86"/>
      <c r="D1425" s="86"/>
      <c r="E1425" s="86"/>
      <c r="F1425" s="86"/>
      <c r="G1425" s="86"/>
      <c r="H1425" s="86"/>
      <c r="I1425" s="86"/>
      <c r="J1425" s="86"/>
      <c r="K1425" s="86"/>
      <c r="L1425" s="86"/>
      <c r="M1425" s="86"/>
      <c r="N1425" s="86"/>
      <c r="O1425" s="86"/>
      <c r="P1425" s="86"/>
      <c r="Q1425" s="86"/>
      <c r="R1425" s="86"/>
      <c r="S1425" s="86"/>
      <c r="T1425" s="86"/>
      <c r="U1425" s="86"/>
      <c r="V1425" s="86"/>
      <c r="W1425" s="86"/>
      <c r="X1425" s="86"/>
      <c r="Y1425" s="86"/>
      <c r="Z1425" s="86"/>
      <c r="AA1425" s="86"/>
      <c r="AB1425" s="86"/>
      <c r="AC1425" s="86"/>
      <c r="AD1425" s="86"/>
      <c r="AE1425" s="86"/>
    </row>
    <row r="1426" spans="1:31">
      <c r="A1426" s="86"/>
      <c r="B1426" s="86"/>
      <c r="C1426" s="86"/>
      <c r="D1426" s="86"/>
      <c r="E1426" s="86"/>
      <c r="F1426" s="86"/>
      <c r="G1426" s="86"/>
      <c r="H1426" s="86"/>
      <c r="I1426" s="86"/>
      <c r="J1426" s="86"/>
      <c r="K1426" s="86"/>
      <c r="L1426" s="86"/>
      <c r="M1426" s="86"/>
      <c r="N1426" s="86"/>
      <c r="O1426" s="86"/>
      <c r="P1426" s="86"/>
      <c r="Q1426" s="86"/>
      <c r="R1426" s="86"/>
      <c r="S1426" s="86"/>
      <c r="T1426" s="86"/>
      <c r="U1426" s="86"/>
      <c r="V1426" s="86"/>
      <c r="W1426" s="86"/>
      <c r="X1426" s="86"/>
      <c r="Y1426" s="86"/>
      <c r="Z1426" s="86"/>
      <c r="AA1426" s="86"/>
      <c r="AB1426" s="86"/>
      <c r="AC1426" s="86"/>
      <c r="AD1426" s="86"/>
      <c r="AE1426" s="86"/>
    </row>
    <row r="1427" spans="1:31">
      <c r="A1427" s="86"/>
      <c r="B1427" s="86"/>
      <c r="C1427" s="86"/>
      <c r="D1427" s="86"/>
      <c r="E1427" s="86"/>
      <c r="F1427" s="86"/>
      <c r="G1427" s="86"/>
      <c r="H1427" s="86"/>
      <c r="I1427" s="86"/>
      <c r="J1427" s="86"/>
      <c r="K1427" s="86"/>
      <c r="L1427" s="86"/>
      <c r="M1427" s="86"/>
      <c r="N1427" s="86"/>
      <c r="O1427" s="86"/>
      <c r="P1427" s="86"/>
      <c r="Q1427" s="86"/>
      <c r="R1427" s="86"/>
      <c r="S1427" s="86"/>
      <c r="T1427" s="86"/>
      <c r="U1427" s="86"/>
      <c r="V1427" s="86"/>
      <c r="W1427" s="86"/>
      <c r="X1427" s="86"/>
      <c r="Y1427" s="86"/>
      <c r="Z1427" s="86"/>
      <c r="AA1427" s="86"/>
      <c r="AB1427" s="86"/>
      <c r="AC1427" s="86"/>
      <c r="AD1427" s="86"/>
      <c r="AE1427" s="86"/>
    </row>
    <row r="1428" spans="1:31">
      <c r="A1428" s="86"/>
      <c r="B1428" s="86"/>
      <c r="C1428" s="86"/>
      <c r="D1428" s="86"/>
      <c r="E1428" s="86"/>
      <c r="F1428" s="86"/>
      <c r="G1428" s="86"/>
      <c r="H1428" s="86"/>
      <c r="I1428" s="86"/>
      <c r="J1428" s="86"/>
      <c r="K1428" s="86"/>
      <c r="L1428" s="86"/>
      <c r="M1428" s="86"/>
      <c r="N1428" s="86"/>
      <c r="O1428" s="86"/>
      <c r="P1428" s="86"/>
      <c r="Q1428" s="86"/>
      <c r="R1428" s="86"/>
      <c r="S1428" s="86"/>
      <c r="T1428" s="86"/>
      <c r="U1428" s="86"/>
      <c r="V1428" s="86"/>
      <c r="W1428" s="86"/>
      <c r="X1428" s="86"/>
      <c r="Y1428" s="86"/>
      <c r="Z1428" s="86"/>
      <c r="AA1428" s="86"/>
      <c r="AB1428" s="86"/>
      <c r="AC1428" s="86"/>
      <c r="AD1428" s="86"/>
      <c r="AE1428" s="86"/>
    </row>
    <row r="1429" spans="1:31">
      <c r="A1429" s="86"/>
      <c r="B1429" s="86"/>
      <c r="C1429" s="86"/>
      <c r="D1429" s="86"/>
      <c r="E1429" s="86"/>
      <c r="F1429" s="86"/>
      <c r="G1429" s="86"/>
      <c r="H1429" s="86"/>
      <c r="I1429" s="86"/>
      <c r="J1429" s="86"/>
      <c r="K1429" s="86"/>
      <c r="L1429" s="86"/>
      <c r="M1429" s="86"/>
      <c r="N1429" s="86"/>
      <c r="O1429" s="86"/>
      <c r="P1429" s="86"/>
      <c r="Q1429" s="86"/>
      <c r="R1429" s="86"/>
      <c r="S1429" s="86"/>
      <c r="T1429" s="86"/>
      <c r="U1429" s="86"/>
      <c r="V1429" s="86"/>
      <c r="W1429" s="86"/>
      <c r="X1429" s="86"/>
      <c r="Y1429" s="86"/>
      <c r="Z1429" s="86"/>
      <c r="AA1429" s="86"/>
      <c r="AB1429" s="86"/>
      <c r="AC1429" s="86"/>
      <c r="AD1429" s="86"/>
      <c r="AE1429" s="86"/>
    </row>
    <row r="1430" spans="1:31">
      <c r="A1430" s="86"/>
      <c r="B1430" s="86"/>
      <c r="C1430" s="86"/>
      <c r="D1430" s="86"/>
      <c r="E1430" s="86"/>
      <c r="F1430" s="86"/>
      <c r="G1430" s="86"/>
      <c r="H1430" s="86"/>
      <c r="I1430" s="86"/>
      <c r="J1430" s="86"/>
      <c r="K1430" s="86"/>
      <c r="L1430" s="86"/>
      <c r="M1430" s="86"/>
      <c r="N1430" s="86"/>
      <c r="O1430" s="86"/>
      <c r="P1430" s="86"/>
      <c r="Q1430" s="86"/>
      <c r="R1430" s="86"/>
      <c r="S1430" s="86"/>
      <c r="T1430" s="86"/>
      <c r="U1430" s="86"/>
      <c r="V1430" s="86"/>
      <c r="W1430" s="86"/>
      <c r="X1430" s="86"/>
      <c r="Y1430" s="86"/>
      <c r="Z1430" s="86"/>
      <c r="AA1430" s="86"/>
      <c r="AB1430" s="86"/>
      <c r="AC1430" s="86"/>
      <c r="AD1430" s="86"/>
      <c r="AE1430" s="86"/>
    </row>
    <row r="1431" spans="1:31">
      <c r="A1431" s="86"/>
      <c r="B1431" s="86"/>
      <c r="C1431" s="86"/>
      <c r="D1431" s="86"/>
      <c r="E1431" s="86"/>
      <c r="F1431" s="86"/>
      <c r="G1431" s="86"/>
      <c r="H1431" s="86"/>
      <c r="I1431" s="86"/>
      <c r="J1431" s="86"/>
      <c r="K1431" s="86"/>
      <c r="L1431" s="86"/>
      <c r="M1431" s="86"/>
      <c r="N1431" s="86"/>
      <c r="O1431" s="86"/>
      <c r="P1431" s="86"/>
      <c r="Q1431" s="86"/>
      <c r="R1431" s="86"/>
      <c r="S1431" s="86"/>
      <c r="T1431" s="86"/>
      <c r="U1431" s="86"/>
      <c r="V1431" s="86"/>
      <c r="W1431" s="86"/>
      <c r="X1431" s="86"/>
      <c r="Y1431" s="86"/>
      <c r="Z1431" s="86"/>
      <c r="AA1431" s="86"/>
      <c r="AB1431" s="86"/>
      <c r="AC1431" s="86"/>
      <c r="AD1431" s="86"/>
      <c r="AE1431" s="86"/>
    </row>
    <row r="1432" spans="1:31">
      <c r="A1432" s="86"/>
      <c r="B1432" s="86"/>
      <c r="C1432" s="86"/>
      <c r="D1432" s="86"/>
      <c r="E1432" s="86"/>
      <c r="F1432" s="86"/>
      <c r="G1432" s="86"/>
      <c r="H1432" s="86"/>
      <c r="I1432" s="86"/>
      <c r="J1432" s="86"/>
      <c r="K1432" s="86"/>
      <c r="L1432" s="86"/>
      <c r="M1432" s="86"/>
      <c r="N1432" s="86"/>
      <c r="O1432" s="86"/>
      <c r="P1432" s="86"/>
      <c r="Q1432" s="86"/>
      <c r="R1432" s="86"/>
      <c r="S1432" s="86"/>
      <c r="T1432" s="86"/>
      <c r="U1432" s="86"/>
      <c r="V1432" s="86"/>
      <c r="W1432" s="86"/>
      <c r="X1432" s="86"/>
      <c r="Y1432" s="86"/>
      <c r="Z1432" s="86"/>
      <c r="AA1432" s="86"/>
      <c r="AB1432" s="86"/>
      <c r="AC1432" s="86"/>
      <c r="AD1432" s="86"/>
      <c r="AE1432" s="86"/>
    </row>
    <row r="1433" spans="1:31">
      <c r="A1433" s="86"/>
      <c r="B1433" s="86"/>
      <c r="C1433" s="86"/>
      <c r="D1433" s="86"/>
      <c r="E1433" s="86"/>
      <c r="F1433" s="86"/>
      <c r="G1433" s="86"/>
      <c r="H1433" s="86"/>
      <c r="I1433" s="86"/>
      <c r="J1433" s="86"/>
      <c r="K1433" s="86"/>
      <c r="L1433" s="86"/>
      <c r="M1433" s="86"/>
      <c r="N1433" s="86"/>
      <c r="O1433" s="86"/>
      <c r="P1433" s="86"/>
      <c r="Q1433" s="86"/>
      <c r="R1433" s="86"/>
      <c r="S1433" s="86"/>
      <c r="T1433" s="86"/>
      <c r="U1433" s="86"/>
      <c r="V1433" s="86"/>
      <c r="W1433" s="86"/>
      <c r="X1433" s="86"/>
      <c r="Y1433" s="86"/>
      <c r="Z1433" s="86"/>
      <c r="AA1433" s="86"/>
      <c r="AB1433" s="86"/>
      <c r="AC1433" s="86"/>
      <c r="AD1433" s="86"/>
      <c r="AE1433" s="86"/>
    </row>
    <row r="1434" spans="1:31">
      <c r="A1434" s="86"/>
      <c r="B1434" s="86"/>
      <c r="C1434" s="86"/>
      <c r="D1434" s="86"/>
      <c r="E1434" s="86"/>
      <c r="F1434" s="86"/>
      <c r="G1434" s="86"/>
      <c r="H1434" s="86"/>
      <c r="I1434" s="86"/>
      <c r="J1434" s="86"/>
      <c r="K1434" s="86"/>
      <c r="L1434" s="86"/>
      <c r="M1434" s="86"/>
      <c r="N1434" s="86"/>
      <c r="O1434" s="86"/>
      <c r="P1434" s="86"/>
      <c r="Q1434" s="86"/>
      <c r="R1434" s="86"/>
      <c r="S1434" s="86"/>
      <c r="T1434" s="86"/>
      <c r="U1434" s="86"/>
      <c r="V1434" s="86"/>
      <c r="W1434" s="86"/>
      <c r="X1434" s="86"/>
      <c r="Y1434" s="86"/>
      <c r="Z1434" s="86"/>
      <c r="AA1434" s="86"/>
      <c r="AB1434" s="86"/>
      <c r="AC1434" s="86"/>
      <c r="AD1434" s="86"/>
      <c r="AE1434" s="86"/>
    </row>
    <row r="1435" spans="1:31">
      <c r="A1435" s="86"/>
      <c r="B1435" s="86"/>
      <c r="C1435" s="86"/>
      <c r="D1435" s="86"/>
      <c r="E1435" s="86"/>
      <c r="F1435" s="86"/>
      <c r="G1435" s="86"/>
      <c r="H1435" s="86"/>
      <c r="I1435" s="86"/>
      <c r="J1435" s="86"/>
      <c r="K1435" s="86"/>
      <c r="L1435" s="86"/>
      <c r="M1435" s="86"/>
      <c r="N1435" s="86"/>
      <c r="O1435" s="86"/>
      <c r="P1435" s="86"/>
      <c r="Q1435" s="86"/>
      <c r="R1435" s="86"/>
      <c r="S1435" s="86"/>
      <c r="T1435" s="86"/>
      <c r="U1435" s="86"/>
      <c r="V1435" s="86"/>
      <c r="W1435" s="86"/>
      <c r="X1435" s="86"/>
      <c r="Y1435" s="86"/>
      <c r="Z1435" s="86"/>
      <c r="AA1435" s="86"/>
      <c r="AB1435" s="86"/>
      <c r="AC1435" s="86"/>
      <c r="AD1435" s="86"/>
      <c r="AE1435" s="86"/>
    </row>
    <row r="1436" spans="1:31">
      <c r="A1436" s="86"/>
      <c r="B1436" s="86"/>
      <c r="C1436" s="86"/>
      <c r="D1436" s="86"/>
      <c r="E1436" s="86"/>
      <c r="F1436" s="86"/>
      <c r="G1436" s="86"/>
      <c r="H1436" s="86"/>
      <c r="I1436" s="86"/>
      <c r="J1436" s="86"/>
      <c r="K1436" s="86"/>
      <c r="L1436" s="86"/>
      <c r="M1436" s="86"/>
      <c r="N1436" s="86"/>
      <c r="O1436" s="86"/>
      <c r="P1436" s="86"/>
      <c r="Q1436" s="86"/>
      <c r="R1436" s="86"/>
      <c r="S1436" s="86"/>
      <c r="T1436" s="86"/>
      <c r="U1436" s="86"/>
      <c r="V1436" s="86"/>
      <c r="W1436" s="86"/>
      <c r="X1436" s="86"/>
      <c r="Y1436" s="86"/>
      <c r="Z1436" s="86"/>
      <c r="AA1436" s="86"/>
      <c r="AB1436" s="86"/>
      <c r="AC1436" s="86"/>
      <c r="AD1436" s="86"/>
      <c r="AE1436" s="86"/>
    </row>
    <row r="1437" spans="1:31">
      <c r="A1437" s="86"/>
      <c r="B1437" s="86"/>
      <c r="C1437" s="86"/>
      <c r="D1437" s="86"/>
      <c r="E1437" s="86"/>
      <c r="F1437" s="86"/>
      <c r="G1437" s="86"/>
      <c r="H1437" s="86"/>
      <c r="I1437" s="86"/>
      <c r="J1437" s="86"/>
      <c r="K1437" s="86"/>
      <c r="L1437" s="86"/>
      <c r="M1437" s="86"/>
      <c r="N1437" s="86"/>
      <c r="O1437" s="86"/>
      <c r="P1437" s="86"/>
      <c r="Q1437" s="86"/>
      <c r="R1437" s="86"/>
      <c r="S1437" s="86"/>
      <c r="T1437" s="86"/>
      <c r="U1437" s="86"/>
      <c r="V1437" s="86"/>
      <c r="W1437" s="86"/>
      <c r="X1437" s="86"/>
      <c r="Y1437" s="86"/>
      <c r="Z1437" s="86"/>
      <c r="AA1437" s="86"/>
      <c r="AB1437" s="86"/>
      <c r="AC1437" s="86"/>
      <c r="AD1437" s="86"/>
      <c r="AE1437" s="86"/>
    </row>
    <row r="1438" spans="1:31">
      <c r="A1438" s="86"/>
      <c r="B1438" s="86"/>
      <c r="C1438" s="86"/>
      <c r="D1438" s="86"/>
      <c r="E1438" s="86"/>
      <c r="F1438" s="86"/>
      <c r="G1438" s="86"/>
      <c r="H1438" s="86"/>
      <c r="I1438" s="86"/>
      <c r="J1438" s="86"/>
      <c r="K1438" s="86"/>
      <c r="L1438" s="86"/>
      <c r="M1438" s="86"/>
      <c r="N1438" s="86"/>
      <c r="O1438" s="86"/>
      <c r="P1438" s="86"/>
      <c r="Q1438" s="86"/>
      <c r="R1438" s="86"/>
      <c r="S1438" s="86"/>
      <c r="T1438" s="86"/>
      <c r="U1438" s="86"/>
      <c r="V1438" s="86"/>
      <c r="W1438" s="86"/>
      <c r="X1438" s="86"/>
      <c r="Y1438" s="86"/>
      <c r="Z1438" s="86"/>
      <c r="AA1438" s="86"/>
      <c r="AB1438" s="86"/>
      <c r="AC1438" s="86"/>
      <c r="AD1438" s="86"/>
      <c r="AE1438" s="86"/>
    </row>
    <row r="1439" spans="1:31">
      <c r="A1439" s="86"/>
      <c r="B1439" s="86"/>
      <c r="C1439" s="86"/>
      <c r="D1439" s="86"/>
      <c r="E1439" s="86"/>
      <c r="F1439" s="86"/>
      <c r="G1439" s="86"/>
      <c r="H1439" s="86"/>
      <c r="I1439" s="86"/>
      <c r="J1439" s="86"/>
      <c r="K1439" s="86"/>
      <c r="L1439" s="86"/>
      <c r="M1439" s="86"/>
      <c r="N1439" s="86"/>
      <c r="O1439" s="86"/>
      <c r="P1439" s="86"/>
      <c r="Q1439" s="86"/>
      <c r="R1439" s="86"/>
      <c r="S1439" s="86"/>
      <c r="T1439" s="86"/>
      <c r="U1439" s="86"/>
      <c r="V1439" s="86"/>
      <c r="W1439" s="86"/>
      <c r="X1439" s="86"/>
      <c r="Y1439" s="86"/>
      <c r="Z1439" s="86"/>
      <c r="AA1439" s="86"/>
      <c r="AB1439" s="86"/>
      <c r="AC1439" s="86"/>
      <c r="AD1439" s="86"/>
      <c r="AE1439" s="86"/>
    </row>
    <row r="1440" spans="1:31">
      <c r="A1440" s="86"/>
      <c r="B1440" s="86"/>
      <c r="C1440" s="86"/>
      <c r="D1440" s="86"/>
      <c r="E1440" s="86"/>
      <c r="F1440" s="86"/>
      <c r="G1440" s="86"/>
      <c r="H1440" s="86"/>
      <c r="I1440" s="86"/>
      <c r="J1440" s="86"/>
      <c r="K1440" s="86"/>
      <c r="L1440" s="86"/>
      <c r="M1440" s="86"/>
      <c r="N1440" s="86"/>
      <c r="O1440" s="86"/>
      <c r="P1440" s="86"/>
      <c r="Q1440" s="86"/>
      <c r="R1440" s="86"/>
      <c r="S1440" s="86"/>
      <c r="T1440" s="86"/>
      <c r="U1440" s="86"/>
      <c r="V1440" s="86"/>
      <c r="W1440" s="86"/>
      <c r="X1440" s="86"/>
      <c r="Y1440" s="86"/>
      <c r="Z1440" s="86"/>
      <c r="AA1440" s="86"/>
      <c r="AB1440" s="86"/>
      <c r="AC1440" s="86"/>
      <c r="AD1440" s="86"/>
      <c r="AE1440" s="86"/>
    </row>
    <row r="1441" spans="1:31">
      <c r="A1441" s="86"/>
      <c r="B1441" s="86"/>
      <c r="C1441" s="86"/>
      <c r="D1441" s="86"/>
      <c r="E1441" s="86"/>
      <c r="F1441" s="86"/>
      <c r="G1441" s="86"/>
      <c r="H1441" s="86"/>
      <c r="I1441" s="86"/>
      <c r="J1441" s="86"/>
      <c r="K1441" s="86"/>
      <c r="L1441" s="86"/>
      <c r="M1441" s="86"/>
      <c r="N1441" s="86"/>
      <c r="O1441" s="86"/>
      <c r="P1441" s="86"/>
      <c r="Q1441" s="86"/>
      <c r="R1441" s="86"/>
      <c r="S1441" s="86"/>
      <c r="T1441" s="86"/>
      <c r="U1441" s="86"/>
      <c r="V1441" s="86"/>
      <c r="W1441" s="86"/>
      <c r="X1441" s="86"/>
      <c r="Y1441" s="86"/>
      <c r="Z1441" s="86"/>
      <c r="AA1441" s="86"/>
      <c r="AB1441" s="86"/>
      <c r="AC1441" s="86"/>
      <c r="AD1441" s="86"/>
      <c r="AE1441" s="86"/>
    </row>
    <row r="1442" spans="1:31">
      <c r="A1442" s="86"/>
      <c r="B1442" s="86"/>
      <c r="C1442" s="86"/>
      <c r="D1442" s="86"/>
      <c r="E1442" s="86"/>
      <c r="F1442" s="86"/>
      <c r="G1442" s="86"/>
      <c r="H1442" s="86"/>
      <c r="I1442" s="86"/>
      <c r="J1442" s="86"/>
      <c r="K1442" s="86"/>
      <c r="L1442" s="86"/>
      <c r="M1442" s="86"/>
      <c r="N1442" s="86"/>
      <c r="O1442" s="86"/>
      <c r="P1442" s="86"/>
      <c r="Q1442" s="86"/>
      <c r="R1442" s="86"/>
      <c r="S1442" s="86"/>
      <c r="T1442" s="86"/>
      <c r="U1442" s="86"/>
      <c r="V1442" s="86"/>
      <c r="W1442" s="86"/>
      <c r="X1442" s="86"/>
      <c r="Y1442" s="86"/>
      <c r="Z1442" s="86"/>
      <c r="AA1442" s="86"/>
      <c r="AB1442" s="86"/>
      <c r="AC1442" s="86"/>
      <c r="AD1442" s="86"/>
      <c r="AE1442" s="86"/>
    </row>
    <row r="1443" spans="1:31">
      <c r="A1443" s="86"/>
      <c r="B1443" s="86"/>
      <c r="C1443" s="86"/>
      <c r="D1443" s="86"/>
      <c r="E1443" s="86"/>
      <c r="F1443" s="86"/>
      <c r="G1443" s="86"/>
      <c r="H1443" s="86"/>
      <c r="I1443" s="86"/>
      <c r="J1443" s="86"/>
      <c r="K1443" s="86"/>
      <c r="L1443" s="86"/>
      <c r="M1443" s="86"/>
      <c r="N1443" s="86"/>
      <c r="O1443" s="86"/>
      <c r="P1443" s="86"/>
      <c r="Q1443" s="86"/>
      <c r="R1443" s="86"/>
      <c r="S1443" s="86"/>
      <c r="T1443" s="86"/>
      <c r="U1443" s="86"/>
      <c r="V1443" s="86"/>
      <c r="W1443" s="86"/>
      <c r="X1443" s="86"/>
      <c r="Y1443" s="86"/>
      <c r="Z1443" s="86"/>
      <c r="AA1443" s="86"/>
      <c r="AB1443" s="86"/>
      <c r="AC1443" s="86"/>
      <c r="AD1443" s="86"/>
      <c r="AE1443" s="86"/>
    </row>
    <row r="1444" spans="1:31">
      <c r="A1444" s="86"/>
      <c r="B1444" s="86"/>
      <c r="C1444" s="86"/>
      <c r="D1444" s="86"/>
      <c r="E1444" s="86"/>
      <c r="F1444" s="86"/>
      <c r="G1444" s="86"/>
      <c r="H1444" s="86"/>
      <c r="I1444" s="86"/>
      <c r="J1444" s="86"/>
      <c r="K1444" s="86"/>
      <c r="L1444" s="86"/>
      <c r="M1444" s="86"/>
      <c r="N1444" s="86"/>
      <c r="O1444" s="86"/>
      <c r="P1444" s="86"/>
      <c r="Q1444" s="86"/>
      <c r="R1444" s="86"/>
      <c r="S1444" s="86"/>
      <c r="T1444" s="86"/>
      <c r="U1444" s="86"/>
      <c r="V1444" s="86"/>
      <c r="W1444" s="86"/>
      <c r="X1444" s="86"/>
      <c r="Y1444" s="86"/>
      <c r="Z1444" s="86"/>
      <c r="AA1444" s="86"/>
      <c r="AB1444" s="86"/>
      <c r="AC1444" s="86"/>
      <c r="AD1444" s="86"/>
      <c r="AE1444" s="86"/>
    </row>
    <row r="1445" spans="1:31">
      <c r="A1445" s="86"/>
      <c r="B1445" s="86"/>
      <c r="C1445" s="86"/>
      <c r="D1445" s="86"/>
      <c r="E1445" s="86"/>
      <c r="F1445" s="86"/>
      <c r="G1445" s="86"/>
      <c r="H1445" s="86"/>
      <c r="I1445" s="86"/>
      <c r="J1445" s="86"/>
      <c r="K1445" s="86"/>
      <c r="L1445" s="86"/>
      <c r="M1445" s="86"/>
      <c r="N1445" s="86"/>
      <c r="O1445" s="86"/>
      <c r="P1445" s="86"/>
      <c r="Q1445" s="86"/>
      <c r="R1445" s="86"/>
      <c r="S1445" s="86"/>
      <c r="T1445" s="86"/>
      <c r="U1445" s="86"/>
      <c r="V1445" s="86"/>
      <c r="W1445" s="86"/>
      <c r="X1445" s="86"/>
      <c r="Y1445" s="86"/>
      <c r="Z1445" s="86"/>
      <c r="AA1445" s="86"/>
      <c r="AB1445" s="86"/>
      <c r="AC1445" s="86"/>
      <c r="AD1445" s="86"/>
      <c r="AE1445" s="86"/>
    </row>
    <row r="1446" spans="1:31">
      <c r="A1446" s="86"/>
      <c r="B1446" s="86"/>
      <c r="C1446" s="86"/>
      <c r="D1446" s="86"/>
      <c r="E1446" s="86"/>
      <c r="F1446" s="86"/>
      <c r="G1446" s="86"/>
      <c r="H1446" s="86"/>
      <c r="I1446" s="86"/>
      <c r="J1446" s="86"/>
      <c r="K1446" s="86"/>
      <c r="L1446" s="86"/>
      <c r="M1446" s="86"/>
      <c r="N1446" s="86"/>
      <c r="O1446" s="86"/>
      <c r="P1446" s="86"/>
      <c r="Q1446" s="86"/>
      <c r="R1446" s="86"/>
      <c r="S1446" s="86"/>
      <c r="T1446" s="86"/>
      <c r="U1446" s="86"/>
      <c r="V1446" s="86"/>
      <c r="W1446" s="86"/>
      <c r="X1446" s="86"/>
      <c r="Y1446" s="86"/>
      <c r="Z1446" s="86"/>
      <c r="AA1446" s="86"/>
      <c r="AB1446" s="86"/>
      <c r="AC1446" s="86"/>
      <c r="AD1446" s="86"/>
      <c r="AE1446" s="86"/>
    </row>
    <row r="1447" spans="1:31">
      <c r="A1447" s="86"/>
      <c r="B1447" s="86"/>
      <c r="C1447" s="86"/>
      <c r="D1447" s="86"/>
      <c r="E1447" s="86"/>
      <c r="F1447" s="86"/>
      <c r="G1447" s="86"/>
      <c r="H1447" s="86"/>
      <c r="I1447" s="86"/>
      <c r="J1447" s="86"/>
      <c r="K1447" s="86"/>
      <c r="L1447" s="86"/>
      <c r="M1447" s="86"/>
      <c r="N1447" s="86"/>
      <c r="O1447" s="86"/>
      <c r="P1447" s="86"/>
      <c r="Q1447" s="86"/>
      <c r="R1447" s="86"/>
      <c r="S1447" s="86"/>
      <c r="T1447" s="86"/>
      <c r="U1447" s="86"/>
      <c r="V1447" s="86"/>
      <c r="W1447" s="86"/>
      <c r="X1447" s="86"/>
      <c r="Y1447" s="86"/>
      <c r="Z1447" s="86"/>
      <c r="AA1447" s="86"/>
      <c r="AB1447" s="86"/>
      <c r="AC1447" s="86"/>
      <c r="AD1447" s="86"/>
      <c r="AE1447" s="86"/>
    </row>
    <row r="1448" spans="1:31">
      <c r="A1448" s="86"/>
      <c r="B1448" s="86"/>
      <c r="C1448" s="86"/>
      <c r="D1448" s="86"/>
      <c r="E1448" s="86"/>
      <c r="F1448" s="86"/>
      <c r="G1448" s="86"/>
      <c r="H1448" s="86"/>
      <c r="I1448" s="86"/>
      <c r="J1448" s="86"/>
      <c r="K1448" s="86"/>
      <c r="L1448" s="86"/>
      <c r="M1448" s="86"/>
      <c r="N1448" s="86"/>
      <c r="O1448" s="86"/>
      <c r="P1448" s="86"/>
      <c r="Q1448" s="86"/>
      <c r="R1448" s="86"/>
      <c r="S1448" s="86"/>
      <c r="T1448" s="86"/>
      <c r="U1448" s="86"/>
      <c r="V1448" s="86"/>
      <c r="W1448" s="86"/>
      <c r="X1448" s="86"/>
      <c r="Y1448" s="86"/>
      <c r="Z1448" s="86"/>
      <c r="AA1448" s="86"/>
      <c r="AB1448" s="86"/>
      <c r="AC1448" s="86"/>
      <c r="AD1448" s="86"/>
      <c r="AE1448" s="86"/>
    </row>
    <row r="1449" spans="1:31">
      <c r="A1449" s="86"/>
      <c r="B1449" s="86"/>
      <c r="C1449" s="86"/>
      <c r="D1449" s="86"/>
      <c r="E1449" s="86"/>
      <c r="F1449" s="86"/>
      <c r="G1449" s="86"/>
      <c r="H1449" s="86"/>
      <c r="I1449" s="86"/>
      <c r="J1449" s="86"/>
      <c r="K1449" s="86"/>
      <c r="L1449" s="86"/>
      <c r="M1449" s="86"/>
      <c r="N1449" s="86"/>
      <c r="O1449" s="86"/>
      <c r="P1449" s="86"/>
      <c r="Q1449" s="86"/>
      <c r="R1449" s="86"/>
      <c r="S1449" s="86"/>
      <c r="T1449" s="86"/>
      <c r="U1449" s="86"/>
      <c r="V1449" s="86"/>
      <c r="W1449" s="86"/>
      <c r="X1449" s="86"/>
      <c r="Y1449" s="86"/>
      <c r="Z1449" s="86"/>
      <c r="AA1449" s="86"/>
      <c r="AB1449" s="86"/>
      <c r="AC1449" s="86"/>
      <c r="AD1449" s="86"/>
      <c r="AE1449" s="86"/>
    </row>
    <row r="1450" spans="1:31">
      <c r="A1450" s="86"/>
      <c r="B1450" s="86"/>
      <c r="C1450" s="86"/>
      <c r="D1450" s="86"/>
      <c r="E1450" s="86"/>
      <c r="F1450" s="86"/>
      <c r="G1450" s="86"/>
      <c r="H1450" s="86"/>
      <c r="I1450" s="86"/>
      <c r="J1450" s="86"/>
      <c r="K1450" s="86"/>
      <c r="L1450" s="86"/>
      <c r="M1450" s="86"/>
      <c r="N1450" s="86"/>
      <c r="O1450" s="86"/>
      <c r="P1450" s="86"/>
      <c r="Q1450" s="86"/>
      <c r="R1450" s="86"/>
      <c r="S1450" s="86"/>
      <c r="T1450" s="86"/>
      <c r="U1450" s="86"/>
      <c r="V1450" s="86"/>
      <c r="W1450" s="86"/>
      <c r="X1450" s="86"/>
      <c r="Y1450" s="86"/>
      <c r="Z1450" s="86"/>
      <c r="AA1450" s="86"/>
      <c r="AB1450" s="86"/>
      <c r="AC1450" s="86"/>
      <c r="AD1450" s="86"/>
      <c r="AE1450" s="86"/>
    </row>
    <row r="1451" spans="1:31">
      <c r="A1451" s="86"/>
      <c r="B1451" s="86"/>
      <c r="C1451" s="86"/>
      <c r="D1451" s="86"/>
      <c r="E1451" s="86"/>
      <c r="F1451" s="86"/>
      <c r="G1451" s="86"/>
      <c r="H1451" s="86"/>
      <c r="I1451" s="86"/>
      <c r="J1451" s="86"/>
      <c r="K1451" s="86"/>
      <c r="L1451" s="86"/>
      <c r="M1451" s="86"/>
      <c r="N1451" s="86"/>
      <c r="O1451" s="86"/>
      <c r="P1451" s="86"/>
      <c r="Q1451" s="86"/>
      <c r="R1451" s="86"/>
      <c r="S1451" s="86"/>
      <c r="T1451" s="86"/>
      <c r="U1451" s="86"/>
      <c r="V1451" s="86"/>
      <c r="W1451" s="86"/>
      <c r="X1451" s="86"/>
      <c r="Y1451" s="86"/>
      <c r="Z1451" s="86"/>
      <c r="AA1451" s="86"/>
      <c r="AB1451" s="86"/>
      <c r="AC1451" s="86"/>
      <c r="AD1451" s="86"/>
      <c r="AE1451" s="86"/>
    </row>
    <row r="1452" spans="1:31">
      <c r="A1452" s="86"/>
      <c r="B1452" s="86"/>
      <c r="C1452" s="86"/>
      <c r="D1452" s="86"/>
      <c r="E1452" s="86"/>
      <c r="F1452" s="86"/>
      <c r="G1452" s="86"/>
      <c r="H1452" s="86"/>
      <c r="I1452" s="86"/>
      <c r="J1452" s="86"/>
      <c r="K1452" s="86"/>
      <c r="L1452" s="86"/>
      <c r="M1452" s="86"/>
      <c r="N1452" s="86"/>
      <c r="O1452" s="86"/>
      <c r="P1452" s="86"/>
      <c r="Q1452" s="86"/>
      <c r="R1452" s="86"/>
      <c r="S1452" s="86"/>
      <c r="T1452" s="86"/>
      <c r="U1452" s="86"/>
      <c r="V1452" s="86"/>
      <c r="W1452" s="86"/>
      <c r="X1452" s="86"/>
      <c r="Y1452" s="86"/>
      <c r="Z1452" s="86"/>
      <c r="AA1452" s="86"/>
      <c r="AB1452" s="86"/>
      <c r="AC1452" s="86"/>
      <c r="AD1452" s="86"/>
      <c r="AE1452" s="86"/>
    </row>
    <row r="1453" spans="1:31">
      <c r="A1453" s="86"/>
      <c r="B1453" s="86"/>
      <c r="C1453" s="86"/>
      <c r="D1453" s="86"/>
      <c r="E1453" s="86"/>
      <c r="F1453" s="86"/>
      <c r="G1453" s="86"/>
      <c r="H1453" s="86"/>
      <c r="I1453" s="86"/>
      <c r="J1453" s="86"/>
      <c r="K1453" s="86"/>
      <c r="L1453" s="86"/>
      <c r="M1453" s="86"/>
      <c r="N1453" s="86"/>
      <c r="O1453" s="86"/>
      <c r="P1453" s="86"/>
      <c r="Q1453" s="86"/>
      <c r="R1453" s="86"/>
      <c r="S1453" s="86"/>
      <c r="T1453" s="86"/>
      <c r="U1453" s="86"/>
      <c r="V1453" s="86"/>
      <c r="W1453" s="86"/>
      <c r="X1453" s="86"/>
      <c r="Y1453" s="86"/>
      <c r="Z1453" s="86"/>
      <c r="AA1453" s="86"/>
      <c r="AB1453" s="86"/>
      <c r="AC1453" s="86"/>
      <c r="AD1453" s="86"/>
      <c r="AE1453" s="86"/>
    </row>
    <row r="1454" spans="1:31">
      <c r="A1454" s="86"/>
      <c r="B1454" s="86"/>
      <c r="C1454" s="86"/>
      <c r="D1454" s="86"/>
      <c r="E1454" s="86"/>
      <c r="F1454" s="86"/>
      <c r="G1454" s="86"/>
      <c r="H1454" s="86"/>
      <c r="I1454" s="86"/>
      <c r="J1454" s="86"/>
      <c r="K1454" s="86"/>
      <c r="L1454" s="86"/>
      <c r="M1454" s="86"/>
      <c r="N1454" s="86"/>
      <c r="O1454" s="86"/>
      <c r="P1454" s="86"/>
      <c r="Q1454" s="86"/>
      <c r="R1454" s="86"/>
      <c r="S1454" s="86"/>
      <c r="T1454" s="86"/>
      <c r="U1454" s="86"/>
      <c r="V1454" s="86"/>
      <c r="W1454" s="86"/>
      <c r="X1454" s="86"/>
      <c r="Y1454" s="86"/>
      <c r="Z1454" s="86"/>
      <c r="AA1454" s="86"/>
      <c r="AB1454" s="86"/>
      <c r="AC1454" s="86"/>
      <c r="AD1454" s="86"/>
      <c r="AE1454" s="86"/>
    </row>
    <row r="1455" spans="1:31">
      <c r="A1455" s="86"/>
      <c r="B1455" s="86"/>
      <c r="C1455" s="86"/>
      <c r="D1455" s="86"/>
      <c r="E1455" s="86"/>
      <c r="F1455" s="86"/>
      <c r="G1455" s="86"/>
      <c r="H1455" s="86"/>
      <c r="I1455" s="86"/>
      <c r="J1455" s="86"/>
      <c r="K1455" s="86"/>
      <c r="L1455" s="86"/>
      <c r="M1455" s="86"/>
      <c r="N1455" s="86"/>
      <c r="O1455" s="86"/>
      <c r="P1455" s="86"/>
      <c r="Q1455" s="86"/>
      <c r="R1455" s="86"/>
      <c r="S1455" s="86"/>
      <c r="T1455" s="86"/>
      <c r="U1455" s="86"/>
      <c r="V1455" s="86"/>
      <c r="W1455" s="86"/>
      <c r="X1455" s="86"/>
      <c r="Y1455" s="86"/>
      <c r="Z1455" s="86"/>
      <c r="AA1455" s="86"/>
      <c r="AB1455" s="86"/>
      <c r="AC1455" s="86"/>
      <c r="AD1455" s="86"/>
      <c r="AE1455" s="86"/>
    </row>
    <row r="1456" spans="1:31">
      <c r="A1456" s="86"/>
      <c r="B1456" s="86"/>
      <c r="C1456" s="86"/>
      <c r="D1456" s="86"/>
      <c r="E1456" s="86"/>
      <c r="F1456" s="86"/>
      <c r="G1456" s="86"/>
      <c r="H1456" s="86"/>
      <c r="I1456" s="86"/>
      <c r="J1456" s="86"/>
      <c r="K1456" s="86"/>
      <c r="L1456" s="86"/>
      <c r="M1456" s="86"/>
      <c r="N1456" s="86"/>
      <c r="O1456" s="86"/>
      <c r="P1456" s="86"/>
      <c r="Q1456" s="86"/>
      <c r="R1456" s="86"/>
      <c r="S1456" s="86"/>
      <c r="T1456" s="86"/>
      <c r="U1456" s="86"/>
      <c r="V1456" s="86"/>
      <c r="W1456" s="86"/>
      <c r="X1456" s="86"/>
      <c r="Y1456" s="86"/>
      <c r="Z1456" s="86"/>
      <c r="AA1456" s="86"/>
      <c r="AB1456" s="86"/>
      <c r="AC1456" s="86"/>
      <c r="AD1456" s="86"/>
      <c r="AE1456" s="86"/>
    </row>
    <row r="1457" spans="1:31">
      <c r="A1457" s="86"/>
      <c r="B1457" s="86"/>
      <c r="C1457" s="86"/>
      <c r="D1457" s="86"/>
      <c r="E1457" s="86"/>
      <c r="F1457" s="86"/>
      <c r="G1457" s="86"/>
      <c r="H1457" s="86"/>
      <c r="I1457" s="86"/>
      <c r="J1457" s="86"/>
      <c r="K1457" s="86"/>
      <c r="L1457" s="86"/>
      <c r="M1457" s="86"/>
      <c r="N1457" s="86"/>
      <c r="O1457" s="86"/>
      <c r="P1457" s="86"/>
      <c r="Q1457" s="86"/>
      <c r="R1457" s="86"/>
      <c r="S1457" s="86"/>
      <c r="T1457" s="86"/>
      <c r="U1457" s="86"/>
      <c r="V1457" s="86"/>
      <c r="W1457" s="86"/>
      <c r="X1457" s="86"/>
      <c r="Y1457" s="86"/>
      <c r="Z1457" s="86"/>
      <c r="AA1457" s="86"/>
      <c r="AB1457" s="86"/>
      <c r="AC1457" s="86"/>
      <c r="AD1457" s="86"/>
      <c r="AE1457" s="86"/>
    </row>
    <row r="1458" spans="1:31">
      <c r="A1458" s="86"/>
      <c r="B1458" s="86"/>
      <c r="C1458" s="86"/>
      <c r="D1458" s="86"/>
      <c r="E1458" s="86"/>
      <c r="F1458" s="86"/>
      <c r="G1458" s="86"/>
      <c r="H1458" s="86"/>
      <c r="I1458" s="86"/>
      <c r="J1458" s="86"/>
      <c r="K1458" s="86"/>
      <c r="L1458" s="86"/>
      <c r="M1458" s="86"/>
      <c r="N1458" s="86"/>
      <c r="O1458" s="86"/>
      <c r="P1458" s="86"/>
      <c r="Q1458" s="86"/>
      <c r="R1458" s="86"/>
      <c r="S1458" s="86"/>
      <c r="T1458" s="86"/>
      <c r="U1458" s="86"/>
      <c r="V1458" s="86"/>
      <c r="W1458" s="86"/>
      <c r="X1458" s="86"/>
      <c r="Y1458" s="86"/>
      <c r="Z1458" s="86"/>
      <c r="AA1458" s="86"/>
      <c r="AB1458" s="86"/>
      <c r="AC1458" s="86"/>
      <c r="AD1458" s="86"/>
      <c r="AE1458" s="86"/>
    </row>
    <row r="1459" spans="1:31">
      <c r="A1459" s="86"/>
      <c r="B1459" s="86"/>
      <c r="C1459" s="86"/>
      <c r="D1459" s="86"/>
      <c r="E1459" s="86"/>
      <c r="F1459" s="86"/>
      <c r="G1459" s="86"/>
      <c r="H1459" s="86"/>
      <c r="I1459" s="86"/>
      <c r="J1459" s="86"/>
      <c r="K1459" s="86"/>
      <c r="L1459" s="86"/>
      <c r="M1459" s="86"/>
      <c r="N1459" s="86"/>
      <c r="O1459" s="86"/>
      <c r="P1459" s="86"/>
      <c r="Q1459" s="86"/>
      <c r="R1459" s="86"/>
      <c r="S1459" s="86"/>
      <c r="T1459" s="86"/>
      <c r="U1459" s="86"/>
      <c r="V1459" s="86"/>
      <c r="W1459" s="86"/>
      <c r="X1459" s="86"/>
      <c r="Y1459" s="86"/>
      <c r="Z1459" s="86"/>
      <c r="AA1459" s="86"/>
      <c r="AB1459" s="86"/>
      <c r="AC1459" s="86"/>
      <c r="AD1459" s="86"/>
      <c r="AE1459" s="86"/>
    </row>
    <row r="1460" spans="1:31">
      <c r="A1460" s="86"/>
      <c r="B1460" s="86"/>
      <c r="C1460" s="86"/>
      <c r="D1460" s="86"/>
      <c r="E1460" s="86"/>
      <c r="F1460" s="86"/>
      <c r="G1460" s="86"/>
      <c r="H1460" s="86"/>
      <c r="I1460" s="86"/>
      <c r="J1460" s="86"/>
      <c r="K1460" s="86"/>
      <c r="L1460" s="86"/>
      <c r="M1460" s="86"/>
      <c r="N1460" s="86"/>
      <c r="O1460" s="86"/>
      <c r="P1460" s="86"/>
      <c r="Q1460" s="86"/>
      <c r="R1460" s="86"/>
      <c r="S1460" s="86"/>
      <c r="T1460" s="86"/>
      <c r="U1460" s="86"/>
      <c r="V1460" s="86"/>
      <c r="W1460" s="86"/>
      <c r="X1460" s="86"/>
      <c r="Y1460" s="86"/>
      <c r="Z1460" s="86"/>
      <c r="AA1460" s="86"/>
      <c r="AB1460" s="86"/>
      <c r="AC1460" s="86"/>
      <c r="AD1460" s="86"/>
      <c r="AE1460" s="86"/>
    </row>
    <row r="1461" spans="1:31">
      <c r="A1461" s="86"/>
      <c r="B1461" s="86"/>
      <c r="C1461" s="86"/>
      <c r="D1461" s="86"/>
      <c r="E1461" s="86"/>
      <c r="F1461" s="86"/>
      <c r="G1461" s="86"/>
      <c r="H1461" s="86"/>
      <c r="I1461" s="86"/>
      <c r="J1461" s="86"/>
      <c r="K1461" s="86"/>
      <c r="L1461" s="86"/>
      <c r="M1461" s="86"/>
      <c r="N1461" s="86"/>
      <c r="O1461" s="86"/>
      <c r="P1461" s="86"/>
      <c r="Q1461" s="86"/>
      <c r="R1461" s="86"/>
      <c r="S1461" s="86"/>
      <c r="T1461" s="86"/>
      <c r="U1461" s="86"/>
      <c r="V1461" s="86"/>
      <c r="W1461" s="86"/>
      <c r="X1461" s="86"/>
      <c r="Y1461" s="86"/>
      <c r="Z1461" s="86"/>
      <c r="AA1461" s="86"/>
      <c r="AB1461" s="86"/>
      <c r="AC1461" s="86"/>
      <c r="AD1461" s="86"/>
      <c r="AE1461" s="86"/>
    </row>
    <row r="1462" spans="1:31">
      <c r="A1462" s="86"/>
      <c r="B1462" s="86"/>
      <c r="C1462" s="86"/>
      <c r="D1462" s="86"/>
      <c r="E1462" s="86"/>
      <c r="F1462" s="86"/>
      <c r="G1462" s="86"/>
      <c r="H1462" s="86"/>
      <c r="I1462" s="86"/>
      <c r="J1462" s="86"/>
      <c r="K1462" s="86"/>
      <c r="L1462" s="86"/>
      <c r="M1462" s="86"/>
      <c r="N1462" s="86"/>
      <c r="O1462" s="86"/>
      <c r="P1462" s="86"/>
      <c r="Q1462" s="86"/>
      <c r="R1462" s="86"/>
      <c r="S1462" s="86"/>
      <c r="T1462" s="86"/>
      <c r="U1462" s="86"/>
      <c r="V1462" s="86"/>
      <c r="W1462" s="86"/>
      <c r="X1462" s="86"/>
      <c r="Y1462" s="86"/>
      <c r="Z1462" s="86"/>
      <c r="AA1462" s="86"/>
      <c r="AB1462" s="86"/>
      <c r="AC1462" s="86"/>
      <c r="AD1462" s="86"/>
      <c r="AE1462" s="86"/>
    </row>
    <row r="1463" spans="1:31">
      <c r="A1463" s="86"/>
      <c r="B1463" s="86"/>
      <c r="C1463" s="86"/>
      <c r="D1463" s="86"/>
      <c r="E1463" s="86"/>
      <c r="F1463" s="86"/>
      <c r="G1463" s="86"/>
      <c r="H1463" s="86"/>
      <c r="I1463" s="86"/>
      <c r="J1463" s="86"/>
      <c r="K1463" s="86"/>
      <c r="L1463" s="86"/>
      <c r="M1463" s="86"/>
      <c r="N1463" s="86"/>
      <c r="O1463" s="86"/>
      <c r="P1463" s="86"/>
      <c r="Q1463" s="86"/>
      <c r="R1463" s="86"/>
      <c r="S1463" s="86"/>
      <c r="T1463" s="86"/>
      <c r="U1463" s="86"/>
      <c r="V1463" s="86"/>
      <c r="W1463" s="86"/>
      <c r="X1463" s="86"/>
      <c r="Y1463" s="86"/>
      <c r="Z1463" s="86"/>
      <c r="AA1463" s="86"/>
      <c r="AB1463" s="86"/>
      <c r="AC1463" s="86"/>
      <c r="AD1463" s="86"/>
      <c r="AE1463" s="86"/>
    </row>
    <row r="1464" spans="1:31">
      <c r="A1464" s="86"/>
      <c r="B1464" s="86"/>
      <c r="C1464" s="86"/>
      <c r="D1464" s="86"/>
      <c r="E1464" s="86"/>
      <c r="F1464" s="86"/>
      <c r="G1464" s="86"/>
      <c r="H1464" s="86"/>
      <c r="I1464" s="86"/>
      <c r="J1464" s="86"/>
      <c r="K1464" s="86"/>
      <c r="L1464" s="86"/>
      <c r="M1464" s="86"/>
      <c r="N1464" s="86"/>
      <c r="O1464" s="86"/>
      <c r="P1464" s="86"/>
      <c r="Q1464" s="86"/>
      <c r="R1464" s="86"/>
      <c r="S1464" s="86"/>
      <c r="T1464" s="86"/>
      <c r="U1464" s="86"/>
      <c r="V1464" s="86"/>
      <c r="W1464" s="86"/>
      <c r="X1464" s="86"/>
      <c r="Y1464" s="86"/>
      <c r="Z1464" s="86"/>
      <c r="AA1464" s="86"/>
      <c r="AB1464" s="86"/>
      <c r="AC1464" s="86"/>
      <c r="AD1464" s="86"/>
      <c r="AE1464" s="86"/>
    </row>
    <row r="1465" spans="1:31">
      <c r="A1465" s="86"/>
      <c r="B1465" s="86"/>
      <c r="C1465" s="86"/>
      <c r="D1465" s="86"/>
      <c r="E1465" s="86"/>
      <c r="F1465" s="86"/>
      <c r="G1465" s="86"/>
      <c r="H1465" s="86"/>
      <c r="I1465" s="86"/>
      <c r="J1465" s="86"/>
      <c r="K1465" s="86"/>
      <c r="L1465" s="86"/>
      <c r="M1465" s="86"/>
      <c r="N1465" s="86"/>
      <c r="O1465" s="86"/>
      <c r="P1465" s="86"/>
      <c r="Q1465" s="86"/>
      <c r="R1465" s="86"/>
      <c r="S1465" s="86"/>
      <c r="T1465" s="86"/>
      <c r="U1465" s="86"/>
      <c r="V1465" s="86"/>
      <c r="W1465" s="86"/>
      <c r="X1465" s="86"/>
      <c r="Y1465" s="86"/>
      <c r="Z1465" s="86"/>
      <c r="AA1465" s="86"/>
      <c r="AB1465" s="86"/>
      <c r="AC1465" s="86"/>
      <c r="AD1465" s="86"/>
      <c r="AE1465" s="86"/>
    </row>
    <row r="1466" spans="1:31">
      <c r="A1466" s="86"/>
      <c r="B1466" s="86"/>
      <c r="C1466" s="86"/>
      <c r="D1466" s="86"/>
      <c r="E1466" s="86"/>
      <c r="F1466" s="86"/>
      <c r="G1466" s="86"/>
      <c r="H1466" s="86"/>
      <c r="I1466" s="86"/>
      <c r="J1466" s="86"/>
      <c r="K1466" s="86"/>
      <c r="L1466" s="86"/>
      <c r="M1466" s="86"/>
      <c r="N1466" s="86"/>
      <c r="O1466" s="86"/>
      <c r="P1466" s="86"/>
      <c r="Q1466" s="86"/>
      <c r="R1466" s="86"/>
      <c r="S1466" s="86"/>
      <c r="T1466" s="86"/>
      <c r="U1466" s="86"/>
      <c r="V1466" s="86"/>
      <c r="W1466" s="86"/>
      <c r="X1466" s="86"/>
      <c r="Y1466" s="86"/>
      <c r="Z1466" s="86"/>
      <c r="AA1466" s="86"/>
      <c r="AB1466" s="86"/>
      <c r="AC1466" s="86"/>
      <c r="AD1466" s="86"/>
      <c r="AE1466" s="86"/>
    </row>
    <row r="1467" spans="1:31">
      <c r="A1467" s="86"/>
      <c r="B1467" s="86"/>
      <c r="C1467" s="86"/>
      <c r="D1467" s="86"/>
      <c r="E1467" s="86"/>
      <c r="F1467" s="86"/>
      <c r="G1467" s="86"/>
      <c r="H1467" s="86"/>
      <c r="I1467" s="86"/>
      <c r="J1467" s="86"/>
      <c r="K1467" s="86"/>
      <c r="L1467" s="86"/>
      <c r="M1467" s="86"/>
      <c r="N1467" s="86"/>
      <c r="O1467" s="86"/>
      <c r="P1467" s="86"/>
      <c r="Q1467" s="86"/>
      <c r="R1467" s="86"/>
      <c r="S1467" s="86"/>
      <c r="T1467" s="86"/>
      <c r="U1467" s="86"/>
      <c r="V1467" s="86"/>
      <c r="W1467" s="86"/>
      <c r="X1467" s="86"/>
      <c r="Y1467" s="86"/>
      <c r="Z1467" s="86"/>
      <c r="AA1467" s="86"/>
      <c r="AB1467" s="86"/>
      <c r="AC1467" s="86"/>
      <c r="AD1467" s="86"/>
      <c r="AE1467" s="86"/>
    </row>
    <row r="1468" spans="1:31">
      <c r="A1468" s="86"/>
      <c r="B1468" s="86"/>
      <c r="C1468" s="86"/>
      <c r="D1468" s="86"/>
      <c r="E1468" s="86"/>
      <c r="F1468" s="86"/>
      <c r="G1468" s="86"/>
      <c r="H1468" s="86"/>
      <c r="I1468" s="86"/>
      <c r="J1468" s="86"/>
      <c r="K1468" s="86"/>
      <c r="L1468" s="86"/>
      <c r="M1468" s="86"/>
      <c r="N1468" s="86"/>
      <c r="O1468" s="86"/>
      <c r="P1468" s="86"/>
      <c r="Q1468" s="86"/>
      <c r="R1468" s="86"/>
      <c r="S1468" s="86"/>
      <c r="T1468" s="86"/>
      <c r="U1468" s="86"/>
      <c r="V1468" s="86"/>
      <c r="W1468" s="86"/>
      <c r="X1468" s="86"/>
      <c r="Y1468" s="86"/>
      <c r="Z1468" s="86"/>
      <c r="AA1468" s="86"/>
      <c r="AB1468" s="86"/>
      <c r="AC1468" s="86"/>
      <c r="AD1468" s="86"/>
      <c r="AE1468" s="86"/>
    </row>
    <row r="1469" spans="1:31">
      <c r="A1469" s="86"/>
      <c r="B1469" s="86"/>
      <c r="C1469" s="86"/>
      <c r="D1469" s="86"/>
      <c r="E1469" s="86"/>
      <c r="F1469" s="86"/>
      <c r="G1469" s="86"/>
      <c r="H1469" s="86"/>
      <c r="I1469" s="86"/>
      <c r="J1469" s="86"/>
      <c r="K1469" s="86"/>
      <c r="L1469" s="86"/>
      <c r="M1469" s="86"/>
      <c r="N1469" s="86"/>
      <c r="O1469" s="86"/>
      <c r="P1469" s="86"/>
      <c r="Q1469" s="86"/>
      <c r="R1469" s="86"/>
      <c r="S1469" s="86"/>
      <c r="T1469" s="86"/>
      <c r="U1469" s="86"/>
      <c r="V1469" s="86"/>
      <c r="W1469" s="86"/>
      <c r="X1469" s="86"/>
      <c r="Y1469" s="86"/>
      <c r="Z1469" s="86"/>
      <c r="AA1469" s="86"/>
      <c r="AB1469" s="86"/>
      <c r="AC1469" s="86"/>
      <c r="AD1469" s="86"/>
      <c r="AE1469" s="86"/>
    </row>
    <row r="1470" spans="1:31">
      <c r="A1470" s="86"/>
      <c r="B1470" s="86"/>
      <c r="C1470" s="86"/>
      <c r="D1470" s="86"/>
      <c r="E1470" s="86"/>
      <c r="F1470" s="86"/>
      <c r="G1470" s="86"/>
      <c r="H1470" s="86"/>
      <c r="I1470" s="86"/>
      <c r="J1470" s="86"/>
      <c r="K1470" s="86"/>
      <c r="L1470" s="86"/>
      <c r="M1470" s="86"/>
      <c r="N1470" s="86"/>
      <c r="O1470" s="86"/>
      <c r="P1470" s="86"/>
      <c r="Q1470" s="86"/>
      <c r="R1470" s="86"/>
      <c r="S1470" s="86"/>
      <c r="T1470" s="86"/>
      <c r="U1470" s="86"/>
      <c r="V1470" s="86"/>
      <c r="W1470" s="86"/>
      <c r="X1470" s="86"/>
      <c r="Y1470" s="86"/>
      <c r="Z1470" s="86"/>
      <c r="AA1470" s="86"/>
      <c r="AB1470" s="86"/>
      <c r="AC1470" s="86"/>
      <c r="AD1470" s="86"/>
      <c r="AE1470" s="86"/>
    </row>
    <row r="1471" spans="1:31">
      <c r="A1471" s="86"/>
      <c r="B1471" s="86"/>
      <c r="C1471" s="86"/>
      <c r="D1471" s="86"/>
      <c r="E1471" s="86"/>
      <c r="F1471" s="86"/>
      <c r="G1471" s="86"/>
      <c r="H1471" s="86"/>
      <c r="I1471" s="86"/>
      <c r="J1471" s="86"/>
      <c r="K1471" s="86"/>
      <c r="L1471" s="86"/>
      <c r="M1471" s="86"/>
      <c r="N1471" s="86"/>
      <c r="O1471" s="86"/>
      <c r="P1471" s="86"/>
      <c r="Q1471" s="86"/>
      <c r="R1471" s="86"/>
      <c r="S1471" s="86"/>
      <c r="T1471" s="86"/>
      <c r="U1471" s="86"/>
      <c r="V1471" s="86"/>
      <c r="W1471" s="86"/>
      <c r="X1471" s="86"/>
      <c r="Y1471" s="86"/>
      <c r="Z1471" s="86"/>
      <c r="AA1471" s="86"/>
      <c r="AB1471" s="86"/>
      <c r="AC1471" s="86"/>
      <c r="AD1471" s="86"/>
      <c r="AE1471" s="86"/>
    </row>
    <row r="1472" spans="1:31">
      <c r="A1472" s="86"/>
      <c r="B1472" s="86"/>
      <c r="C1472" s="86"/>
      <c r="D1472" s="86"/>
      <c r="E1472" s="86"/>
      <c r="F1472" s="86"/>
      <c r="G1472" s="86"/>
      <c r="H1472" s="86"/>
      <c r="I1472" s="86"/>
      <c r="J1472" s="86"/>
      <c r="K1472" s="86"/>
      <c r="L1472" s="86"/>
      <c r="M1472" s="86"/>
      <c r="N1472" s="86"/>
      <c r="O1472" s="86"/>
      <c r="P1472" s="86"/>
      <c r="Q1472" s="86"/>
      <c r="R1472" s="86"/>
      <c r="S1472" s="86"/>
      <c r="T1472" s="86"/>
      <c r="U1472" s="86"/>
      <c r="V1472" s="86"/>
      <c r="W1472" s="86"/>
      <c r="X1472" s="86"/>
      <c r="Y1472" s="86"/>
      <c r="Z1472" s="86"/>
      <c r="AA1472" s="86"/>
      <c r="AB1472" s="86"/>
      <c r="AC1472" s="86"/>
      <c r="AD1472" s="86"/>
      <c r="AE1472" s="86"/>
    </row>
    <row r="1473" spans="1:31">
      <c r="A1473" s="86"/>
      <c r="B1473" s="86"/>
      <c r="C1473" s="86"/>
      <c r="D1473" s="86"/>
      <c r="E1473" s="86"/>
      <c r="F1473" s="86"/>
      <c r="G1473" s="86"/>
      <c r="H1473" s="86"/>
      <c r="I1473" s="86"/>
      <c r="J1473" s="86"/>
      <c r="K1473" s="86"/>
      <c r="L1473" s="86"/>
      <c r="M1473" s="86"/>
      <c r="N1473" s="86"/>
      <c r="O1473" s="86"/>
      <c r="P1473" s="86"/>
      <c r="Q1473" s="86"/>
      <c r="R1473" s="86"/>
      <c r="S1473" s="86"/>
      <c r="T1473" s="86"/>
      <c r="U1473" s="86"/>
      <c r="V1473" s="86"/>
      <c r="W1473" s="86"/>
      <c r="X1473" s="86"/>
      <c r="Y1473" s="86"/>
      <c r="Z1473" s="86"/>
      <c r="AA1473" s="86"/>
      <c r="AB1473" s="86"/>
      <c r="AC1473" s="86"/>
      <c r="AD1473" s="86"/>
      <c r="AE1473" s="86"/>
    </row>
    <row r="1474" spans="1:31">
      <c r="A1474" s="86"/>
      <c r="B1474" s="86"/>
      <c r="C1474" s="86"/>
      <c r="D1474" s="86"/>
      <c r="E1474" s="86"/>
      <c r="F1474" s="86"/>
      <c r="G1474" s="86"/>
      <c r="H1474" s="86"/>
      <c r="I1474" s="86"/>
      <c r="J1474" s="86"/>
      <c r="K1474" s="86"/>
      <c r="L1474" s="86"/>
      <c r="M1474" s="86"/>
      <c r="N1474" s="86"/>
      <c r="O1474" s="86"/>
      <c r="P1474" s="86"/>
      <c r="Q1474" s="86"/>
      <c r="R1474" s="86"/>
      <c r="S1474" s="86"/>
      <c r="T1474" s="86"/>
      <c r="U1474" s="86"/>
      <c r="V1474" s="86"/>
      <c r="W1474" s="86"/>
      <c r="X1474" s="86"/>
      <c r="Y1474" s="86"/>
      <c r="Z1474" s="86"/>
      <c r="AA1474" s="86"/>
      <c r="AB1474" s="86"/>
      <c r="AC1474" s="86"/>
      <c r="AD1474" s="86"/>
      <c r="AE1474" s="86"/>
    </row>
    <row r="1475" spans="1:31">
      <c r="A1475" s="86"/>
      <c r="B1475" s="86"/>
      <c r="C1475" s="86"/>
      <c r="D1475" s="86"/>
      <c r="E1475" s="86"/>
      <c r="F1475" s="86"/>
      <c r="G1475" s="86"/>
      <c r="H1475" s="86"/>
      <c r="I1475" s="86"/>
      <c r="J1475" s="86"/>
      <c r="K1475" s="86"/>
      <c r="L1475" s="86"/>
      <c r="M1475" s="86"/>
      <c r="N1475" s="86"/>
      <c r="O1475" s="86"/>
      <c r="P1475" s="86"/>
      <c r="Q1475" s="86"/>
      <c r="R1475" s="86"/>
      <c r="S1475" s="86"/>
      <c r="T1475" s="86"/>
      <c r="U1475" s="86"/>
      <c r="V1475" s="86"/>
      <c r="W1475" s="86"/>
      <c r="X1475" s="86"/>
      <c r="Y1475" s="86"/>
      <c r="Z1475" s="86"/>
      <c r="AA1475" s="86"/>
      <c r="AB1475" s="86"/>
      <c r="AC1475" s="86"/>
      <c r="AD1475" s="86"/>
      <c r="AE1475" s="86"/>
    </row>
    <row r="1476" spans="1:31">
      <c r="A1476" s="86"/>
      <c r="B1476" s="86"/>
      <c r="C1476" s="86"/>
      <c r="D1476" s="86"/>
      <c r="E1476" s="86"/>
      <c r="F1476" s="86"/>
      <c r="G1476" s="86"/>
      <c r="H1476" s="86"/>
      <c r="I1476" s="86"/>
      <c r="J1476" s="86"/>
      <c r="K1476" s="86"/>
      <c r="L1476" s="86"/>
      <c r="M1476" s="86"/>
      <c r="N1476" s="86"/>
      <c r="O1476" s="86"/>
      <c r="P1476" s="86"/>
      <c r="Q1476" s="86"/>
      <c r="R1476" s="86"/>
      <c r="S1476" s="86"/>
      <c r="T1476" s="86"/>
      <c r="U1476" s="86"/>
      <c r="V1476" s="86"/>
      <c r="W1476" s="86"/>
      <c r="X1476" s="86"/>
      <c r="Y1476" s="86"/>
      <c r="Z1476" s="86"/>
      <c r="AA1476" s="86"/>
      <c r="AB1476" s="86"/>
      <c r="AC1476" s="86"/>
      <c r="AD1476" s="86"/>
      <c r="AE1476" s="86"/>
    </row>
    <row r="1477" spans="1:31">
      <c r="A1477" s="86"/>
      <c r="B1477" s="86"/>
      <c r="C1477" s="86"/>
      <c r="D1477" s="86"/>
      <c r="E1477" s="86"/>
      <c r="F1477" s="86"/>
      <c r="G1477" s="86"/>
      <c r="H1477" s="86"/>
      <c r="I1477" s="86"/>
      <c r="J1477" s="86"/>
      <c r="K1477" s="86"/>
      <c r="L1477" s="86"/>
      <c r="M1477" s="86"/>
      <c r="N1477" s="86"/>
      <c r="O1477" s="86"/>
      <c r="P1477" s="86"/>
      <c r="Q1477" s="86"/>
      <c r="R1477" s="86"/>
      <c r="S1477" s="86"/>
      <c r="T1477" s="86"/>
      <c r="U1477" s="86"/>
      <c r="V1477" s="86"/>
      <c r="W1477" s="86"/>
      <c r="X1477" s="86"/>
      <c r="Y1477" s="86"/>
      <c r="Z1477" s="86"/>
      <c r="AA1477" s="86"/>
      <c r="AB1477" s="86"/>
      <c r="AC1477" s="86"/>
      <c r="AD1477" s="86"/>
      <c r="AE1477" s="86"/>
    </row>
    <row r="1478" spans="1:31">
      <c r="A1478" s="86"/>
      <c r="B1478" s="86"/>
      <c r="C1478" s="86"/>
      <c r="D1478" s="86"/>
      <c r="E1478" s="86"/>
      <c r="F1478" s="86"/>
      <c r="G1478" s="86"/>
      <c r="H1478" s="86"/>
      <c r="I1478" s="86"/>
      <c r="J1478" s="86"/>
      <c r="K1478" s="86"/>
      <c r="L1478" s="86"/>
      <c r="M1478" s="86"/>
      <c r="N1478" s="86"/>
      <c r="O1478" s="86"/>
      <c r="P1478" s="86"/>
      <c r="Q1478" s="86"/>
      <c r="R1478" s="86"/>
      <c r="S1478" s="86"/>
      <c r="T1478" s="86"/>
      <c r="U1478" s="86"/>
      <c r="V1478" s="86"/>
      <c r="W1478" s="86"/>
      <c r="X1478" s="86"/>
      <c r="Y1478" s="86"/>
      <c r="Z1478" s="86"/>
      <c r="AA1478" s="86"/>
      <c r="AB1478" s="86"/>
      <c r="AC1478" s="86"/>
      <c r="AD1478" s="86"/>
      <c r="AE1478" s="86"/>
    </row>
    <row r="1479" spans="1:31">
      <c r="A1479" s="86"/>
      <c r="B1479" s="86"/>
      <c r="C1479" s="86"/>
      <c r="D1479" s="86"/>
      <c r="E1479" s="86"/>
      <c r="F1479" s="86"/>
      <c r="G1479" s="86"/>
      <c r="H1479" s="86"/>
      <c r="I1479" s="86"/>
      <c r="J1479" s="86"/>
      <c r="K1479" s="86"/>
      <c r="L1479" s="86"/>
      <c r="M1479" s="86"/>
      <c r="N1479" s="86"/>
      <c r="O1479" s="86"/>
      <c r="P1479" s="86"/>
      <c r="Q1479" s="86"/>
      <c r="R1479" s="86"/>
      <c r="S1479" s="86"/>
      <c r="T1479" s="86"/>
      <c r="U1479" s="86"/>
      <c r="V1479" s="86"/>
      <c r="W1479" s="86"/>
      <c r="X1479" s="86"/>
      <c r="Y1479" s="86"/>
      <c r="Z1479" s="86"/>
      <c r="AA1479" s="86"/>
      <c r="AB1479" s="86"/>
      <c r="AC1479" s="86"/>
      <c r="AD1479" s="86"/>
      <c r="AE1479" s="86"/>
    </row>
    <row r="1480" spans="1:31">
      <c r="A1480" s="86"/>
      <c r="B1480" s="86"/>
      <c r="C1480" s="86"/>
      <c r="D1480" s="86"/>
      <c r="E1480" s="86"/>
      <c r="F1480" s="86"/>
      <c r="G1480" s="86"/>
      <c r="H1480" s="86"/>
      <c r="I1480" s="86"/>
      <c r="J1480" s="86"/>
      <c r="K1480" s="86"/>
      <c r="L1480" s="86"/>
      <c r="M1480" s="86"/>
      <c r="N1480" s="86"/>
      <c r="O1480" s="86"/>
      <c r="P1480" s="86"/>
      <c r="Q1480" s="86"/>
      <c r="R1480" s="86"/>
      <c r="S1480" s="86"/>
      <c r="T1480" s="86"/>
      <c r="U1480" s="86"/>
      <c r="V1480" s="86"/>
      <c r="W1480" s="86"/>
      <c r="X1480" s="86"/>
      <c r="Y1480" s="86"/>
      <c r="Z1480" s="86"/>
      <c r="AA1480" s="86"/>
      <c r="AB1480" s="86"/>
      <c r="AC1480" s="86"/>
      <c r="AD1480" s="86"/>
      <c r="AE1480" s="86"/>
    </row>
    <row r="1481" spans="1:31">
      <c r="A1481" s="86"/>
      <c r="B1481" s="86"/>
      <c r="C1481" s="86"/>
      <c r="D1481" s="86"/>
      <c r="E1481" s="86"/>
      <c r="F1481" s="86"/>
      <c r="G1481" s="86"/>
      <c r="H1481" s="86"/>
      <c r="I1481" s="86"/>
      <c r="J1481" s="86"/>
      <c r="K1481" s="86"/>
      <c r="L1481" s="86"/>
      <c r="M1481" s="86"/>
      <c r="N1481" s="86"/>
      <c r="O1481" s="86"/>
      <c r="P1481" s="86"/>
      <c r="Q1481" s="86"/>
      <c r="R1481" s="86"/>
      <c r="S1481" s="86"/>
      <c r="T1481" s="86"/>
      <c r="U1481" s="86"/>
      <c r="V1481" s="86"/>
      <c r="W1481" s="86"/>
      <c r="X1481" s="86"/>
      <c r="Y1481" s="86"/>
      <c r="Z1481" s="86"/>
      <c r="AA1481" s="86"/>
      <c r="AB1481" s="86"/>
      <c r="AC1481" s="86"/>
      <c r="AD1481" s="86"/>
      <c r="AE1481" s="86"/>
    </row>
    <row r="1482" spans="1:31">
      <c r="A1482" s="86"/>
      <c r="B1482" s="86"/>
      <c r="C1482" s="86"/>
      <c r="D1482" s="86"/>
      <c r="E1482" s="86"/>
      <c r="F1482" s="86"/>
      <c r="G1482" s="86"/>
      <c r="H1482" s="86"/>
      <c r="I1482" s="86"/>
      <c r="J1482" s="86"/>
      <c r="K1482" s="86"/>
      <c r="L1482" s="86"/>
      <c r="M1482" s="86"/>
      <c r="N1482" s="86"/>
      <c r="O1482" s="86"/>
      <c r="P1482" s="86"/>
      <c r="Q1482" s="86"/>
      <c r="R1482" s="86"/>
      <c r="S1482" s="86"/>
      <c r="T1482" s="86"/>
      <c r="U1482" s="86"/>
      <c r="V1482" s="86"/>
      <c r="W1482" s="86"/>
      <c r="X1482" s="86"/>
      <c r="Y1482" s="86"/>
      <c r="Z1482" s="86"/>
      <c r="AA1482" s="86"/>
      <c r="AB1482" s="86"/>
      <c r="AC1482" s="86"/>
      <c r="AD1482" s="86"/>
      <c r="AE1482" s="86"/>
    </row>
    <row r="1483" spans="1:31">
      <c r="A1483" s="86"/>
      <c r="B1483" s="86"/>
      <c r="C1483" s="86"/>
      <c r="D1483" s="86"/>
      <c r="E1483" s="86"/>
      <c r="F1483" s="86"/>
      <c r="G1483" s="86"/>
      <c r="H1483" s="86"/>
      <c r="I1483" s="86"/>
      <c r="J1483" s="86"/>
      <c r="K1483" s="86"/>
      <c r="L1483" s="86"/>
      <c r="M1483" s="86"/>
      <c r="N1483" s="86"/>
      <c r="O1483" s="86"/>
      <c r="P1483" s="86"/>
      <c r="Q1483" s="86"/>
      <c r="R1483" s="86"/>
      <c r="S1483" s="86"/>
      <c r="T1483" s="86"/>
      <c r="U1483" s="86"/>
      <c r="V1483" s="86"/>
      <c r="W1483" s="86"/>
      <c r="X1483" s="86"/>
      <c r="Y1483" s="86"/>
      <c r="Z1483" s="86"/>
      <c r="AA1483" s="86"/>
      <c r="AB1483" s="86"/>
      <c r="AC1483" s="86"/>
      <c r="AD1483" s="86"/>
      <c r="AE1483" s="86"/>
    </row>
    <row r="1484" spans="1:31">
      <c r="A1484" s="86"/>
      <c r="B1484" s="86"/>
      <c r="C1484" s="86"/>
      <c r="D1484" s="86"/>
      <c r="E1484" s="86"/>
      <c r="F1484" s="86"/>
      <c r="G1484" s="86"/>
      <c r="H1484" s="86"/>
      <c r="I1484" s="86"/>
      <c r="J1484" s="86"/>
      <c r="K1484" s="86"/>
      <c r="L1484" s="86"/>
      <c r="M1484" s="86"/>
      <c r="N1484" s="86"/>
      <c r="O1484" s="86"/>
      <c r="P1484" s="86"/>
      <c r="Q1484" s="86"/>
      <c r="R1484" s="86"/>
      <c r="S1484" s="86"/>
      <c r="T1484" s="86"/>
      <c r="U1484" s="86"/>
      <c r="V1484" s="86"/>
      <c r="W1484" s="86"/>
      <c r="X1484" s="86"/>
      <c r="Y1484" s="86"/>
      <c r="Z1484" s="86"/>
      <c r="AA1484" s="86"/>
      <c r="AB1484" s="86"/>
      <c r="AC1484" s="86"/>
      <c r="AD1484" s="86"/>
      <c r="AE1484" s="86"/>
    </row>
    <row r="1485" spans="1:31">
      <c r="A1485" s="86"/>
      <c r="B1485" s="86"/>
      <c r="C1485" s="86"/>
      <c r="D1485" s="86"/>
      <c r="E1485" s="86"/>
      <c r="F1485" s="86"/>
      <c r="G1485" s="86"/>
      <c r="H1485" s="86"/>
      <c r="I1485" s="86"/>
      <c r="J1485" s="86"/>
      <c r="K1485" s="86"/>
      <c r="L1485" s="86"/>
      <c r="M1485" s="86"/>
      <c r="N1485" s="86"/>
      <c r="O1485" s="86"/>
      <c r="P1485" s="86"/>
      <c r="Q1485" s="86"/>
      <c r="R1485" s="86"/>
      <c r="S1485" s="86"/>
      <c r="T1485" s="86"/>
      <c r="U1485" s="86"/>
      <c r="V1485" s="86"/>
      <c r="W1485" s="86"/>
      <c r="X1485" s="86"/>
      <c r="Y1485" s="86"/>
      <c r="Z1485" s="86"/>
      <c r="AA1485" s="86"/>
      <c r="AB1485" s="86"/>
      <c r="AC1485" s="86"/>
      <c r="AD1485" s="86"/>
      <c r="AE1485" s="86"/>
    </row>
    <row r="1486" spans="1:31">
      <c r="A1486" s="86"/>
      <c r="B1486" s="86"/>
      <c r="C1486" s="86"/>
      <c r="D1486" s="86"/>
      <c r="E1486" s="86"/>
      <c r="F1486" s="86"/>
      <c r="G1486" s="86"/>
      <c r="H1486" s="86"/>
      <c r="I1486" s="86"/>
      <c r="J1486" s="86"/>
      <c r="K1486" s="86"/>
      <c r="L1486" s="86"/>
      <c r="M1486" s="86"/>
      <c r="N1486" s="86"/>
      <c r="O1486" s="86"/>
      <c r="P1486" s="86"/>
      <c r="Q1486" s="86"/>
      <c r="R1486" s="86"/>
      <c r="S1486" s="86"/>
      <c r="T1486" s="86"/>
      <c r="U1486" s="86"/>
      <c r="V1486" s="86"/>
      <c r="W1486" s="86"/>
      <c r="X1486" s="86"/>
      <c r="Y1486" s="86"/>
      <c r="Z1486" s="86"/>
      <c r="AA1486" s="86"/>
      <c r="AB1486" s="86"/>
      <c r="AC1486" s="86"/>
      <c r="AD1486" s="86"/>
      <c r="AE1486" s="86"/>
    </row>
    <row r="1487" spans="1:31">
      <c r="A1487" s="86"/>
      <c r="B1487" s="86"/>
      <c r="C1487" s="86"/>
      <c r="D1487" s="86"/>
      <c r="E1487" s="86"/>
      <c r="F1487" s="86"/>
      <c r="G1487" s="86"/>
      <c r="H1487" s="86"/>
      <c r="I1487" s="86"/>
      <c r="J1487" s="86"/>
      <c r="K1487" s="86"/>
      <c r="L1487" s="86"/>
      <c r="M1487" s="86"/>
      <c r="N1487" s="86"/>
      <c r="O1487" s="86"/>
      <c r="P1487" s="86"/>
      <c r="Q1487" s="86"/>
      <c r="R1487" s="86"/>
      <c r="S1487" s="86"/>
      <c r="T1487" s="86"/>
      <c r="U1487" s="86"/>
      <c r="V1487" s="86"/>
      <c r="W1487" s="86"/>
      <c r="X1487" s="86"/>
      <c r="Y1487" s="86"/>
      <c r="Z1487" s="86"/>
      <c r="AA1487" s="86"/>
      <c r="AB1487" s="86"/>
      <c r="AC1487" s="86"/>
      <c r="AD1487" s="86"/>
      <c r="AE1487" s="86"/>
    </row>
    <row r="1488" spans="1:31">
      <c r="A1488" s="86"/>
      <c r="B1488" s="86"/>
      <c r="C1488" s="86"/>
      <c r="D1488" s="86"/>
      <c r="E1488" s="86"/>
      <c r="F1488" s="86"/>
      <c r="G1488" s="86"/>
      <c r="H1488" s="86"/>
      <c r="I1488" s="86"/>
      <c r="J1488" s="86"/>
      <c r="K1488" s="86"/>
      <c r="L1488" s="86"/>
      <c r="M1488" s="86"/>
      <c r="N1488" s="86"/>
      <c r="O1488" s="86"/>
      <c r="P1488" s="86"/>
      <c r="Q1488" s="86"/>
      <c r="R1488" s="86"/>
      <c r="S1488" s="86"/>
      <c r="T1488" s="86"/>
      <c r="U1488" s="86"/>
      <c r="V1488" s="86"/>
      <c r="W1488" s="86"/>
      <c r="X1488" s="86"/>
      <c r="Y1488" s="86"/>
      <c r="Z1488" s="86"/>
      <c r="AA1488" s="86"/>
      <c r="AB1488" s="86"/>
      <c r="AC1488" s="86"/>
      <c r="AD1488" s="86"/>
      <c r="AE1488" s="86"/>
    </row>
    <row r="1489" spans="1:31">
      <c r="A1489" s="86"/>
      <c r="B1489" s="86"/>
      <c r="C1489" s="86"/>
      <c r="D1489" s="86"/>
      <c r="E1489" s="86"/>
      <c r="F1489" s="86"/>
      <c r="G1489" s="86"/>
      <c r="H1489" s="86"/>
      <c r="I1489" s="86"/>
      <c r="J1489" s="86"/>
      <c r="K1489" s="86"/>
      <c r="L1489" s="86"/>
      <c r="M1489" s="86"/>
      <c r="N1489" s="86"/>
      <c r="O1489" s="86"/>
      <c r="P1489" s="86"/>
      <c r="Q1489" s="86"/>
      <c r="R1489" s="86"/>
      <c r="S1489" s="86"/>
      <c r="T1489" s="86"/>
      <c r="U1489" s="86"/>
      <c r="V1489" s="86"/>
      <c r="W1489" s="86"/>
      <c r="X1489" s="86"/>
      <c r="Y1489" s="86"/>
      <c r="Z1489" s="86"/>
      <c r="AA1489" s="86"/>
      <c r="AB1489" s="86"/>
      <c r="AC1489" s="86"/>
      <c r="AD1489" s="86"/>
      <c r="AE1489" s="86"/>
    </row>
    <row r="1490" spans="1:31">
      <c r="A1490" s="86"/>
      <c r="B1490" s="86"/>
      <c r="C1490" s="86"/>
      <c r="D1490" s="86"/>
      <c r="E1490" s="86"/>
      <c r="F1490" s="86"/>
      <c r="G1490" s="86"/>
      <c r="H1490" s="86"/>
      <c r="I1490" s="86"/>
      <c r="J1490" s="86"/>
      <c r="K1490" s="86"/>
      <c r="L1490" s="86"/>
      <c r="M1490" s="86"/>
      <c r="N1490" s="86"/>
      <c r="O1490" s="86"/>
      <c r="P1490" s="86"/>
      <c r="Q1490" s="86"/>
      <c r="R1490" s="86"/>
      <c r="S1490" s="86"/>
      <c r="T1490" s="86"/>
      <c r="U1490" s="86"/>
      <c r="V1490" s="86"/>
      <c r="W1490" s="86"/>
      <c r="X1490" s="86"/>
      <c r="Y1490" s="86"/>
      <c r="Z1490" s="86"/>
      <c r="AA1490" s="86"/>
      <c r="AB1490" s="86"/>
      <c r="AC1490" s="86"/>
      <c r="AD1490" s="86"/>
      <c r="AE1490" s="86"/>
    </row>
    <row r="1491" spans="1:31">
      <c r="A1491" s="86"/>
      <c r="B1491" s="86"/>
      <c r="C1491" s="86"/>
      <c r="D1491" s="86"/>
      <c r="E1491" s="86"/>
      <c r="F1491" s="86"/>
      <c r="G1491" s="86"/>
      <c r="H1491" s="86"/>
      <c r="I1491" s="86"/>
      <c r="J1491" s="86"/>
      <c r="K1491" s="86"/>
      <c r="L1491" s="86"/>
      <c r="M1491" s="86"/>
      <c r="N1491" s="86"/>
      <c r="O1491" s="86"/>
      <c r="P1491" s="86"/>
      <c r="Q1491" s="86"/>
      <c r="R1491" s="86"/>
      <c r="S1491" s="86"/>
      <c r="T1491" s="86"/>
      <c r="U1491" s="86"/>
      <c r="V1491" s="86"/>
      <c r="W1491" s="86"/>
      <c r="X1491" s="86"/>
      <c r="Y1491" s="86"/>
      <c r="Z1491" s="86"/>
      <c r="AA1491" s="86"/>
      <c r="AB1491" s="86"/>
      <c r="AC1491" s="86"/>
      <c r="AD1491" s="86"/>
      <c r="AE1491" s="86"/>
    </row>
    <row r="1492" spans="1:31">
      <c r="A1492" s="86"/>
      <c r="B1492" s="86"/>
      <c r="C1492" s="86"/>
      <c r="D1492" s="86"/>
      <c r="E1492" s="86"/>
      <c r="F1492" s="86"/>
      <c r="G1492" s="86"/>
      <c r="H1492" s="86"/>
      <c r="I1492" s="86"/>
      <c r="J1492" s="86"/>
      <c r="K1492" s="86"/>
      <c r="L1492" s="86"/>
      <c r="M1492" s="86"/>
      <c r="N1492" s="86"/>
      <c r="O1492" s="86"/>
      <c r="P1492" s="86"/>
      <c r="Q1492" s="86"/>
      <c r="R1492" s="86"/>
      <c r="S1492" s="86"/>
      <c r="T1492" s="86"/>
      <c r="U1492" s="86"/>
      <c r="V1492" s="86"/>
      <c r="W1492" s="86"/>
      <c r="X1492" s="86"/>
      <c r="Y1492" s="86"/>
      <c r="Z1492" s="86"/>
      <c r="AA1492" s="86"/>
      <c r="AB1492" s="86"/>
      <c r="AC1492" s="86"/>
      <c r="AD1492" s="86"/>
      <c r="AE1492" s="86"/>
    </row>
    <row r="1493" spans="1:31">
      <c r="A1493" s="86"/>
      <c r="B1493" s="86"/>
      <c r="C1493" s="86"/>
      <c r="D1493" s="86"/>
      <c r="E1493" s="86"/>
      <c r="F1493" s="86"/>
      <c r="G1493" s="86"/>
      <c r="H1493" s="86"/>
      <c r="I1493" s="86"/>
      <c r="J1493" s="86"/>
      <c r="K1493" s="86"/>
      <c r="L1493" s="86"/>
      <c r="M1493" s="86"/>
      <c r="N1493" s="86"/>
      <c r="O1493" s="86"/>
      <c r="P1493" s="86"/>
      <c r="Q1493" s="86"/>
      <c r="R1493" s="86"/>
      <c r="S1493" s="86"/>
      <c r="T1493" s="86"/>
      <c r="U1493" s="86"/>
      <c r="V1493" s="86"/>
      <c r="W1493" s="86"/>
      <c r="X1493" s="86"/>
      <c r="Y1493" s="86"/>
      <c r="Z1493" s="86"/>
      <c r="AA1493" s="86"/>
      <c r="AB1493" s="86"/>
      <c r="AC1493" s="86"/>
      <c r="AD1493" s="86"/>
      <c r="AE1493" s="86"/>
    </row>
    <row r="1494" spans="1:31">
      <c r="A1494" s="86"/>
      <c r="B1494" s="86"/>
      <c r="C1494" s="86"/>
      <c r="D1494" s="86"/>
      <c r="E1494" s="86"/>
      <c r="F1494" s="86"/>
      <c r="G1494" s="86"/>
      <c r="H1494" s="86"/>
      <c r="I1494" s="86"/>
      <c r="J1494" s="86"/>
      <c r="K1494" s="86"/>
      <c r="L1494" s="86"/>
      <c r="M1494" s="86"/>
      <c r="N1494" s="86"/>
      <c r="O1494" s="86"/>
      <c r="P1494" s="86"/>
      <c r="Q1494" s="86"/>
      <c r="R1494" s="86"/>
      <c r="S1494" s="86"/>
      <c r="T1494" s="86"/>
      <c r="U1494" s="86"/>
      <c r="V1494" s="86"/>
      <c r="W1494" s="86"/>
      <c r="X1494" s="86"/>
      <c r="Y1494" s="86"/>
      <c r="Z1494" s="86"/>
      <c r="AA1494" s="86"/>
      <c r="AB1494" s="86"/>
      <c r="AC1494" s="86"/>
      <c r="AD1494" s="86"/>
      <c r="AE1494" s="86"/>
    </row>
    <row r="1495" spans="1:31">
      <c r="A1495" s="86"/>
      <c r="B1495" s="86"/>
      <c r="C1495" s="86"/>
      <c r="D1495" s="86"/>
      <c r="E1495" s="86"/>
      <c r="F1495" s="86"/>
      <c r="G1495" s="86"/>
      <c r="H1495" s="86"/>
      <c r="I1495" s="86"/>
      <c r="J1495" s="86"/>
      <c r="K1495" s="86"/>
      <c r="L1495" s="86"/>
      <c r="M1495" s="86"/>
      <c r="N1495" s="86"/>
      <c r="O1495" s="86"/>
      <c r="P1495" s="86"/>
      <c r="Q1495" s="86"/>
      <c r="R1495" s="86"/>
      <c r="S1495" s="86"/>
      <c r="T1495" s="86"/>
      <c r="U1495" s="86"/>
      <c r="V1495" s="86"/>
      <c r="W1495" s="86"/>
      <c r="X1495" s="86"/>
      <c r="Y1495" s="86"/>
      <c r="Z1495" s="86"/>
      <c r="AA1495" s="86"/>
      <c r="AB1495" s="86"/>
      <c r="AC1495" s="86"/>
      <c r="AD1495" s="86"/>
      <c r="AE1495" s="86"/>
    </row>
    <row r="1496" spans="1:31">
      <c r="A1496" s="86"/>
      <c r="B1496" s="86"/>
      <c r="C1496" s="86"/>
      <c r="D1496" s="86"/>
      <c r="E1496" s="86"/>
      <c r="F1496" s="86"/>
      <c r="G1496" s="86"/>
      <c r="H1496" s="86"/>
      <c r="I1496" s="86"/>
      <c r="J1496" s="86"/>
      <c r="K1496" s="86"/>
      <c r="L1496" s="86"/>
      <c r="M1496" s="86"/>
      <c r="N1496" s="86"/>
      <c r="O1496" s="86"/>
      <c r="P1496" s="86"/>
      <c r="Q1496" s="86"/>
      <c r="R1496" s="86"/>
      <c r="S1496" s="86"/>
      <c r="T1496" s="86"/>
      <c r="U1496" s="86"/>
      <c r="V1496" s="86"/>
      <c r="W1496" s="86"/>
      <c r="X1496" s="86"/>
      <c r="Y1496" s="86"/>
      <c r="Z1496" s="86"/>
      <c r="AA1496" s="86"/>
      <c r="AB1496" s="86"/>
      <c r="AC1496" s="86"/>
      <c r="AD1496" s="86"/>
      <c r="AE1496" s="86"/>
    </row>
    <row r="1497" spans="1:31">
      <c r="A1497" s="86"/>
      <c r="B1497" s="86"/>
      <c r="C1497" s="86"/>
      <c r="D1497" s="86"/>
      <c r="E1497" s="86"/>
      <c r="F1497" s="86"/>
      <c r="G1497" s="86"/>
      <c r="H1497" s="86"/>
      <c r="I1497" s="86"/>
      <c r="J1497" s="86"/>
      <c r="K1497" s="86"/>
      <c r="L1497" s="86"/>
      <c r="M1497" s="86"/>
      <c r="N1497" s="86"/>
      <c r="O1497" s="86"/>
      <c r="P1497" s="86"/>
      <c r="Q1497" s="86"/>
      <c r="R1497" s="86"/>
      <c r="S1497" s="86"/>
      <c r="T1497" s="86"/>
      <c r="U1497" s="86"/>
      <c r="V1497" s="86"/>
      <c r="W1497" s="86"/>
      <c r="X1497" s="86"/>
      <c r="Y1497" s="86"/>
      <c r="Z1497" s="86"/>
      <c r="AA1497" s="86"/>
      <c r="AB1497" s="86"/>
      <c r="AC1497" s="86"/>
      <c r="AD1497" s="86"/>
      <c r="AE1497" s="86"/>
    </row>
    <row r="1498" spans="1:31">
      <c r="A1498" s="86"/>
      <c r="B1498" s="86"/>
      <c r="C1498" s="86"/>
      <c r="D1498" s="86"/>
      <c r="E1498" s="86"/>
      <c r="F1498" s="86"/>
      <c r="G1498" s="86"/>
      <c r="H1498" s="86"/>
      <c r="I1498" s="86"/>
      <c r="J1498" s="86"/>
      <c r="K1498" s="86"/>
      <c r="L1498" s="86"/>
      <c r="M1498" s="86"/>
      <c r="N1498" s="86"/>
      <c r="O1498" s="86"/>
      <c r="P1498" s="86"/>
      <c r="Q1498" s="86"/>
      <c r="R1498" s="86"/>
      <c r="S1498" s="86"/>
      <c r="T1498" s="86"/>
      <c r="U1498" s="86"/>
      <c r="V1498" s="86"/>
      <c r="W1498" s="86"/>
      <c r="X1498" s="86"/>
      <c r="Y1498" s="86"/>
      <c r="Z1498" s="86"/>
      <c r="AA1498" s="86"/>
      <c r="AB1498" s="86"/>
      <c r="AC1498" s="86"/>
      <c r="AD1498" s="86"/>
      <c r="AE1498" s="86"/>
    </row>
    <row r="1499" spans="1:31">
      <c r="A1499" s="86"/>
      <c r="B1499" s="86"/>
      <c r="C1499" s="86"/>
      <c r="D1499" s="86"/>
      <c r="E1499" s="86"/>
      <c r="F1499" s="86"/>
      <c r="G1499" s="86"/>
      <c r="H1499" s="86"/>
      <c r="I1499" s="86"/>
      <c r="J1499" s="86"/>
      <c r="K1499" s="86"/>
      <c r="L1499" s="86"/>
      <c r="M1499" s="86"/>
      <c r="N1499" s="86"/>
      <c r="O1499" s="86"/>
      <c r="P1499" s="86"/>
      <c r="Q1499" s="86"/>
      <c r="R1499" s="86"/>
      <c r="S1499" s="86"/>
      <c r="T1499" s="86"/>
      <c r="U1499" s="86"/>
      <c r="V1499" s="86"/>
      <c r="W1499" s="86"/>
      <c r="X1499" s="86"/>
      <c r="Y1499" s="86"/>
      <c r="Z1499" s="86"/>
      <c r="AA1499" s="86"/>
      <c r="AB1499" s="86"/>
      <c r="AC1499" s="86"/>
      <c r="AD1499" s="86"/>
      <c r="AE1499" s="86"/>
    </row>
    <row r="1500" spans="1:31">
      <c r="A1500" s="86"/>
      <c r="B1500" s="86"/>
      <c r="C1500" s="86"/>
      <c r="D1500" s="86"/>
      <c r="E1500" s="86"/>
      <c r="F1500" s="86"/>
      <c r="G1500" s="86"/>
      <c r="H1500" s="86"/>
      <c r="I1500" s="86"/>
      <c r="J1500" s="86"/>
      <c r="K1500" s="86"/>
      <c r="L1500" s="86"/>
      <c r="M1500" s="86"/>
      <c r="N1500" s="86"/>
      <c r="O1500" s="86"/>
      <c r="P1500" s="86"/>
      <c r="Q1500" s="86"/>
      <c r="R1500" s="86"/>
      <c r="S1500" s="86"/>
      <c r="T1500" s="86"/>
      <c r="U1500" s="86"/>
      <c r="V1500" s="86"/>
      <c r="W1500" s="86"/>
      <c r="X1500" s="86"/>
      <c r="Y1500" s="86"/>
      <c r="Z1500" s="86"/>
      <c r="AA1500" s="86"/>
      <c r="AB1500" s="86"/>
      <c r="AC1500" s="86"/>
      <c r="AD1500" s="86"/>
      <c r="AE1500" s="86"/>
    </row>
    <row r="1501" spans="1:31">
      <c r="A1501" s="86"/>
      <c r="B1501" s="86"/>
      <c r="C1501" s="86"/>
      <c r="D1501" s="86"/>
      <c r="E1501" s="86"/>
      <c r="F1501" s="86"/>
      <c r="G1501" s="86"/>
      <c r="H1501" s="86"/>
      <c r="I1501" s="86"/>
      <c r="J1501" s="86"/>
      <c r="K1501" s="86"/>
      <c r="L1501" s="86"/>
      <c r="M1501" s="86"/>
      <c r="N1501" s="86"/>
      <c r="O1501" s="86"/>
      <c r="P1501" s="86"/>
      <c r="Q1501" s="86"/>
      <c r="R1501" s="86"/>
      <c r="S1501" s="86"/>
      <c r="T1501" s="86"/>
      <c r="U1501" s="86"/>
      <c r="V1501" s="86"/>
      <c r="W1501" s="86"/>
      <c r="X1501" s="86"/>
      <c r="Y1501" s="86"/>
      <c r="Z1501" s="86"/>
      <c r="AA1501" s="86"/>
      <c r="AB1501" s="86"/>
      <c r="AC1501" s="86"/>
      <c r="AD1501" s="86"/>
      <c r="AE1501" s="86"/>
    </row>
    <row r="1502" spans="1:31">
      <c r="A1502" s="86"/>
      <c r="B1502" s="86"/>
      <c r="C1502" s="86"/>
      <c r="D1502" s="86"/>
      <c r="E1502" s="86"/>
      <c r="F1502" s="86"/>
      <c r="G1502" s="86"/>
      <c r="H1502" s="86"/>
      <c r="I1502" s="86"/>
      <c r="J1502" s="86"/>
      <c r="K1502" s="86"/>
      <c r="L1502" s="86"/>
      <c r="M1502" s="86"/>
      <c r="N1502" s="86"/>
      <c r="O1502" s="86"/>
      <c r="P1502" s="86"/>
      <c r="Q1502" s="86"/>
      <c r="R1502" s="86"/>
      <c r="S1502" s="86"/>
      <c r="T1502" s="86"/>
      <c r="U1502" s="86"/>
      <c r="V1502" s="86"/>
      <c r="W1502" s="86"/>
      <c r="X1502" s="86"/>
      <c r="Y1502" s="86"/>
      <c r="Z1502" s="86"/>
      <c r="AA1502" s="86"/>
      <c r="AB1502" s="86"/>
      <c r="AC1502" s="86"/>
      <c r="AD1502" s="86"/>
      <c r="AE1502" s="86"/>
    </row>
    <row r="1503" spans="1:31">
      <c r="A1503" s="86"/>
      <c r="B1503" s="86"/>
      <c r="C1503" s="86"/>
      <c r="D1503" s="86"/>
      <c r="E1503" s="86"/>
      <c r="F1503" s="86"/>
      <c r="G1503" s="86"/>
      <c r="H1503" s="86"/>
      <c r="I1503" s="86"/>
      <c r="J1503" s="86"/>
      <c r="K1503" s="86"/>
      <c r="L1503" s="86"/>
      <c r="M1503" s="86"/>
      <c r="N1503" s="86"/>
      <c r="O1503" s="86"/>
      <c r="P1503" s="86"/>
      <c r="Q1503" s="86"/>
      <c r="R1503" s="86"/>
      <c r="S1503" s="86"/>
      <c r="T1503" s="86"/>
      <c r="U1503" s="86"/>
      <c r="V1503" s="86"/>
      <c r="W1503" s="86"/>
      <c r="X1503" s="86"/>
      <c r="Y1503" s="86"/>
      <c r="Z1503" s="86"/>
      <c r="AA1503" s="86"/>
      <c r="AB1503" s="86"/>
      <c r="AC1503" s="86"/>
      <c r="AD1503" s="86"/>
      <c r="AE1503" s="86"/>
    </row>
    <row r="1504" spans="1:31">
      <c r="A1504" s="86"/>
      <c r="B1504" s="86"/>
      <c r="C1504" s="86"/>
      <c r="D1504" s="86"/>
      <c r="E1504" s="86"/>
      <c r="F1504" s="86"/>
      <c r="G1504" s="86"/>
      <c r="H1504" s="86"/>
      <c r="I1504" s="86"/>
      <c r="J1504" s="86"/>
      <c r="K1504" s="86"/>
      <c r="L1504" s="86"/>
      <c r="M1504" s="86"/>
      <c r="N1504" s="86"/>
      <c r="O1504" s="86"/>
      <c r="P1504" s="86"/>
      <c r="Q1504" s="86"/>
      <c r="R1504" s="86"/>
      <c r="S1504" s="86"/>
      <c r="T1504" s="86"/>
      <c r="U1504" s="86"/>
      <c r="V1504" s="86"/>
      <c r="W1504" s="86"/>
      <c r="X1504" s="86"/>
      <c r="Y1504" s="86"/>
      <c r="Z1504" s="86"/>
      <c r="AA1504" s="86"/>
      <c r="AB1504" s="86"/>
      <c r="AC1504" s="86"/>
      <c r="AD1504" s="86"/>
      <c r="AE1504" s="86"/>
    </row>
    <row r="1505" spans="1:31">
      <c r="A1505" s="86"/>
      <c r="B1505" s="86"/>
      <c r="C1505" s="86"/>
      <c r="D1505" s="86"/>
      <c r="E1505" s="86"/>
      <c r="F1505" s="86"/>
      <c r="G1505" s="86"/>
      <c r="H1505" s="86"/>
      <c r="I1505" s="86"/>
      <c r="J1505" s="86"/>
      <c r="K1505" s="86"/>
      <c r="L1505" s="86"/>
      <c r="M1505" s="86"/>
      <c r="N1505" s="86"/>
      <c r="O1505" s="86"/>
      <c r="P1505" s="86"/>
      <c r="Q1505" s="86"/>
      <c r="R1505" s="86"/>
      <c r="S1505" s="86"/>
      <c r="T1505" s="86"/>
      <c r="U1505" s="86"/>
      <c r="V1505" s="86"/>
      <c r="W1505" s="86"/>
      <c r="X1505" s="86"/>
      <c r="Y1505" s="86"/>
      <c r="Z1505" s="86"/>
      <c r="AA1505" s="86"/>
      <c r="AB1505" s="86"/>
      <c r="AC1505" s="86"/>
      <c r="AD1505" s="86"/>
      <c r="AE1505" s="86"/>
    </row>
    <row r="1506" spans="1:31">
      <c r="A1506" s="86"/>
      <c r="B1506" s="86"/>
      <c r="C1506" s="86"/>
      <c r="D1506" s="86"/>
      <c r="E1506" s="86"/>
      <c r="F1506" s="86"/>
      <c r="G1506" s="86"/>
      <c r="H1506" s="86"/>
      <c r="I1506" s="86"/>
      <c r="J1506" s="86"/>
      <c r="K1506" s="86"/>
      <c r="L1506" s="86"/>
      <c r="M1506" s="86"/>
      <c r="N1506" s="86"/>
      <c r="O1506" s="86"/>
      <c r="P1506" s="86"/>
      <c r="Q1506" s="86"/>
      <c r="R1506" s="86"/>
      <c r="S1506" s="86"/>
      <c r="T1506" s="86"/>
      <c r="U1506" s="86"/>
      <c r="V1506" s="86"/>
      <c r="W1506" s="86"/>
      <c r="X1506" s="86"/>
      <c r="Y1506" s="86"/>
      <c r="Z1506" s="86"/>
      <c r="AA1506" s="86"/>
      <c r="AB1506" s="86"/>
      <c r="AC1506" s="86"/>
      <c r="AD1506" s="86"/>
      <c r="AE1506" s="86"/>
    </row>
    <row r="1507" spans="1:31">
      <c r="A1507" s="86"/>
      <c r="B1507" s="86"/>
      <c r="C1507" s="86"/>
      <c r="D1507" s="86"/>
      <c r="E1507" s="86"/>
      <c r="F1507" s="86"/>
      <c r="G1507" s="86"/>
      <c r="H1507" s="86"/>
      <c r="I1507" s="86"/>
      <c r="J1507" s="86"/>
      <c r="K1507" s="86"/>
      <c r="L1507" s="86"/>
      <c r="M1507" s="86"/>
      <c r="N1507" s="86"/>
      <c r="O1507" s="86"/>
      <c r="P1507" s="86"/>
      <c r="Q1507" s="86"/>
      <c r="R1507" s="86"/>
      <c r="S1507" s="86"/>
      <c r="T1507" s="86"/>
      <c r="U1507" s="86"/>
      <c r="V1507" s="86"/>
      <c r="W1507" s="86"/>
      <c r="X1507" s="86"/>
      <c r="Y1507" s="86"/>
      <c r="Z1507" s="86"/>
      <c r="AA1507" s="86"/>
      <c r="AB1507" s="86"/>
      <c r="AC1507" s="86"/>
      <c r="AD1507" s="86"/>
      <c r="AE1507" s="86"/>
    </row>
    <row r="1508" spans="1:31">
      <c r="A1508" s="86"/>
      <c r="B1508" s="86"/>
      <c r="C1508" s="86"/>
      <c r="D1508" s="86"/>
      <c r="E1508" s="86"/>
      <c r="F1508" s="86"/>
      <c r="G1508" s="86"/>
      <c r="H1508" s="86"/>
      <c r="I1508" s="86"/>
      <c r="J1508" s="86"/>
      <c r="K1508" s="86"/>
      <c r="L1508" s="86"/>
      <c r="M1508" s="86"/>
      <c r="N1508" s="86"/>
      <c r="O1508" s="86"/>
      <c r="P1508" s="86"/>
      <c r="Q1508" s="86"/>
      <c r="R1508" s="86"/>
      <c r="S1508" s="86"/>
      <c r="T1508" s="86"/>
      <c r="U1508" s="86"/>
      <c r="V1508" s="86"/>
      <c r="W1508" s="86"/>
      <c r="X1508" s="86"/>
      <c r="Y1508" s="86"/>
      <c r="Z1508" s="86"/>
      <c r="AA1508" s="86"/>
      <c r="AB1508" s="86"/>
      <c r="AC1508" s="86"/>
      <c r="AD1508" s="86"/>
      <c r="AE1508" s="86"/>
    </row>
    <row r="1509" spans="1:31">
      <c r="A1509" s="86"/>
      <c r="B1509" s="86"/>
      <c r="C1509" s="86"/>
      <c r="D1509" s="86"/>
      <c r="E1509" s="86"/>
      <c r="F1509" s="86"/>
      <c r="G1509" s="86"/>
      <c r="H1509" s="86"/>
      <c r="I1509" s="86"/>
      <c r="J1509" s="86"/>
      <c r="K1509" s="86"/>
      <c r="L1509" s="86"/>
      <c r="M1509" s="86"/>
      <c r="N1509" s="86"/>
      <c r="O1509" s="86"/>
      <c r="P1509" s="86"/>
      <c r="Q1509" s="86"/>
      <c r="R1509" s="86"/>
      <c r="S1509" s="86"/>
      <c r="T1509" s="86"/>
      <c r="U1509" s="86"/>
      <c r="V1509" s="86"/>
      <c r="W1509" s="86"/>
      <c r="X1509" s="86"/>
      <c r="Y1509" s="86"/>
      <c r="Z1509" s="86"/>
      <c r="AA1509" s="86"/>
      <c r="AB1509" s="86"/>
      <c r="AC1509" s="86"/>
      <c r="AD1509" s="86"/>
      <c r="AE1509" s="86"/>
    </row>
    <row r="1510" spans="1:31">
      <c r="A1510" s="86"/>
      <c r="B1510" s="86"/>
      <c r="C1510" s="86"/>
      <c r="D1510" s="86"/>
      <c r="E1510" s="86"/>
      <c r="F1510" s="86"/>
      <c r="G1510" s="86"/>
      <c r="H1510" s="86"/>
      <c r="I1510" s="86"/>
      <c r="J1510" s="86"/>
      <c r="K1510" s="86"/>
      <c r="L1510" s="86"/>
      <c r="M1510" s="86"/>
      <c r="N1510" s="86"/>
      <c r="O1510" s="86"/>
      <c r="P1510" s="86"/>
      <c r="Q1510" s="86"/>
      <c r="R1510" s="86"/>
      <c r="S1510" s="86"/>
      <c r="T1510" s="86"/>
      <c r="U1510" s="86"/>
      <c r="V1510" s="86"/>
      <c r="W1510" s="86"/>
      <c r="X1510" s="86"/>
      <c r="Y1510" s="86"/>
      <c r="Z1510" s="86"/>
      <c r="AA1510" s="86"/>
      <c r="AB1510" s="86"/>
      <c r="AC1510" s="86"/>
      <c r="AD1510" s="86"/>
      <c r="AE1510" s="86"/>
    </row>
    <row r="1511" spans="1:31">
      <c r="A1511" s="86"/>
      <c r="B1511" s="86"/>
      <c r="C1511" s="86"/>
      <c r="D1511" s="86"/>
      <c r="E1511" s="86"/>
      <c r="F1511" s="86"/>
      <c r="G1511" s="86"/>
      <c r="H1511" s="86"/>
      <c r="I1511" s="86"/>
      <c r="J1511" s="86"/>
      <c r="K1511" s="86"/>
      <c r="L1511" s="86"/>
      <c r="M1511" s="86"/>
      <c r="N1511" s="86"/>
      <c r="O1511" s="86"/>
      <c r="P1511" s="86"/>
      <c r="Q1511" s="86"/>
      <c r="R1511" s="86"/>
      <c r="S1511" s="86"/>
      <c r="T1511" s="86"/>
      <c r="U1511" s="86"/>
      <c r="V1511" s="86"/>
      <c r="W1511" s="86"/>
      <c r="X1511" s="86"/>
      <c r="Y1511" s="86"/>
      <c r="Z1511" s="86"/>
      <c r="AA1511" s="86"/>
      <c r="AB1511" s="86"/>
      <c r="AC1511" s="86"/>
      <c r="AD1511" s="86"/>
      <c r="AE1511" s="86"/>
    </row>
    <row r="1512" spans="1:31">
      <c r="A1512" s="86"/>
      <c r="B1512" s="86"/>
      <c r="C1512" s="86"/>
      <c r="D1512" s="86"/>
      <c r="E1512" s="86"/>
      <c r="F1512" s="86"/>
      <c r="G1512" s="86"/>
      <c r="H1512" s="86"/>
      <c r="I1512" s="86"/>
      <c r="J1512" s="86"/>
      <c r="K1512" s="86"/>
      <c r="L1512" s="86"/>
      <c r="M1512" s="86"/>
      <c r="N1512" s="86"/>
      <c r="O1512" s="86"/>
      <c r="P1512" s="86"/>
      <c r="Q1512" s="86"/>
      <c r="R1512" s="86"/>
      <c r="S1512" s="86"/>
      <c r="T1512" s="86"/>
      <c r="U1512" s="86"/>
      <c r="V1512" s="86"/>
      <c r="W1512" s="86"/>
      <c r="X1512" s="86"/>
      <c r="Y1512" s="86"/>
      <c r="Z1512" s="86"/>
      <c r="AA1512" s="86"/>
      <c r="AB1512" s="86"/>
      <c r="AC1512" s="86"/>
      <c r="AD1512" s="86"/>
      <c r="AE1512" s="86"/>
    </row>
    <row r="1513" spans="1:31">
      <c r="A1513" s="86"/>
      <c r="B1513" s="86"/>
      <c r="C1513" s="86"/>
      <c r="D1513" s="86"/>
      <c r="E1513" s="86"/>
      <c r="F1513" s="86"/>
      <c r="G1513" s="86"/>
      <c r="H1513" s="86"/>
      <c r="I1513" s="86"/>
      <c r="J1513" s="86"/>
      <c r="K1513" s="86"/>
      <c r="L1513" s="86"/>
      <c r="M1513" s="86"/>
      <c r="N1513" s="86"/>
      <c r="O1513" s="86"/>
      <c r="P1513" s="86"/>
      <c r="Q1513" s="86"/>
      <c r="R1513" s="86"/>
      <c r="S1513" s="86"/>
      <c r="T1513" s="86"/>
      <c r="U1513" s="86"/>
      <c r="V1513" s="86"/>
      <c r="W1513" s="86"/>
      <c r="X1513" s="86"/>
      <c r="Y1513" s="86"/>
      <c r="Z1513" s="86"/>
      <c r="AA1513" s="86"/>
      <c r="AB1513" s="86"/>
      <c r="AC1513" s="86"/>
      <c r="AD1513" s="86"/>
      <c r="AE1513" s="86"/>
    </row>
    <row r="1514" spans="1:31">
      <c r="A1514" s="86"/>
      <c r="B1514" s="86"/>
      <c r="C1514" s="86"/>
      <c r="D1514" s="86"/>
      <c r="E1514" s="86"/>
      <c r="F1514" s="86"/>
      <c r="G1514" s="86"/>
      <c r="H1514" s="86"/>
      <c r="I1514" s="86"/>
      <c r="J1514" s="86"/>
      <c r="K1514" s="86"/>
      <c r="L1514" s="86"/>
      <c r="M1514" s="86"/>
      <c r="N1514" s="86"/>
      <c r="O1514" s="86"/>
      <c r="P1514" s="86"/>
      <c r="Q1514" s="86"/>
      <c r="R1514" s="86"/>
      <c r="S1514" s="86"/>
      <c r="T1514" s="86"/>
      <c r="U1514" s="86"/>
      <c r="V1514" s="86"/>
      <c r="W1514" s="86"/>
      <c r="X1514" s="86"/>
      <c r="Y1514" s="86"/>
      <c r="Z1514" s="86"/>
      <c r="AA1514" s="86"/>
      <c r="AB1514" s="86"/>
      <c r="AC1514" s="86"/>
      <c r="AD1514" s="86"/>
      <c r="AE1514" s="86"/>
    </row>
    <row r="1515" spans="1:31">
      <c r="A1515" s="86"/>
      <c r="B1515" s="86"/>
      <c r="C1515" s="86"/>
      <c r="D1515" s="86"/>
      <c r="E1515" s="86"/>
      <c r="F1515" s="86"/>
      <c r="G1515" s="86"/>
      <c r="H1515" s="86"/>
      <c r="I1515" s="86"/>
      <c r="J1515" s="86"/>
      <c r="K1515" s="86"/>
      <c r="L1515" s="86"/>
      <c r="M1515" s="86"/>
      <c r="N1515" s="86"/>
      <c r="O1515" s="86"/>
      <c r="P1515" s="86"/>
      <c r="Q1515" s="86"/>
      <c r="R1515" s="86"/>
      <c r="S1515" s="86"/>
      <c r="T1515" s="86"/>
      <c r="U1515" s="86"/>
      <c r="V1515" s="86"/>
      <c r="W1515" s="86"/>
      <c r="X1515" s="86"/>
      <c r="Y1515" s="86"/>
      <c r="Z1515" s="86"/>
      <c r="AA1515" s="86"/>
      <c r="AB1515" s="86"/>
      <c r="AC1515" s="86"/>
      <c r="AD1515" s="86"/>
      <c r="AE1515" s="86"/>
    </row>
    <row r="1516" spans="1:31">
      <c r="A1516" s="86"/>
      <c r="B1516" s="86"/>
      <c r="C1516" s="86"/>
      <c r="D1516" s="86"/>
      <c r="E1516" s="86"/>
      <c r="F1516" s="86"/>
      <c r="G1516" s="86"/>
      <c r="H1516" s="86"/>
      <c r="I1516" s="86"/>
      <c r="J1516" s="86"/>
      <c r="K1516" s="86"/>
      <c r="L1516" s="86"/>
      <c r="M1516" s="86"/>
      <c r="N1516" s="86"/>
      <c r="O1516" s="86"/>
      <c r="P1516" s="86"/>
      <c r="Q1516" s="86"/>
      <c r="R1516" s="86"/>
      <c r="S1516" s="86"/>
      <c r="T1516" s="86"/>
      <c r="U1516" s="86"/>
      <c r="V1516" s="86"/>
      <c r="W1516" s="86"/>
      <c r="X1516" s="86"/>
      <c r="Y1516" s="86"/>
      <c r="Z1516" s="86"/>
      <c r="AA1516" s="86"/>
      <c r="AB1516" s="86"/>
      <c r="AC1516" s="86"/>
      <c r="AD1516" s="86"/>
      <c r="AE1516" s="86"/>
    </row>
    <row r="1517" spans="1:31">
      <c r="A1517" s="86"/>
      <c r="B1517" s="86"/>
      <c r="C1517" s="86"/>
      <c r="D1517" s="86"/>
      <c r="E1517" s="86"/>
      <c r="F1517" s="86"/>
      <c r="G1517" s="86"/>
      <c r="H1517" s="86"/>
      <c r="I1517" s="86"/>
      <c r="J1517" s="86"/>
      <c r="K1517" s="86"/>
      <c r="L1517" s="86"/>
      <c r="M1517" s="86"/>
      <c r="N1517" s="86"/>
      <c r="O1517" s="86"/>
      <c r="P1517" s="86"/>
      <c r="Q1517" s="86"/>
      <c r="R1517" s="86"/>
      <c r="S1517" s="86"/>
      <c r="T1517" s="86"/>
      <c r="U1517" s="86"/>
      <c r="V1517" s="86"/>
      <c r="W1517" s="86"/>
      <c r="X1517" s="86"/>
      <c r="Y1517" s="86"/>
      <c r="Z1517" s="86"/>
      <c r="AA1517" s="86"/>
      <c r="AB1517" s="86"/>
      <c r="AC1517" s="86"/>
      <c r="AD1517" s="86"/>
      <c r="AE1517" s="86"/>
    </row>
    <row r="1518" spans="1:31">
      <c r="A1518" s="86"/>
      <c r="B1518" s="86"/>
      <c r="C1518" s="86"/>
      <c r="D1518" s="86"/>
      <c r="E1518" s="86"/>
      <c r="F1518" s="86"/>
      <c r="G1518" s="86"/>
      <c r="H1518" s="86"/>
      <c r="I1518" s="86"/>
      <c r="J1518" s="86"/>
      <c r="K1518" s="86"/>
      <c r="L1518" s="86"/>
      <c r="M1518" s="86"/>
      <c r="N1518" s="86"/>
      <c r="O1518" s="86"/>
      <c r="P1518" s="86"/>
      <c r="Q1518" s="86"/>
      <c r="R1518" s="86"/>
      <c r="S1518" s="86"/>
      <c r="T1518" s="86"/>
      <c r="U1518" s="86"/>
      <c r="V1518" s="86"/>
      <c r="W1518" s="86"/>
      <c r="X1518" s="86"/>
      <c r="Y1518" s="86"/>
      <c r="Z1518" s="86"/>
      <c r="AA1518" s="86"/>
      <c r="AB1518" s="86"/>
      <c r="AC1518" s="86"/>
      <c r="AD1518" s="86"/>
      <c r="AE1518" s="86"/>
    </row>
    <row r="1519" spans="1:31">
      <c r="A1519" s="86"/>
      <c r="B1519" s="86"/>
      <c r="C1519" s="86"/>
      <c r="D1519" s="86"/>
      <c r="E1519" s="86"/>
      <c r="F1519" s="86"/>
      <c r="G1519" s="86"/>
      <c r="H1519" s="86"/>
      <c r="I1519" s="86"/>
      <c r="J1519" s="86"/>
      <c r="K1519" s="86"/>
      <c r="L1519" s="86"/>
      <c r="M1519" s="86"/>
      <c r="N1519" s="86"/>
      <c r="O1519" s="86"/>
      <c r="P1519" s="86"/>
      <c r="Q1519" s="86"/>
      <c r="R1519" s="86"/>
      <c r="S1519" s="86"/>
      <c r="T1519" s="86"/>
      <c r="U1519" s="86"/>
      <c r="V1519" s="86"/>
      <c r="W1519" s="86"/>
      <c r="X1519" s="86"/>
      <c r="Y1519" s="86"/>
      <c r="Z1519" s="86"/>
      <c r="AA1519" s="86"/>
      <c r="AB1519" s="86"/>
      <c r="AC1519" s="86"/>
      <c r="AD1519" s="86"/>
      <c r="AE1519" s="86"/>
    </row>
    <row r="1520" spans="1:31">
      <c r="A1520" s="86"/>
      <c r="B1520" s="86"/>
      <c r="C1520" s="86"/>
      <c r="D1520" s="86"/>
      <c r="E1520" s="86"/>
      <c r="F1520" s="86"/>
      <c r="G1520" s="86"/>
      <c r="H1520" s="86"/>
      <c r="I1520" s="86"/>
      <c r="J1520" s="86"/>
      <c r="K1520" s="86"/>
      <c r="L1520" s="86"/>
      <c r="M1520" s="86"/>
      <c r="N1520" s="86"/>
      <c r="O1520" s="86"/>
      <c r="P1520" s="86"/>
      <c r="Q1520" s="86"/>
      <c r="R1520" s="86"/>
      <c r="S1520" s="86"/>
      <c r="T1520" s="86"/>
      <c r="U1520" s="86"/>
      <c r="V1520" s="86"/>
      <c r="W1520" s="86"/>
      <c r="X1520" s="86"/>
      <c r="Y1520" s="86"/>
      <c r="Z1520" s="86"/>
      <c r="AA1520" s="86"/>
      <c r="AB1520" s="86"/>
      <c r="AC1520" s="86"/>
      <c r="AD1520" s="86"/>
      <c r="AE1520" s="86"/>
    </row>
    <row r="1521" spans="1:31">
      <c r="A1521" s="86"/>
      <c r="B1521" s="86"/>
      <c r="C1521" s="86"/>
      <c r="D1521" s="86"/>
      <c r="E1521" s="86"/>
      <c r="F1521" s="86"/>
      <c r="G1521" s="86"/>
      <c r="H1521" s="86"/>
      <c r="I1521" s="86"/>
      <c r="J1521" s="86"/>
      <c r="K1521" s="86"/>
      <c r="L1521" s="86"/>
      <c r="M1521" s="86"/>
      <c r="N1521" s="86"/>
      <c r="O1521" s="86"/>
      <c r="P1521" s="86"/>
      <c r="Q1521" s="86"/>
      <c r="R1521" s="86"/>
      <c r="S1521" s="86"/>
      <c r="T1521" s="86"/>
      <c r="U1521" s="86"/>
      <c r="V1521" s="86"/>
      <c r="W1521" s="86"/>
      <c r="X1521" s="86"/>
      <c r="Y1521" s="86"/>
      <c r="Z1521" s="86"/>
      <c r="AA1521" s="86"/>
      <c r="AB1521" s="86"/>
      <c r="AC1521" s="86"/>
      <c r="AD1521" s="86"/>
      <c r="AE1521" s="86"/>
    </row>
    <row r="1522" spans="1:31">
      <c r="A1522" s="86"/>
      <c r="B1522" s="86"/>
      <c r="C1522" s="86"/>
      <c r="D1522" s="86"/>
      <c r="E1522" s="86"/>
      <c r="F1522" s="86"/>
      <c r="G1522" s="86"/>
      <c r="H1522" s="86"/>
      <c r="I1522" s="86"/>
      <c r="J1522" s="86"/>
      <c r="K1522" s="86"/>
      <c r="L1522" s="86"/>
      <c r="M1522" s="86"/>
      <c r="N1522" s="86"/>
      <c r="O1522" s="86"/>
      <c r="P1522" s="86"/>
      <c r="Q1522" s="86"/>
      <c r="R1522" s="86"/>
      <c r="S1522" s="86"/>
      <c r="T1522" s="86"/>
      <c r="U1522" s="86"/>
      <c r="V1522" s="86"/>
      <c r="W1522" s="86"/>
      <c r="X1522" s="86"/>
      <c r="Y1522" s="86"/>
      <c r="Z1522" s="86"/>
      <c r="AA1522" s="86"/>
      <c r="AB1522" s="86"/>
      <c r="AC1522" s="86"/>
      <c r="AD1522" s="86"/>
      <c r="AE1522" s="86"/>
    </row>
    <row r="1523" spans="1:31">
      <c r="A1523" s="86"/>
      <c r="B1523" s="86"/>
      <c r="C1523" s="86"/>
      <c r="D1523" s="86"/>
      <c r="E1523" s="86"/>
      <c r="F1523" s="86"/>
      <c r="G1523" s="86"/>
      <c r="H1523" s="86"/>
      <c r="I1523" s="86"/>
      <c r="J1523" s="86"/>
      <c r="K1523" s="86"/>
      <c r="L1523" s="86"/>
      <c r="M1523" s="86"/>
      <c r="N1523" s="86"/>
      <c r="O1523" s="86"/>
      <c r="P1523" s="86"/>
      <c r="Q1523" s="86"/>
      <c r="R1523" s="86"/>
      <c r="S1523" s="86"/>
      <c r="T1523" s="86"/>
      <c r="U1523" s="86"/>
      <c r="V1523" s="86"/>
      <c r="W1523" s="86"/>
      <c r="X1523" s="86"/>
      <c r="Y1523" s="86"/>
      <c r="Z1523" s="86"/>
      <c r="AA1523" s="86"/>
      <c r="AB1523" s="86"/>
      <c r="AC1523" s="86"/>
      <c r="AD1523" s="86"/>
      <c r="AE1523" s="86"/>
    </row>
    <row r="1524" spans="1:31">
      <c r="A1524" s="86"/>
      <c r="B1524" s="86"/>
      <c r="C1524" s="86"/>
      <c r="D1524" s="86"/>
      <c r="E1524" s="86"/>
      <c r="F1524" s="86"/>
      <c r="G1524" s="86"/>
      <c r="H1524" s="86"/>
      <c r="I1524" s="86"/>
      <c r="J1524" s="86"/>
      <c r="K1524" s="86"/>
      <c r="L1524" s="86"/>
      <c r="M1524" s="86"/>
      <c r="N1524" s="86"/>
      <c r="O1524" s="86"/>
      <c r="P1524" s="86"/>
      <c r="Q1524" s="86"/>
      <c r="R1524" s="86"/>
      <c r="S1524" s="86"/>
      <c r="T1524" s="86"/>
      <c r="U1524" s="86"/>
      <c r="V1524" s="86"/>
      <c r="W1524" s="86"/>
      <c r="X1524" s="86"/>
      <c r="Y1524" s="86"/>
      <c r="Z1524" s="86"/>
      <c r="AA1524" s="86"/>
      <c r="AB1524" s="86"/>
      <c r="AC1524" s="86"/>
      <c r="AD1524" s="86"/>
      <c r="AE1524" s="86"/>
    </row>
    <row r="1525" spans="1:31">
      <c r="A1525" s="86"/>
      <c r="B1525" s="86"/>
      <c r="C1525" s="86"/>
      <c r="D1525" s="86"/>
      <c r="E1525" s="86"/>
      <c r="F1525" s="86"/>
      <c r="G1525" s="86"/>
      <c r="H1525" s="86"/>
      <c r="I1525" s="86"/>
      <c r="J1525" s="86"/>
      <c r="K1525" s="86"/>
      <c r="L1525" s="86"/>
      <c r="M1525" s="86"/>
      <c r="N1525" s="86"/>
      <c r="O1525" s="86"/>
      <c r="P1525" s="86"/>
      <c r="Q1525" s="86"/>
      <c r="R1525" s="86"/>
      <c r="S1525" s="86"/>
      <c r="T1525" s="86"/>
      <c r="U1525" s="86"/>
      <c r="V1525" s="86"/>
      <c r="W1525" s="86"/>
      <c r="X1525" s="86"/>
      <c r="Y1525" s="86"/>
      <c r="Z1525" s="86"/>
      <c r="AA1525" s="86"/>
      <c r="AB1525" s="86"/>
      <c r="AC1525" s="86"/>
      <c r="AD1525" s="86"/>
      <c r="AE1525" s="86"/>
    </row>
    <row r="1526" spans="1:31">
      <c r="A1526" s="86"/>
      <c r="B1526" s="86"/>
      <c r="C1526" s="86"/>
      <c r="D1526" s="86"/>
      <c r="E1526" s="86"/>
      <c r="F1526" s="86"/>
      <c r="G1526" s="86"/>
      <c r="H1526" s="86"/>
      <c r="I1526" s="86"/>
      <c r="J1526" s="86"/>
      <c r="K1526" s="86"/>
      <c r="L1526" s="86"/>
      <c r="M1526" s="86"/>
      <c r="N1526" s="86"/>
      <c r="O1526" s="86"/>
      <c r="P1526" s="86"/>
      <c r="Q1526" s="86"/>
      <c r="R1526" s="86"/>
      <c r="S1526" s="86"/>
      <c r="T1526" s="86"/>
      <c r="U1526" s="86"/>
      <c r="V1526" s="86"/>
      <c r="W1526" s="86"/>
      <c r="X1526" s="86"/>
      <c r="Y1526" s="86"/>
      <c r="Z1526" s="86"/>
      <c r="AA1526" s="86"/>
      <c r="AB1526" s="86"/>
      <c r="AC1526" s="86"/>
      <c r="AD1526" s="86"/>
      <c r="AE1526" s="86"/>
    </row>
    <row r="1527" spans="1:31">
      <c r="A1527" s="86"/>
      <c r="B1527" s="86"/>
      <c r="C1527" s="86"/>
      <c r="D1527" s="86"/>
      <c r="E1527" s="86"/>
      <c r="F1527" s="86"/>
      <c r="G1527" s="86"/>
      <c r="H1527" s="86"/>
      <c r="I1527" s="86"/>
      <c r="J1527" s="86"/>
      <c r="K1527" s="86"/>
      <c r="L1527" s="86"/>
      <c r="M1527" s="86"/>
      <c r="N1527" s="86"/>
      <c r="O1527" s="86"/>
      <c r="P1527" s="86"/>
      <c r="Q1527" s="86"/>
      <c r="R1527" s="86"/>
      <c r="S1527" s="86"/>
      <c r="T1527" s="86"/>
      <c r="U1527" s="86"/>
      <c r="V1527" s="86"/>
      <c r="W1527" s="86"/>
      <c r="X1527" s="86"/>
      <c r="Y1527" s="86"/>
      <c r="Z1527" s="86"/>
      <c r="AA1527" s="86"/>
      <c r="AB1527" s="86"/>
      <c r="AC1527" s="86"/>
      <c r="AD1527" s="86"/>
      <c r="AE1527" s="86"/>
    </row>
    <row r="1528" spans="1:31">
      <c r="A1528" s="86"/>
      <c r="B1528" s="86"/>
      <c r="C1528" s="86"/>
      <c r="D1528" s="86"/>
      <c r="E1528" s="86"/>
      <c r="F1528" s="86"/>
      <c r="G1528" s="86"/>
      <c r="H1528" s="86"/>
      <c r="I1528" s="86"/>
      <c r="J1528" s="86"/>
      <c r="K1528" s="86"/>
      <c r="L1528" s="86"/>
      <c r="M1528" s="86"/>
      <c r="N1528" s="86"/>
      <c r="O1528" s="86"/>
      <c r="P1528" s="86"/>
      <c r="Q1528" s="86"/>
      <c r="R1528" s="86"/>
      <c r="S1528" s="86"/>
      <c r="T1528" s="86"/>
      <c r="U1528" s="86"/>
      <c r="V1528" s="86"/>
      <c r="W1528" s="86"/>
      <c r="X1528" s="86"/>
      <c r="Y1528" s="86"/>
      <c r="Z1528" s="86"/>
      <c r="AA1528" s="86"/>
      <c r="AB1528" s="86"/>
      <c r="AC1528" s="86"/>
      <c r="AD1528" s="86"/>
      <c r="AE1528" s="86"/>
    </row>
    <row r="1529" spans="1:31">
      <c r="A1529" s="86"/>
      <c r="B1529" s="86"/>
      <c r="C1529" s="86"/>
      <c r="D1529" s="86"/>
      <c r="E1529" s="86"/>
      <c r="F1529" s="86"/>
      <c r="G1529" s="86"/>
      <c r="H1529" s="86"/>
      <c r="I1529" s="86"/>
      <c r="J1529" s="86"/>
      <c r="K1529" s="86"/>
      <c r="L1529" s="86"/>
      <c r="M1529" s="86"/>
      <c r="N1529" s="86"/>
      <c r="O1529" s="86"/>
      <c r="P1529" s="86"/>
      <c r="Q1529" s="86"/>
      <c r="R1529" s="86"/>
      <c r="S1529" s="86"/>
      <c r="T1529" s="86"/>
      <c r="U1529" s="86"/>
      <c r="V1529" s="86"/>
      <c r="W1529" s="86"/>
      <c r="X1529" s="86"/>
      <c r="Y1529" s="86"/>
      <c r="Z1529" s="86"/>
      <c r="AA1529" s="86"/>
      <c r="AB1529" s="86"/>
      <c r="AC1529" s="86"/>
      <c r="AD1529" s="86"/>
      <c r="AE1529" s="86"/>
    </row>
    <row r="1530" spans="1:31">
      <c r="A1530" s="86"/>
      <c r="B1530" s="86"/>
      <c r="C1530" s="86"/>
      <c r="D1530" s="86"/>
      <c r="E1530" s="86"/>
      <c r="F1530" s="86"/>
      <c r="G1530" s="86"/>
      <c r="H1530" s="86"/>
      <c r="I1530" s="86"/>
      <c r="J1530" s="86"/>
      <c r="K1530" s="86"/>
      <c r="L1530" s="86"/>
      <c r="M1530" s="86"/>
      <c r="N1530" s="86"/>
      <c r="O1530" s="86"/>
      <c r="P1530" s="86"/>
      <c r="Q1530" s="86"/>
      <c r="R1530" s="86"/>
      <c r="S1530" s="86"/>
      <c r="T1530" s="86"/>
      <c r="U1530" s="86"/>
      <c r="V1530" s="86"/>
      <c r="W1530" s="86"/>
      <c r="X1530" s="86"/>
      <c r="Y1530" s="86"/>
      <c r="Z1530" s="86"/>
      <c r="AA1530" s="86"/>
      <c r="AB1530" s="86"/>
      <c r="AC1530" s="86"/>
      <c r="AD1530" s="86"/>
      <c r="AE1530" s="86"/>
    </row>
    <row r="1531" spans="1:31">
      <c r="A1531" s="86"/>
      <c r="B1531" s="86"/>
      <c r="C1531" s="86"/>
      <c r="D1531" s="86"/>
      <c r="E1531" s="86"/>
      <c r="F1531" s="86"/>
      <c r="G1531" s="86"/>
      <c r="H1531" s="86"/>
      <c r="I1531" s="86"/>
      <c r="J1531" s="86"/>
      <c r="K1531" s="86"/>
      <c r="L1531" s="86"/>
      <c r="M1531" s="86"/>
      <c r="N1531" s="86"/>
      <c r="O1531" s="86"/>
      <c r="P1531" s="86"/>
      <c r="Q1531" s="86"/>
      <c r="R1531" s="86"/>
      <c r="S1531" s="86"/>
      <c r="T1531" s="86"/>
      <c r="U1531" s="86"/>
      <c r="V1531" s="86"/>
      <c r="W1531" s="86"/>
      <c r="X1531" s="86"/>
      <c r="Y1531" s="86"/>
      <c r="Z1531" s="86"/>
      <c r="AA1531" s="86"/>
      <c r="AB1531" s="86"/>
      <c r="AC1531" s="86"/>
      <c r="AD1531" s="86"/>
      <c r="AE1531" s="86"/>
    </row>
    <row r="1532" spans="1:31">
      <c r="A1532" s="86"/>
      <c r="B1532" s="86"/>
      <c r="C1532" s="86"/>
      <c r="D1532" s="86"/>
      <c r="E1532" s="86"/>
      <c r="F1532" s="86"/>
      <c r="G1532" s="86"/>
      <c r="H1532" s="86"/>
      <c r="I1532" s="86"/>
      <c r="J1532" s="86"/>
      <c r="K1532" s="86"/>
      <c r="L1532" s="86"/>
      <c r="M1532" s="86"/>
      <c r="N1532" s="86"/>
      <c r="O1532" s="86"/>
      <c r="P1532" s="86"/>
      <c r="Q1532" s="86"/>
      <c r="R1532" s="86"/>
      <c r="S1532" s="86"/>
      <c r="T1532" s="86"/>
      <c r="U1532" s="86"/>
      <c r="V1532" s="86"/>
      <c r="W1532" s="86"/>
      <c r="X1532" s="86"/>
      <c r="Y1532" s="86"/>
      <c r="Z1532" s="86"/>
      <c r="AA1532" s="86"/>
      <c r="AB1532" s="86"/>
      <c r="AC1532" s="86"/>
      <c r="AD1532" s="86"/>
      <c r="AE1532" s="86"/>
    </row>
    <row r="1533" spans="1:31">
      <c r="A1533" s="86"/>
      <c r="B1533" s="86"/>
      <c r="C1533" s="86"/>
      <c r="D1533" s="86"/>
      <c r="E1533" s="86"/>
      <c r="F1533" s="86"/>
      <c r="G1533" s="86"/>
      <c r="H1533" s="86"/>
      <c r="I1533" s="86"/>
      <c r="J1533" s="86"/>
      <c r="K1533" s="86"/>
      <c r="L1533" s="86"/>
      <c r="M1533" s="86"/>
      <c r="N1533" s="86"/>
      <c r="O1533" s="86"/>
      <c r="P1533" s="86"/>
      <c r="Q1533" s="86"/>
      <c r="R1533" s="86"/>
      <c r="S1533" s="86"/>
      <c r="T1533" s="86"/>
      <c r="U1533" s="86"/>
      <c r="V1533" s="86"/>
      <c r="W1533" s="86"/>
      <c r="X1533" s="86"/>
      <c r="Y1533" s="86"/>
      <c r="Z1533" s="86"/>
      <c r="AA1533" s="86"/>
      <c r="AB1533" s="86"/>
      <c r="AC1533" s="86"/>
      <c r="AD1533" s="86"/>
      <c r="AE1533" s="86"/>
    </row>
    <row r="1534" spans="1:31">
      <c r="A1534" s="86"/>
      <c r="B1534" s="86"/>
      <c r="C1534" s="86"/>
      <c r="D1534" s="86"/>
      <c r="E1534" s="86"/>
      <c r="F1534" s="86"/>
      <c r="G1534" s="86"/>
      <c r="H1534" s="86"/>
      <c r="I1534" s="86"/>
      <c r="J1534" s="86"/>
      <c r="K1534" s="86"/>
      <c r="L1534" s="86"/>
      <c r="M1534" s="86"/>
      <c r="N1534" s="86"/>
      <c r="O1534" s="86"/>
      <c r="P1534" s="86"/>
      <c r="Q1534" s="86"/>
      <c r="R1534" s="86"/>
      <c r="S1534" s="86"/>
      <c r="T1534" s="86"/>
      <c r="U1534" s="86"/>
      <c r="V1534" s="86"/>
      <c r="W1534" s="86"/>
      <c r="X1534" s="86"/>
      <c r="Y1534" s="86"/>
      <c r="Z1534" s="86"/>
      <c r="AA1534" s="86"/>
      <c r="AB1534" s="86"/>
      <c r="AC1534" s="86"/>
      <c r="AD1534" s="86"/>
      <c r="AE1534" s="86"/>
    </row>
    <row r="1535" spans="1:31">
      <c r="A1535" s="86"/>
      <c r="B1535" s="86"/>
      <c r="C1535" s="86"/>
      <c r="D1535" s="86"/>
      <c r="E1535" s="86"/>
      <c r="F1535" s="86"/>
      <c r="G1535" s="86"/>
      <c r="H1535" s="86"/>
      <c r="I1535" s="86"/>
      <c r="J1535" s="86"/>
      <c r="K1535" s="86"/>
      <c r="L1535" s="86"/>
      <c r="M1535" s="86"/>
      <c r="N1535" s="86"/>
      <c r="O1535" s="86"/>
      <c r="P1535" s="86"/>
      <c r="Q1535" s="86"/>
      <c r="R1535" s="86"/>
      <c r="S1535" s="86"/>
      <c r="T1535" s="86"/>
      <c r="U1535" s="86"/>
      <c r="V1535" s="86"/>
      <c r="W1535" s="86"/>
      <c r="X1535" s="86"/>
      <c r="Y1535" s="86"/>
      <c r="Z1535" s="86"/>
      <c r="AA1535" s="86"/>
      <c r="AB1535" s="86"/>
      <c r="AC1535" s="86"/>
      <c r="AD1535" s="86"/>
      <c r="AE1535" s="86"/>
    </row>
    <row r="1536" spans="1:31">
      <c r="A1536" s="86"/>
      <c r="B1536" s="86"/>
      <c r="C1536" s="86"/>
      <c r="D1536" s="86"/>
      <c r="E1536" s="86"/>
      <c r="F1536" s="86"/>
      <c r="G1536" s="86"/>
      <c r="H1536" s="86"/>
      <c r="I1536" s="86"/>
      <c r="J1536" s="86"/>
      <c r="K1536" s="86"/>
      <c r="L1536" s="86"/>
      <c r="M1536" s="86"/>
      <c r="N1536" s="86"/>
      <c r="O1536" s="86"/>
      <c r="P1536" s="86"/>
      <c r="Q1536" s="86"/>
      <c r="R1536" s="86"/>
      <c r="S1536" s="86"/>
      <c r="T1536" s="86"/>
      <c r="U1536" s="86"/>
      <c r="V1536" s="86"/>
      <c r="W1536" s="86"/>
      <c r="X1536" s="86"/>
      <c r="Y1536" s="86"/>
      <c r="Z1536" s="86"/>
      <c r="AA1536" s="86"/>
      <c r="AB1536" s="86"/>
      <c r="AC1536" s="86"/>
      <c r="AD1536" s="86"/>
      <c r="AE1536" s="86"/>
    </row>
    <row r="1537" spans="1:31">
      <c r="A1537" s="86"/>
      <c r="B1537" s="86"/>
      <c r="C1537" s="86"/>
      <c r="D1537" s="86"/>
      <c r="E1537" s="86"/>
      <c r="F1537" s="86"/>
      <c r="G1537" s="86"/>
      <c r="H1537" s="86"/>
      <c r="I1537" s="86"/>
      <c r="J1537" s="86"/>
      <c r="K1537" s="86"/>
      <c r="L1537" s="86"/>
      <c r="M1537" s="86"/>
      <c r="N1537" s="86"/>
      <c r="O1537" s="86"/>
      <c r="P1537" s="86"/>
      <c r="Q1537" s="86"/>
      <c r="R1537" s="86"/>
      <c r="S1537" s="86"/>
      <c r="T1537" s="86"/>
      <c r="U1537" s="86"/>
      <c r="V1537" s="86"/>
      <c r="W1537" s="86"/>
      <c r="X1537" s="86"/>
      <c r="Y1537" s="86"/>
      <c r="Z1537" s="86"/>
      <c r="AA1537" s="86"/>
      <c r="AB1537" s="86"/>
      <c r="AC1537" s="86"/>
      <c r="AD1537" s="86"/>
      <c r="AE1537" s="86"/>
    </row>
    <row r="1538" spans="1:31">
      <c r="A1538" s="86"/>
      <c r="B1538" s="86"/>
      <c r="C1538" s="86"/>
      <c r="D1538" s="86"/>
      <c r="E1538" s="86"/>
      <c r="F1538" s="86"/>
      <c r="G1538" s="86"/>
      <c r="H1538" s="86"/>
      <c r="I1538" s="86"/>
      <c r="J1538" s="86"/>
      <c r="K1538" s="86"/>
      <c r="L1538" s="86"/>
      <c r="M1538" s="86"/>
      <c r="N1538" s="86"/>
      <c r="O1538" s="86"/>
      <c r="P1538" s="86"/>
      <c r="Q1538" s="86"/>
      <c r="R1538" s="86"/>
      <c r="S1538" s="86"/>
      <c r="T1538" s="86"/>
      <c r="U1538" s="86"/>
      <c r="V1538" s="86"/>
      <c r="W1538" s="86"/>
      <c r="X1538" s="86"/>
      <c r="Y1538" s="86"/>
      <c r="Z1538" s="86"/>
      <c r="AA1538" s="86"/>
      <c r="AB1538" s="86"/>
      <c r="AC1538" s="86"/>
      <c r="AD1538" s="86"/>
      <c r="AE1538" s="86"/>
    </row>
    <row r="1539" spans="1:31">
      <c r="A1539" s="86"/>
      <c r="B1539" s="86"/>
      <c r="C1539" s="86"/>
      <c r="D1539" s="86"/>
      <c r="E1539" s="86"/>
      <c r="F1539" s="86"/>
      <c r="G1539" s="86"/>
      <c r="H1539" s="86"/>
      <c r="I1539" s="86"/>
      <c r="J1539" s="86"/>
      <c r="K1539" s="86"/>
      <c r="L1539" s="86"/>
      <c r="M1539" s="86"/>
      <c r="N1539" s="86"/>
      <c r="O1539" s="86"/>
      <c r="P1539" s="86"/>
      <c r="Q1539" s="86"/>
      <c r="R1539" s="86"/>
      <c r="S1539" s="86"/>
      <c r="T1539" s="86"/>
      <c r="U1539" s="86"/>
      <c r="V1539" s="86"/>
      <c r="W1539" s="86"/>
      <c r="X1539" s="86"/>
      <c r="Y1539" s="86"/>
      <c r="Z1539" s="86"/>
      <c r="AA1539" s="86"/>
      <c r="AB1539" s="86"/>
      <c r="AC1539" s="86"/>
      <c r="AD1539" s="86"/>
      <c r="AE1539" s="86"/>
    </row>
    <row r="1540" spans="1:31">
      <c r="A1540" s="86"/>
      <c r="B1540" s="86"/>
      <c r="C1540" s="86"/>
      <c r="D1540" s="86"/>
      <c r="E1540" s="86"/>
      <c r="F1540" s="86"/>
      <c r="G1540" s="86"/>
      <c r="H1540" s="86"/>
      <c r="I1540" s="86"/>
      <c r="J1540" s="86"/>
      <c r="K1540" s="86"/>
      <c r="L1540" s="86"/>
      <c r="M1540" s="86"/>
      <c r="N1540" s="86"/>
      <c r="O1540" s="86"/>
      <c r="P1540" s="86"/>
      <c r="Q1540" s="86"/>
      <c r="R1540" s="86"/>
      <c r="S1540" s="86"/>
      <c r="T1540" s="86"/>
      <c r="U1540" s="86"/>
      <c r="V1540" s="86"/>
      <c r="W1540" s="86"/>
      <c r="X1540" s="86"/>
      <c r="Y1540" s="86"/>
      <c r="Z1540" s="86"/>
      <c r="AA1540" s="86"/>
      <c r="AB1540" s="86"/>
      <c r="AC1540" s="86"/>
      <c r="AD1540" s="86"/>
      <c r="AE1540" s="86"/>
    </row>
    <row r="1541" spans="1:31">
      <c r="A1541" s="86"/>
      <c r="B1541" s="86"/>
      <c r="C1541" s="86"/>
      <c r="D1541" s="86"/>
      <c r="E1541" s="86"/>
      <c r="F1541" s="86"/>
      <c r="G1541" s="86"/>
      <c r="H1541" s="86"/>
      <c r="I1541" s="86"/>
      <c r="J1541" s="86"/>
      <c r="K1541" s="86"/>
      <c r="L1541" s="86"/>
      <c r="M1541" s="86"/>
      <c r="N1541" s="86"/>
      <c r="O1541" s="86"/>
      <c r="P1541" s="86"/>
      <c r="Q1541" s="86"/>
      <c r="R1541" s="86"/>
      <c r="S1541" s="86"/>
      <c r="T1541" s="86"/>
      <c r="U1541" s="86"/>
      <c r="V1541" s="86"/>
      <c r="W1541" s="86"/>
      <c r="X1541" s="86"/>
      <c r="Y1541" s="86"/>
      <c r="Z1541" s="86"/>
      <c r="AA1541" s="86"/>
      <c r="AB1541" s="86"/>
      <c r="AC1541" s="86"/>
      <c r="AD1541" s="86"/>
      <c r="AE1541" s="86"/>
    </row>
    <row r="1542" spans="1:31">
      <c r="A1542" s="86"/>
      <c r="B1542" s="86"/>
      <c r="C1542" s="86"/>
      <c r="D1542" s="86"/>
      <c r="E1542" s="86"/>
      <c r="F1542" s="86"/>
      <c r="G1542" s="86"/>
      <c r="H1542" s="86"/>
      <c r="I1542" s="86"/>
      <c r="J1542" s="86"/>
      <c r="K1542" s="86"/>
      <c r="L1542" s="86"/>
      <c r="M1542" s="86"/>
      <c r="N1542" s="86"/>
      <c r="O1542" s="86"/>
      <c r="P1542" s="86"/>
      <c r="Q1542" s="86"/>
      <c r="R1542" s="86"/>
      <c r="S1542" s="86"/>
      <c r="T1542" s="86"/>
      <c r="U1542" s="86"/>
      <c r="V1542" s="86"/>
      <c r="W1542" s="86"/>
      <c r="X1542" s="86"/>
      <c r="Y1542" s="86"/>
      <c r="Z1542" s="86"/>
      <c r="AA1542" s="86"/>
      <c r="AB1542" s="86"/>
      <c r="AC1542" s="86"/>
      <c r="AD1542" s="86"/>
      <c r="AE1542" s="86"/>
    </row>
    <row r="1543" spans="1:31">
      <c r="A1543" s="86"/>
      <c r="B1543" s="86"/>
      <c r="C1543" s="86"/>
      <c r="D1543" s="86"/>
      <c r="E1543" s="86"/>
      <c r="F1543" s="86"/>
      <c r="G1543" s="86"/>
      <c r="H1543" s="86"/>
      <c r="I1543" s="86"/>
      <c r="J1543" s="86"/>
      <c r="K1543" s="86"/>
      <c r="L1543" s="86"/>
      <c r="M1543" s="86"/>
      <c r="N1543" s="86"/>
      <c r="O1543" s="86"/>
      <c r="P1543" s="86"/>
      <c r="Q1543" s="86"/>
      <c r="R1543" s="86"/>
      <c r="S1543" s="86"/>
      <c r="T1543" s="86"/>
      <c r="U1543" s="86"/>
      <c r="V1543" s="86"/>
      <c r="W1543" s="86"/>
      <c r="X1543" s="86"/>
      <c r="Y1543" s="86"/>
      <c r="Z1543" s="86"/>
      <c r="AA1543" s="86"/>
      <c r="AB1543" s="86"/>
      <c r="AC1543" s="86"/>
      <c r="AD1543" s="86"/>
      <c r="AE1543" s="86"/>
    </row>
    <row r="1544" spans="1:31">
      <c r="A1544" s="86"/>
      <c r="B1544" s="86"/>
      <c r="C1544" s="86"/>
      <c r="D1544" s="86"/>
      <c r="E1544" s="86"/>
      <c r="F1544" s="86"/>
      <c r="G1544" s="86"/>
      <c r="H1544" s="86"/>
      <c r="I1544" s="86"/>
      <c r="J1544" s="86"/>
      <c r="K1544" s="86"/>
      <c r="L1544" s="86"/>
      <c r="M1544" s="86"/>
      <c r="N1544" s="86"/>
      <c r="O1544" s="86"/>
      <c r="P1544" s="86"/>
      <c r="Q1544" s="86"/>
      <c r="R1544" s="86"/>
      <c r="S1544" s="86"/>
      <c r="T1544" s="86"/>
      <c r="U1544" s="86"/>
      <c r="V1544" s="86"/>
      <c r="W1544" s="86"/>
      <c r="X1544" s="86"/>
      <c r="Y1544" s="86"/>
      <c r="Z1544" s="86"/>
      <c r="AA1544" s="86"/>
      <c r="AB1544" s="86"/>
      <c r="AC1544" s="86"/>
      <c r="AD1544" s="86"/>
      <c r="AE1544" s="86"/>
    </row>
    <row r="1545" spans="1:31">
      <c r="A1545" s="86"/>
      <c r="B1545" s="86"/>
      <c r="C1545" s="86"/>
      <c r="D1545" s="86"/>
      <c r="E1545" s="86"/>
      <c r="F1545" s="86"/>
      <c r="G1545" s="86"/>
      <c r="H1545" s="86"/>
      <c r="I1545" s="86"/>
      <c r="J1545" s="86"/>
      <c r="K1545" s="86"/>
      <c r="L1545" s="86"/>
      <c r="M1545" s="86"/>
      <c r="N1545" s="86"/>
      <c r="O1545" s="86"/>
      <c r="P1545" s="86"/>
      <c r="Q1545" s="86"/>
      <c r="R1545" s="86"/>
      <c r="S1545" s="86"/>
      <c r="T1545" s="86"/>
      <c r="U1545" s="86"/>
      <c r="V1545" s="86"/>
      <c r="W1545" s="86"/>
      <c r="X1545" s="86"/>
      <c r="Y1545" s="86"/>
      <c r="Z1545" s="86"/>
      <c r="AA1545" s="86"/>
      <c r="AB1545" s="86"/>
      <c r="AC1545" s="86"/>
      <c r="AD1545" s="86"/>
      <c r="AE1545" s="86"/>
    </row>
    <row r="1546" spans="1:31">
      <c r="A1546" s="86"/>
      <c r="B1546" s="86"/>
      <c r="C1546" s="86"/>
      <c r="D1546" s="86"/>
      <c r="E1546" s="86"/>
      <c r="F1546" s="86"/>
      <c r="G1546" s="86"/>
      <c r="H1546" s="86"/>
      <c r="I1546" s="86"/>
      <c r="J1546" s="86"/>
      <c r="K1546" s="86"/>
      <c r="L1546" s="86"/>
      <c r="M1546" s="86"/>
      <c r="N1546" s="86"/>
      <c r="O1546" s="86"/>
      <c r="P1546" s="86"/>
      <c r="Q1546" s="86"/>
      <c r="R1546" s="86"/>
      <c r="S1546" s="86"/>
      <c r="T1546" s="86"/>
      <c r="U1546" s="86"/>
      <c r="V1546" s="86"/>
      <c r="W1546" s="86"/>
      <c r="X1546" s="86"/>
      <c r="Y1546" s="86"/>
      <c r="Z1546" s="86"/>
      <c r="AA1546" s="86"/>
      <c r="AB1546" s="86"/>
      <c r="AC1546" s="86"/>
      <c r="AD1546" s="86"/>
      <c r="AE1546" s="86"/>
    </row>
    <row r="1547" spans="1:31">
      <c r="A1547" s="86"/>
      <c r="B1547" s="86"/>
      <c r="C1547" s="86"/>
      <c r="D1547" s="86"/>
      <c r="E1547" s="86"/>
      <c r="F1547" s="86"/>
      <c r="G1547" s="86"/>
      <c r="H1547" s="86"/>
      <c r="I1547" s="86"/>
      <c r="J1547" s="86"/>
      <c r="K1547" s="86"/>
      <c r="L1547" s="86"/>
      <c r="M1547" s="86"/>
      <c r="N1547" s="86"/>
      <c r="O1547" s="86"/>
      <c r="P1547" s="86"/>
      <c r="Q1547" s="86"/>
      <c r="R1547" s="86"/>
      <c r="S1547" s="86"/>
      <c r="T1547" s="86"/>
      <c r="U1547" s="86"/>
      <c r="V1547" s="86"/>
      <c r="W1547" s="86"/>
      <c r="X1547" s="86"/>
      <c r="Y1547" s="86"/>
      <c r="Z1547" s="86"/>
      <c r="AA1547" s="86"/>
      <c r="AB1547" s="86"/>
      <c r="AC1547" s="86"/>
      <c r="AD1547" s="86"/>
      <c r="AE1547" s="86"/>
    </row>
    <row r="1548" spans="1:31">
      <c r="A1548" s="86"/>
      <c r="B1548" s="86"/>
      <c r="C1548" s="86"/>
      <c r="D1548" s="86"/>
      <c r="E1548" s="86"/>
      <c r="F1548" s="86"/>
      <c r="G1548" s="86"/>
      <c r="H1548" s="86"/>
      <c r="I1548" s="86"/>
      <c r="J1548" s="86"/>
      <c r="K1548" s="86"/>
      <c r="L1548" s="86"/>
      <c r="M1548" s="86"/>
      <c r="N1548" s="86"/>
      <c r="O1548" s="86"/>
      <c r="P1548" s="86"/>
      <c r="Q1548" s="86"/>
      <c r="R1548" s="86"/>
      <c r="S1548" s="86"/>
      <c r="T1548" s="86"/>
      <c r="U1548" s="86"/>
      <c r="V1548" s="86"/>
      <c r="W1548" s="86"/>
      <c r="X1548" s="86"/>
      <c r="Y1548" s="86"/>
      <c r="Z1548" s="86"/>
      <c r="AA1548" s="86"/>
      <c r="AB1548" s="86"/>
      <c r="AC1548" s="86"/>
      <c r="AD1548" s="86"/>
      <c r="AE1548" s="86"/>
    </row>
    <row r="1549" spans="1:31">
      <c r="A1549" s="86"/>
      <c r="B1549" s="86"/>
      <c r="C1549" s="86"/>
      <c r="D1549" s="86"/>
      <c r="E1549" s="86"/>
      <c r="F1549" s="86"/>
      <c r="G1549" s="86"/>
      <c r="H1549" s="86"/>
      <c r="I1549" s="86"/>
      <c r="J1549" s="86"/>
      <c r="K1549" s="86"/>
      <c r="L1549" s="86"/>
      <c r="M1549" s="86"/>
      <c r="N1549" s="86"/>
      <c r="O1549" s="86"/>
      <c r="P1549" s="86"/>
      <c r="Q1549" s="86"/>
      <c r="R1549" s="86"/>
      <c r="S1549" s="86"/>
      <c r="T1549" s="86"/>
      <c r="U1549" s="86"/>
      <c r="V1549" s="86"/>
      <c r="W1549" s="86"/>
      <c r="X1549" s="86"/>
      <c r="Y1549" s="86"/>
      <c r="Z1549" s="86"/>
      <c r="AA1549" s="86"/>
      <c r="AB1549" s="86"/>
      <c r="AC1549" s="86"/>
      <c r="AD1549" s="86"/>
      <c r="AE1549" s="86"/>
    </row>
    <row r="1550" spans="1:31">
      <c r="A1550" s="86"/>
      <c r="B1550" s="86"/>
      <c r="C1550" s="86"/>
      <c r="D1550" s="86"/>
      <c r="E1550" s="86"/>
      <c r="F1550" s="86"/>
      <c r="G1550" s="86"/>
      <c r="H1550" s="86"/>
      <c r="I1550" s="86"/>
      <c r="J1550" s="86"/>
      <c r="K1550" s="86"/>
      <c r="L1550" s="86"/>
      <c r="M1550" s="86"/>
      <c r="N1550" s="86"/>
      <c r="O1550" s="86"/>
      <c r="P1550" s="86"/>
      <c r="Q1550" s="86"/>
      <c r="R1550" s="86"/>
      <c r="S1550" s="86"/>
      <c r="T1550" s="86"/>
      <c r="U1550" s="86"/>
      <c r="V1550" s="86"/>
      <c r="W1550" s="86"/>
      <c r="X1550" s="86"/>
      <c r="Y1550" s="86"/>
      <c r="Z1550" s="86"/>
      <c r="AA1550" s="86"/>
      <c r="AB1550" s="86"/>
      <c r="AC1550" s="86"/>
      <c r="AD1550" s="86"/>
      <c r="AE1550" s="86"/>
    </row>
    <row r="1551" spans="1:31">
      <c r="A1551" s="86"/>
      <c r="B1551" s="86"/>
      <c r="C1551" s="86"/>
      <c r="D1551" s="86"/>
      <c r="E1551" s="86"/>
      <c r="F1551" s="86"/>
      <c r="G1551" s="86"/>
      <c r="H1551" s="86"/>
      <c r="I1551" s="86"/>
      <c r="J1551" s="86"/>
      <c r="K1551" s="86"/>
      <c r="L1551" s="86"/>
      <c r="M1551" s="86"/>
      <c r="N1551" s="86"/>
      <c r="O1551" s="86"/>
      <c r="P1551" s="86"/>
      <c r="Q1551" s="86"/>
      <c r="R1551" s="86"/>
      <c r="S1551" s="86"/>
      <c r="T1551" s="86"/>
      <c r="U1551" s="86"/>
      <c r="V1551" s="86"/>
      <c r="W1551" s="86"/>
      <c r="X1551" s="86"/>
      <c r="Y1551" s="86"/>
      <c r="Z1551" s="86"/>
      <c r="AA1551" s="86"/>
      <c r="AB1551" s="86"/>
      <c r="AC1551" s="86"/>
      <c r="AD1551" s="86"/>
      <c r="AE1551" s="86"/>
    </row>
    <row r="1552" spans="1:31">
      <c r="A1552" s="86"/>
      <c r="B1552" s="86"/>
      <c r="C1552" s="86"/>
      <c r="D1552" s="86"/>
      <c r="E1552" s="86"/>
      <c r="F1552" s="86"/>
      <c r="G1552" s="86"/>
      <c r="H1552" s="86"/>
      <c r="I1552" s="86"/>
      <c r="J1552" s="86"/>
      <c r="K1552" s="86"/>
      <c r="L1552" s="86"/>
      <c r="M1552" s="86"/>
      <c r="N1552" s="86"/>
      <c r="O1552" s="86"/>
      <c r="P1552" s="86"/>
      <c r="Q1552" s="86"/>
      <c r="R1552" s="86"/>
      <c r="S1552" s="86"/>
      <c r="T1552" s="86"/>
      <c r="U1552" s="86"/>
      <c r="V1552" s="86"/>
      <c r="W1552" s="86"/>
      <c r="X1552" s="86"/>
      <c r="Y1552" s="86"/>
      <c r="Z1552" s="86"/>
      <c r="AA1552" s="86"/>
      <c r="AB1552" s="86"/>
      <c r="AC1552" s="86"/>
      <c r="AD1552" s="86"/>
      <c r="AE1552" s="86"/>
    </row>
    <row r="1553" spans="1:31">
      <c r="A1553" s="86"/>
      <c r="B1553" s="86"/>
      <c r="C1553" s="86"/>
      <c r="D1553" s="86"/>
      <c r="E1553" s="86"/>
      <c r="F1553" s="86"/>
      <c r="G1553" s="86"/>
      <c r="H1553" s="86"/>
      <c r="I1553" s="86"/>
      <c r="J1553" s="86"/>
      <c r="K1553" s="86"/>
      <c r="L1553" s="86"/>
      <c r="M1553" s="86"/>
      <c r="N1553" s="86"/>
      <c r="O1553" s="86"/>
      <c r="P1553" s="86"/>
      <c r="Q1553" s="86"/>
      <c r="R1553" s="86"/>
      <c r="S1553" s="86"/>
      <c r="T1553" s="86"/>
      <c r="U1553" s="86"/>
      <c r="V1553" s="86"/>
      <c r="W1553" s="86"/>
      <c r="X1553" s="86"/>
      <c r="Y1553" s="86"/>
      <c r="Z1553" s="86"/>
      <c r="AA1553" s="86"/>
      <c r="AB1553" s="86"/>
      <c r="AC1553" s="86"/>
      <c r="AD1553" s="86"/>
      <c r="AE1553" s="86"/>
    </row>
    <row r="1554" spans="1:31">
      <c r="A1554" s="86"/>
      <c r="B1554" s="86"/>
      <c r="C1554" s="86"/>
      <c r="D1554" s="86"/>
      <c r="E1554" s="86"/>
      <c r="F1554" s="86"/>
      <c r="G1554" s="86"/>
      <c r="H1554" s="86"/>
      <c r="I1554" s="86"/>
      <c r="J1554" s="86"/>
      <c r="K1554" s="86"/>
      <c r="L1554" s="86"/>
      <c r="M1554" s="86"/>
      <c r="N1554" s="86"/>
      <c r="O1554" s="86"/>
      <c r="P1554" s="86"/>
      <c r="Q1554" s="86"/>
      <c r="R1554" s="86"/>
      <c r="S1554" s="86"/>
      <c r="T1554" s="86"/>
      <c r="U1554" s="86"/>
      <c r="V1554" s="86"/>
      <c r="W1554" s="86"/>
      <c r="X1554" s="86"/>
      <c r="Y1554" s="86"/>
      <c r="Z1554" s="86"/>
      <c r="AA1554" s="86"/>
      <c r="AB1554" s="86"/>
      <c r="AC1554" s="86"/>
      <c r="AD1554" s="86"/>
      <c r="AE1554" s="86"/>
    </row>
    <row r="1555" spans="1:31">
      <c r="A1555" s="86"/>
      <c r="B1555" s="86"/>
      <c r="C1555" s="86"/>
      <c r="D1555" s="86"/>
      <c r="E1555" s="86"/>
      <c r="F1555" s="86"/>
      <c r="G1555" s="86"/>
      <c r="H1555" s="86"/>
      <c r="I1555" s="86"/>
      <c r="J1555" s="86"/>
      <c r="K1555" s="86"/>
      <c r="L1555" s="86"/>
      <c r="M1555" s="86"/>
      <c r="N1555" s="86"/>
      <c r="O1555" s="86"/>
      <c r="P1555" s="86"/>
      <c r="Q1555" s="86"/>
      <c r="R1555" s="86"/>
      <c r="S1555" s="86"/>
      <c r="T1555" s="86"/>
      <c r="U1555" s="86"/>
      <c r="V1555" s="86"/>
      <c r="W1555" s="86"/>
      <c r="X1555" s="86"/>
      <c r="Y1555" s="86"/>
      <c r="Z1555" s="86"/>
      <c r="AA1555" s="86"/>
      <c r="AB1555" s="86"/>
      <c r="AC1555" s="86"/>
      <c r="AD1555" s="86"/>
      <c r="AE1555" s="86"/>
    </row>
    <row r="1556" spans="1:31">
      <c r="A1556" s="86"/>
      <c r="B1556" s="86"/>
      <c r="C1556" s="86"/>
      <c r="D1556" s="86"/>
      <c r="E1556" s="86"/>
      <c r="F1556" s="86"/>
      <c r="G1556" s="86"/>
      <c r="H1556" s="86"/>
      <c r="I1556" s="86"/>
      <c r="J1556" s="86"/>
      <c r="K1556" s="86"/>
      <c r="L1556" s="86"/>
      <c r="M1556" s="86"/>
      <c r="N1556" s="86"/>
      <c r="O1556" s="86"/>
      <c r="P1556" s="86"/>
      <c r="Q1556" s="86"/>
      <c r="R1556" s="86"/>
      <c r="S1556" s="86"/>
      <c r="T1556" s="86"/>
      <c r="U1556" s="86"/>
      <c r="V1556" s="86"/>
      <c r="W1556" s="86"/>
      <c r="X1556" s="86"/>
      <c r="Y1556" s="86"/>
      <c r="Z1556" s="86"/>
      <c r="AA1556" s="86"/>
      <c r="AB1556" s="86"/>
      <c r="AC1556" s="86"/>
      <c r="AD1556" s="86"/>
      <c r="AE1556" s="86"/>
    </row>
    <row r="1557" spans="1:31">
      <c r="A1557" s="86"/>
      <c r="B1557" s="86"/>
      <c r="C1557" s="86"/>
      <c r="D1557" s="86"/>
      <c r="E1557" s="86"/>
      <c r="F1557" s="86"/>
      <c r="G1557" s="86"/>
      <c r="H1557" s="86"/>
      <c r="I1557" s="86"/>
      <c r="J1557" s="86"/>
      <c r="K1557" s="86"/>
      <c r="L1557" s="86"/>
      <c r="M1557" s="86"/>
      <c r="N1557" s="86"/>
      <c r="O1557" s="86"/>
      <c r="P1557" s="86"/>
      <c r="Q1557" s="86"/>
      <c r="R1557" s="86"/>
      <c r="S1557" s="86"/>
      <c r="T1557" s="86"/>
      <c r="U1557" s="86"/>
      <c r="V1557" s="86"/>
      <c r="W1557" s="86"/>
      <c r="X1557" s="86"/>
      <c r="Y1557" s="86"/>
      <c r="Z1557" s="86"/>
      <c r="AA1557" s="86"/>
      <c r="AB1557" s="86"/>
      <c r="AC1557" s="86"/>
      <c r="AD1557" s="86"/>
      <c r="AE1557" s="86"/>
    </row>
    <row r="1558" spans="1:31">
      <c r="A1558" s="86"/>
      <c r="B1558" s="86"/>
      <c r="C1558" s="86"/>
      <c r="D1558" s="86"/>
      <c r="E1558" s="86"/>
      <c r="F1558" s="86"/>
      <c r="G1558" s="86"/>
      <c r="H1558" s="86"/>
      <c r="I1558" s="86"/>
      <c r="J1558" s="86"/>
      <c r="K1558" s="86"/>
      <c r="L1558" s="86"/>
      <c r="M1558" s="86"/>
      <c r="N1558" s="86"/>
      <c r="O1558" s="86"/>
      <c r="P1558" s="86"/>
      <c r="Q1558" s="86"/>
      <c r="R1558" s="86"/>
      <c r="S1558" s="86"/>
      <c r="T1558" s="86"/>
      <c r="U1558" s="86"/>
      <c r="V1558" s="86"/>
      <c r="W1558" s="86"/>
      <c r="X1558" s="86"/>
      <c r="Y1558" s="86"/>
      <c r="Z1558" s="86"/>
      <c r="AA1558" s="86"/>
      <c r="AB1558" s="86"/>
      <c r="AC1558" s="86"/>
      <c r="AD1558" s="86"/>
      <c r="AE1558" s="86"/>
    </row>
    <row r="1559" spans="1:31">
      <c r="A1559" s="86"/>
      <c r="B1559" s="86"/>
      <c r="C1559" s="86"/>
      <c r="D1559" s="86"/>
      <c r="E1559" s="86"/>
      <c r="F1559" s="86"/>
      <c r="G1559" s="86"/>
      <c r="H1559" s="86"/>
      <c r="I1559" s="86"/>
      <c r="J1559" s="86"/>
      <c r="K1559" s="86"/>
      <c r="L1559" s="86"/>
      <c r="M1559" s="86"/>
      <c r="N1559" s="86"/>
      <c r="O1559" s="86"/>
      <c r="P1559" s="86"/>
      <c r="Q1559" s="86"/>
      <c r="R1559" s="86"/>
      <c r="S1559" s="86"/>
      <c r="T1559" s="86"/>
      <c r="U1559" s="86"/>
      <c r="V1559" s="86"/>
      <c r="W1559" s="86"/>
      <c r="X1559" s="86"/>
      <c r="Y1559" s="86"/>
      <c r="Z1559" s="86"/>
      <c r="AA1559" s="86"/>
      <c r="AB1559" s="86"/>
      <c r="AC1559" s="86"/>
      <c r="AD1559" s="86"/>
      <c r="AE1559" s="86"/>
    </row>
    <row r="1560" spans="1:31">
      <c r="A1560" s="86"/>
      <c r="B1560" s="86"/>
      <c r="C1560" s="86"/>
      <c r="D1560" s="86"/>
      <c r="E1560" s="86"/>
      <c r="F1560" s="86"/>
      <c r="G1560" s="86"/>
      <c r="H1560" s="86"/>
      <c r="I1560" s="86"/>
      <c r="J1560" s="86"/>
      <c r="K1560" s="86"/>
      <c r="L1560" s="86"/>
      <c r="M1560" s="86"/>
      <c r="N1560" s="86"/>
      <c r="O1560" s="86"/>
      <c r="P1560" s="86"/>
      <c r="Q1560" s="86"/>
      <c r="R1560" s="86"/>
      <c r="S1560" s="86"/>
      <c r="T1560" s="86"/>
      <c r="U1560" s="86"/>
      <c r="V1560" s="86"/>
      <c r="W1560" s="86"/>
      <c r="X1560" s="86"/>
      <c r="Y1560" s="86"/>
      <c r="Z1560" s="86"/>
      <c r="AA1560" s="86"/>
      <c r="AB1560" s="86"/>
      <c r="AC1560" s="86"/>
      <c r="AD1560" s="86"/>
      <c r="AE1560" s="86"/>
    </row>
    <row r="1561" spans="1:31">
      <c r="A1561" s="86"/>
      <c r="B1561" s="86"/>
      <c r="C1561" s="86"/>
      <c r="D1561" s="86"/>
      <c r="E1561" s="86"/>
      <c r="F1561" s="86"/>
      <c r="G1561" s="86"/>
      <c r="H1561" s="86"/>
      <c r="I1561" s="86"/>
      <c r="J1561" s="86"/>
      <c r="K1561" s="86"/>
      <c r="L1561" s="86"/>
      <c r="M1561" s="86"/>
      <c r="N1561" s="86"/>
      <c r="O1561" s="86"/>
      <c r="P1561" s="86"/>
      <c r="Q1561" s="86"/>
      <c r="R1561" s="86"/>
      <c r="S1561" s="86"/>
      <c r="T1561" s="86"/>
      <c r="U1561" s="86"/>
      <c r="V1561" s="86"/>
      <c r="W1561" s="86"/>
      <c r="X1561" s="86"/>
      <c r="Y1561" s="86"/>
      <c r="Z1561" s="86"/>
      <c r="AA1561" s="86"/>
      <c r="AB1561" s="86"/>
      <c r="AC1561" s="86"/>
      <c r="AD1561" s="86"/>
      <c r="AE1561" s="86"/>
    </row>
    <row r="1562" spans="1:31">
      <c r="A1562" s="86"/>
      <c r="B1562" s="86"/>
      <c r="C1562" s="86"/>
      <c r="D1562" s="86"/>
      <c r="E1562" s="86"/>
      <c r="F1562" s="86"/>
      <c r="G1562" s="86"/>
      <c r="H1562" s="86"/>
      <c r="I1562" s="86"/>
      <c r="J1562" s="86"/>
      <c r="K1562" s="86"/>
      <c r="L1562" s="86"/>
      <c r="M1562" s="86"/>
      <c r="N1562" s="86"/>
      <c r="O1562" s="86"/>
      <c r="P1562" s="86"/>
      <c r="Q1562" s="86"/>
      <c r="R1562" s="86"/>
      <c r="S1562" s="86"/>
      <c r="T1562" s="86"/>
      <c r="U1562" s="86"/>
      <c r="V1562" s="86"/>
      <c r="W1562" s="86"/>
      <c r="X1562" s="86"/>
      <c r="Y1562" s="86"/>
      <c r="Z1562" s="86"/>
      <c r="AA1562" s="86"/>
      <c r="AB1562" s="86"/>
      <c r="AC1562" s="86"/>
      <c r="AD1562" s="86"/>
      <c r="AE1562" s="86"/>
    </row>
    <row r="1563" spans="1:31">
      <c r="A1563" s="86"/>
      <c r="B1563" s="86"/>
      <c r="C1563" s="86"/>
      <c r="D1563" s="86"/>
      <c r="E1563" s="86"/>
      <c r="F1563" s="86"/>
      <c r="G1563" s="86"/>
      <c r="H1563" s="86"/>
      <c r="I1563" s="86"/>
      <c r="J1563" s="86"/>
      <c r="K1563" s="86"/>
      <c r="L1563" s="86"/>
      <c r="M1563" s="86"/>
      <c r="N1563" s="86"/>
      <c r="O1563" s="86"/>
      <c r="P1563" s="86"/>
      <c r="Q1563" s="86"/>
      <c r="R1563" s="86"/>
      <c r="S1563" s="86"/>
      <c r="T1563" s="86"/>
      <c r="U1563" s="86"/>
      <c r="V1563" s="86"/>
      <c r="W1563" s="86"/>
      <c r="X1563" s="86"/>
      <c r="Y1563" s="86"/>
      <c r="Z1563" s="86"/>
      <c r="AA1563" s="86"/>
      <c r="AB1563" s="86"/>
      <c r="AC1563" s="86"/>
      <c r="AD1563" s="86"/>
      <c r="AE1563" s="86"/>
    </row>
    <row r="1564" spans="1:31">
      <c r="A1564" s="86"/>
      <c r="B1564" s="86"/>
      <c r="C1564" s="86"/>
      <c r="D1564" s="86"/>
      <c r="E1564" s="86"/>
      <c r="F1564" s="86"/>
      <c r="G1564" s="86"/>
      <c r="H1564" s="86"/>
      <c r="I1564" s="86"/>
      <c r="J1564" s="86"/>
      <c r="K1564" s="86"/>
      <c r="L1564" s="86"/>
      <c r="M1564" s="86"/>
      <c r="N1564" s="86"/>
      <c r="O1564" s="86"/>
      <c r="P1564" s="86"/>
      <c r="Q1564" s="86"/>
      <c r="R1564" s="86"/>
      <c r="S1564" s="86"/>
      <c r="T1564" s="86"/>
      <c r="U1564" s="86"/>
      <c r="V1564" s="86"/>
      <c r="W1564" s="86"/>
      <c r="X1564" s="86"/>
      <c r="Y1564" s="86"/>
      <c r="Z1564" s="86"/>
      <c r="AA1564" s="86"/>
      <c r="AB1564" s="86"/>
      <c r="AC1564" s="86"/>
      <c r="AD1564" s="86"/>
      <c r="AE1564" s="86"/>
    </row>
    <row r="1565" spans="1:31">
      <c r="A1565" s="86"/>
      <c r="B1565" s="86"/>
      <c r="C1565" s="86"/>
      <c r="D1565" s="86"/>
      <c r="E1565" s="86"/>
      <c r="F1565" s="86"/>
      <c r="G1565" s="86"/>
      <c r="H1565" s="86"/>
      <c r="I1565" s="86"/>
      <c r="J1565" s="86"/>
      <c r="K1565" s="86"/>
      <c r="L1565" s="86"/>
      <c r="M1565" s="86"/>
      <c r="N1565" s="86"/>
      <c r="O1565" s="86"/>
      <c r="P1565" s="86"/>
      <c r="Q1565" s="86"/>
      <c r="R1565" s="86"/>
      <c r="S1565" s="86"/>
      <c r="T1565" s="86"/>
      <c r="U1565" s="86"/>
      <c r="V1565" s="86"/>
      <c r="W1565" s="86"/>
      <c r="X1565" s="86"/>
      <c r="Y1565" s="86"/>
      <c r="Z1565" s="86"/>
      <c r="AA1565" s="86"/>
      <c r="AB1565" s="86"/>
      <c r="AC1565" s="86"/>
      <c r="AD1565" s="86"/>
      <c r="AE1565" s="86"/>
    </row>
    <row r="1566" spans="1:31">
      <c r="A1566" s="86"/>
      <c r="B1566" s="86"/>
      <c r="C1566" s="86"/>
      <c r="D1566" s="86"/>
      <c r="E1566" s="86"/>
      <c r="F1566" s="86"/>
      <c r="G1566" s="86"/>
      <c r="H1566" s="86"/>
      <c r="I1566" s="86"/>
      <c r="J1566" s="86"/>
      <c r="K1566" s="86"/>
      <c r="L1566" s="86"/>
      <c r="M1566" s="86"/>
      <c r="N1566" s="86"/>
      <c r="O1566" s="86"/>
      <c r="P1566" s="86"/>
      <c r="Q1566" s="86"/>
      <c r="R1566" s="86"/>
      <c r="S1566" s="86"/>
      <c r="T1566" s="86"/>
      <c r="U1566" s="86"/>
      <c r="V1566" s="86"/>
      <c r="W1566" s="86"/>
      <c r="X1566" s="86"/>
      <c r="Y1566" s="86"/>
      <c r="Z1566" s="86"/>
      <c r="AA1566" s="86"/>
      <c r="AB1566" s="86"/>
      <c r="AC1566" s="86"/>
      <c r="AD1566" s="86"/>
      <c r="AE1566" s="86"/>
    </row>
    <row r="1567" spans="1:31">
      <c r="A1567" s="86"/>
      <c r="B1567" s="86"/>
      <c r="C1567" s="86"/>
      <c r="D1567" s="86"/>
      <c r="E1567" s="86"/>
      <c r="F1567" s="86"/>
      <c r="G1567" s="86"/>
      <c r="H1567" s="86"/>
      <c r="I1567" s="86"/>
      <c r="J1567" s="86"/>
      <c r="K1567" s="86"/>
      <c r="L1567" s="86"/>
      <c r="M1567" s="86"/>
      <c r="N1567" s="86"/>
      <c r="O1567" s="86"/>
      <c r="P1567" s="86"/>
      <c r="Q1567" s="86"/>
      <c r="R1567" s="86"/>
      <c r="S1567" s="86"/>
      <c r="T1567" s="86"/>
      <c r="U1567" s="86"/>
      <c r="V1567" s="86"/>
      <c r="W1567" s="86"/>
      <c r="X1567" s="86"/>
      <c r="Y1567" s="86"/>
      <c r="Z1567" s="86"/>
      <c r="AA1567" s="86"/>
      <c r="AB1567" s="86"/>
      <c r="AC1567" s="86"/>
      <c r="AD1567" s="86"/>
      <c r="AE1567" s="86"/>
    </row>
    <row r="1568" spans="1:31">
      <c r="A1568" s="86"/>
      <c r="B1568" s="86"/>
      <c r="C1568" s="86"/>
      <c r="D1568" s="86"/>
      <c r="E1568" s="86"/>
      <c r="F1568" s="86"/>
      <c r="G1568" s="86"/>
      <c r="H1568" s="86"/>
      <c r="I1568" s="86"/>
      <c r="J1568" s="86"/>
      <c r="K1568" s="86"/>
      <c r="L1568" s="86"/>
      <c r="M1568" s="86"/>
      <c r="N1568" s="86"/>
      <c r="O1568" s="86"/>
      <c r="P1568" s="86"/>
      <c r="Q1568" s="86"/>
      <c r="R1568" s="86"/>
      <c r="S1568" s="86"/>
      <c r="T1568" s="86"/>
      <c r="U1568" s="86"/>
      <c r="V1568" s="86"/>
      <c r="W1568" s="86"/>
      <c r="X1568" s="86"/>
      <c r="Y1568" s="86"/>
      <c r="Z1568" s="86"/>
      <c r="AA1568" s="86"/>
      <c r="AB1568" s="86"/>
      <c r="AC1568" s="86"/>
      <c r="AD1568" s="86"/>
      <c r="AE1568" s="86"/>
    </row>
    <row r="1569" spans="1:31">
      <c r="A1569" s="86"/>
      <c r="B1569" s="86"/>
      <c r="C1569" s="86"/>
      <c r="D1569" s="86"/>
      <c r="E1569" s="86"/>
      <c r="F1569" s="86"/>
      <c r="G1569" s="86"/>
      <c r="H1569" s="86"/>
      <c r="I1569" s="86"/>
      <c r="J1569" s="86"/>
      <c r="K1569" s="86"/>
      <c r="L1569" s="86"/>
      <c r="M1569" s="86"/>
      <c r="N1569" s="86"/>
      <c r="O1569" s="86"/>
      <c r="P1569" s="86"/>
      <c r="Q1569" s="86"/>
      <c r="R1569" s="86"/>
      <c r="S1569" s="86"/>
      <c r="T1569" s="86"/>
      <c r="U1569" s="86"/>
      <c r="V1569" s="86"/>
      <c r="W1569" s="86"/>
      <c r="X1569" s="86"/>
      <c r="Y1569" s="86"/>
      <c r="Z1569" s="86"/>
      <c r="AA1569" s="86"/>
      <c r="AB1569" s="86"/>
      <c r="AC1569" s="86"/>
      <c r="AD1569" s="86"/>
      <c r="AE1569" s="86"/>
    </row>
    <row r="1570" spans="1:31">
      <c r="A1570" s="86"/>
      <c r="B1570" s="86"/>
      <c r="C1570" s="86"/>
      <c r="D1570" s="86"/>
      <c r="E1570" s="86"/>
      <c r="F1570" s="86"/>
      <c r="G1570" s="86"/>
      <c r="H1570" s="86"/>
      <c r="I1570" s="86"/>
      <c r="J1570" s="86"/>
      <c r="K1570" s="86"/>
      <c r="L1570" s="86"/>
      <c r="M1570" s="86"/>
      <c r="N1570" s="86"/>
      <c r="O1570" s="86"/>
      <c r="P1570" s="86"/>
      <c r="Q1570" s="86"/>
      <c r="R1570" s="86"/>
      <c r="S1570" s="86"/>
      <c r="T1570" s="86"/>
      <c r="U1570" s="86"/>
      <c r="V1570" s="86"/>
      <c r="W1570" s="86"/>
      <c r="X1570" s="86"/>
      <c r="Y1570" s="86"/>
      <c r="Z1570" s="86"/>
      <c r="AA1570" s="86"/>
      <c r="AB1570" s="86"/>
      <c r="AC1570" s="86"/>
      <c r="AD1570" s="86"/>
      <c r="AE1570" s="86"/>
    </row>
    <row r="1571" spans="1:31">
      <c r="A1571" s="86"/>
      <c r="B1571" s="86"/>
      <c r="C1571" s="86"/>
      <c r="D1571" s="86"/>
      <c r="E1571" s="86"/>
      <c r="F1571" s="86"/>
      <c r="G1571" s="86"/>
      <c r="H1571" s="86"/>
      <c r="I1571" s="86"/>
      <c r="J1571" s="86"/>
      <c r="K1571" s="86"/>
      <c r="L1571" s="86"/>
      <c r="M1571" s="86"/>
      <c r="N1571" s="86"/>
      <c r="O1571" s="86"/>
      <c r="P1571" s="86"/>
      <c r="Q1571" s="86"/>
      <c r="R1571" s="86"/>
      <c r="S1571" s="86"/>
      <c r="T1571" s="86"/>
      <c r="U1571" s="86"/>
      <c r="V1571" s="86"/>
      <c r="W1571" s="86"/>
      <c r="X1571" s="86"/>
      <c r="Y1571" s="86"/>
      <c r="Z1571" s="86"/>
      <c r="AA1571" s="86"/>
      <c r="AB1571" s="86"/>
      <c r="AC1571" s="86"/>
      <c r="AD1571" s="86"/>
      <c r="AE1571" s="86"/>
    </row>
    <row r="1572" spans="1:31">
      <c r="A1572" s="86"/>
      <c r="B1572" s="86"/>
      <c r="C1572" s="86"/>
      <c r="D1572" s="86"/>
      <c r="E1572" s="86"/>
      <c r="F1572" s="86"/>
      <c r="G1572" s="86"/>
      <c r="H1572" s="86"/>
      <c r="I1572" s="86"/>
      <c r="J1572" s="86"/>
      <c r="K1572" s="86"/>
      <c r="L1572" s="86"/>
      <c r="M1572" s="86"/>
      <c r="N1572" s="86"/>
      <c r="O1572" s="86"/>
      <c r="P1572" s="86"/>
      <c r="Q1572" s="86"/>
      <c r="R1572" s="86"/>
      <c r="S1572" s="86"/>
      <c r="T1572" s="86"/>
      <c r="U1572" s="86"/>
      <c r="V1572" s="86"/>
      <c r="W1572" s="86"/>
      <c r="X1572" s="86"/>
      <c r="Y1572" s="86"/>
      <c r="Z1572" s="86"/>
      <c r="AA1572" s="86"/>
      <c r="AB1572" s="86"/>
      <c r="AC1572" s="86"/>
      <c r="AD1572" s="86"/>
      <c r="AE1572" s="86"/>
    </row>
  </sheetData>
  <mergeCells count="1">
    <mergeCell ref="B62:F62"/>
  </mergeCells>
  <phoneticPr fontId="0" type="noConversion"/>
  <printOptions horizontalCentered="1" verticalCentered="1"/>
  <pageMargins left="0.4" right="0.4" top="0.3" bottom="0.3" header="0" footer="0"/>
  <pageSetup scale="72" orientation="portrait" r:id="rId1"/>
  <headerFooter alignWithMargins="0"/>
  <colBreaks count="2" manualBreakCount="2">
    <brk id="8"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94"/>
  <dimension ref="A1:AE36"/>
  <sheetViews>
    <sheetView zoomScaleNormal="100" workbookViewId="0">
      <selection activeCell="C26" sqref="C26"/>
    </sheetView>
  </sheetViews>
  <sheetFormatPr defaultRowHeight="15"/>
  <cols>
    <col min="2" max="2" width="39.109375" bestFit="1" customWidth="1"/>
    <col min="3" max="3" width="11.21875" customWidth="1"/>
    <col min="4" max="4" width="11.77734375" bestFit="1" customWidth="1"/>
    <col min="5" max="5" width="8.6640625" customWidth="1"/>
    <col min="6" max="7" width="8.33203125" bestFit="1" customWidth="1"/>
    <col min="8" max="9" width="9.5546875" customWidth="1"/>
  </cols>
  <sheetData>
    <row r="1" spans="1:31" ht="15.75" thickBot="1">
      <c r="A1" s="359" t="str">
        <f>'Data sheet'!A65</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c r="A2" s="1399"/>
      <c r="B2" s="2737"/>
      <c r="C2" s="1401" t="s">
        <v>1349</v>
      </c>
      <c r="D2" s="1401" t="s">
        <v>1349</v>
      </c>
      <c r="E2" s="1401"/>
      <c r="F2" s="1401" t="s">
        <v>653</v>
      </c>
      <c r="G2" s="1401"/>
      <c r="H2" s="1401"/>
      <c r="I2" s="1402"/>
    </row>
    <row r="3" spans="1:31">
      <c r="A3" s="939"/>
      <c r="B3" s="2739"/>
      <c r="C3" s="1403" t="s">
        <v>4271</v>
      </c>
      <c r="D3" s="1403" t="s">
        <v>4271</v>
      </c>
      <c r="E3" s="1403" t="s">
        <v>2858</v>
      </c>
      <c r="F3" s="1403" t="s">
        <v>4272</v>
      </c>
      <c r="G3" s="1403" t="s">
        <v>2868</v>
      </c>
      <c r="H3" s="1403" t="s">
        <v>1332</v>
      </c>
      <c r="I3" s="1404" t="s">
        <v>2870</v>
      </c>
    </row>
    <row r="4" spans="1:31">
      <c r="A4" s="939"/>
      <c r="B4" s="1305" t="s">
        <v>4273</v>
      </c>
      <c r="C4" s="1405" t="s">
        <v>4274</v>
      </c>
      <c r="D4" s="1405">
        <v>6</v>
      </c>
      <c r="E4" s="1406" t="s">
        <v>4275</v>
      </c>
      <c r="F4" s="1407">
        <v>8</v>
      </c>
      <c r="G4" s="1406">
        <v>64</v>
      </c>
      <c r="H4" s="1406">
        <v>69</v>
      </c>
      <c r="I4" s="1408">
        <v>66</v>
      </c>
    </row>
    <row r="5" spans="1:31">
      <c r="A5" s="936" t="s">
        <v>2048</v>
      </c>
      <c r="B5" s="937" t="s">
        <v>1017</v>
      </c>
      <c r="C5" s="1409"/>
      <c r="D5" s="1409"/>
      <c r="E5" s="937"/>
      <c r="F5" s="726"/>
      <c r="G5" s="937"/>
      <c r="H5" s="937"/>
      <c r="I5" s="946"/>
    </row>
    <row r="6" spans="1:31">
      <c r="A6" s="936" t="s">
        <v>2051</v>
      </c>
      <c r="B6" s="937" t="s">
        <v>2209</v>
      </c>
      <c r="C6" s="937" t="s">
        <v>1611</v>
      </c>
      <c r="D6" s="937" t="s">
        <v>3281</v>
      </c>
      <c r="E6" s="937" t="s">
        <v>1613</v>
      </c>
      <c r="F6" s="937" t="s">
        <v>4276</v>
      </c>
      <c r="G6" s="937" t="s">
        <v>4277</v>
      </c>
      <c r="H6" s="937" t="s">
        <v>4277</v>
      </c>
      <c r="I6" s="946" t="s">
        <v>4278</v>
      </c>
    </row>
    <row r="7" spans="1:31">
      <c r="A7" s="1410"/>
      <c r="B7" s="1308"/>
      <c r="C7" s="1308"/>
      <c r="D7" s="1308"/>
      <c r="E7" s="1308"/>
      <c r="F7" s="1308"/>
      <c r="G7" s="1308"/>
      <c r="H7" s="1308"/>
      <c r="I7" s="1411"/>
    </row>
    <row r="8" spans="1:31">
      <c r="A8" s="936">
        <v>1</v>
      </c>
      <c r="B8" s="941" t="s">
        <v>1020</v>
      </c>
      <c r="C8" s="937" t="s">
        <v>2945</v>
      </c>
      <c r="D8" s="937" t="s">
        <v>2945</v>
      </c>
      <c r="E8" s="937" t="s">
        <v>2858</v>
      </c>
      <c r="F8" s="937" t="s">
        <v>1650</v>
      </c>
      <c r="G8" s="937" t="s">
        <v>2867</v>
      </c>
      <c r="H8" s="937" t="s">
        <v>2867</v>
      </c>
      <c r="I8" s="1818" t="s">
        <v>1748</v>
      </c>
    </row>
    <row r="9" spans="1:31">
      <c r="A9" s="936">
        <v>2</v>
      </c>
      <c r="B9" s="941" t="s">
        <v>4279</v>
      </c>
      <c r="C9" s="1795" t="s">
        <v>4280</v>
      </c>
      <c r="D9" s="1795" t="s">
        <v>4280</v>
      </c>
      <c r="E9" s="1795" t="s">
        <v>4280</v>
      </c>
      <c r="F9" s="1795" t="s">
        <v>4280</v>
      </c>
      <c r="G9" s="1795" t="s">
        <v>4280</v>
      </c>
      <c r="H9" s="1795" t="s">
        <v>4280</v>
      </c>
      <c r="I9" s="1819" t="s">
        <v>4281</v>
      </c>
    </row>
    <row r="10" spans="1:31">
      <c r="A10" s="936">
        <v>3</v>
      </c>
      <c r="B10" s="941" t="s">
        <v>479</v>
      </c>
      <c r="C10" s="1795">
        <v>4</v>
      </c>
      <c r="D10" s="1820">
        <v>1</v>
      </c>
      <c r="E10" s="1795">
        <v>1</v>
      </c>
      <c r="F10" s="1795">
        <v>1</v>
      </c>
      <c r="G10" s="1795">
        <v>1</v>
      </c>
      <c r="H10" s="1795">
        <v>1</v>
      </c>
      <c r="I10" s="1819">
        <v>1</v>
      </c>
    </row>
    <row r="11" spans="1:31">
      <c r="A11" s="936">
        <v>4</v>
      </c>
      <c r="B11" s="941" t="s">
        <v>3820</v>
      </c>
      <c r="C11" s="726" t="s">
        <v>2289</v>
      </c>
      <c r="D11" s="714" t="s">
        <v>2289</v>
      </c>
      <c r="E11" s="726" t="s">
        <v>2289</v>
      </c>
      <c r="F11" s="726" t="s">
        <v>2289</v>
      </c>
      <c r="G11" s="726" t="s">
        <v>2289</v>
      </c>
      <c r="H11" s="714" t="s">
        <v>2289</v>
      </c>
      <c r="I11" s="796" t="s">
        <v>2289</v>
      </c>
    </row>
    <row r="12" spans="1:31">
      <c r="A12" s="936">
        <v>5</v>
      </c>
      <c r="B12" s="941" t="s">
        <v>3821</v>
      </c>
      <c r="C12" s="1794"/>
      <c r="D12" s="714"/>
      <c r="E12" s="1794"/>
      <c r="F12" s="1794"/>
      <c r="G12" s="1794"/>
      <c r="H12" s="1808"/>
      <c r="I12" s="1821"/>
    </row>
    <row r="13" spans="1:31">
      <c r="A13" s="936">
        <v>6</v>
      </c>
      <c r="B13" s="941" t="s">
        <v>4282</v>
      </c>
      <c r="C13" s="1822">
        <v>471987</v>
      </c>
      <c r="D13" s="1822">
        <v>143612</v>
      </c>
      <c r="E13" s="1822">
        <v>78562</v>
      </c>
      <c r="F13" s="1823">
        <v>0</v>
      </c>
      <c r="G13" s="1822">
        <v>116840</v>
      </c>
      <c r="H13" s="1822">
        <v>166856</v>
      </c>
      <c r="I13" s="1824">
        <v>50622</v>
      </c>
    </row>
    <row r="14" spans="1:31">
      <c r="A14" s="936">
        <v>7</v>
      </c>
      <c r="B14" s="941" t="s">
        <v>3823</v>
      </c>
      <c r="C14" s="1794" t="s">
        <v>1604</v>
      </c>
      <c r="D14" s="1808" t="s">
        <v>1604</v>
      </c>
      <c r="E14" s="1794" t="s">
        <v>1604</v>
      </c>
      <c r="F14" s="1794" t="s">
        <v>1604</v>
      </c>
      <c r="G14" s="1794" t="s">
        <v>1604</v>
      </c>
      <c r="H14" s="1808" t="s">
        <v>1604</v>
      </c>
      <c r="I14" s="1821" t="s">
        <v>1604</v>
      </c>
    </row>
    <row r="15" spans="1:31">
      <c r="A15" s="936">
        <v>8</v>
      </c>
      <c r="B15" s="941" t="s">
        <v>4284</v>
      </c>
      <c r="C15" s="2376">
        <v>1293.1150684931506</v>
      </c>
      <c r="D15" s="2171">
        <v>393.45753424657534</v>
      </c>
      <c r="E15" s="2171">
        <v>288</v>
      </c>
      <c r="F15" s="2171">
        <v>0</v>
      </c>
      <c r="G15" s="2171">
        <v>320.10958904109589</v>
      </c>
      <c r="H15" s="2171">
        <v>457.13972602739727</v>
      </c>
      <c r="I15" s="1824">
        <v>138.6904109589041</v>
      </c>
    </row>
    <row r="16" spans="1:31">
      <c r="A16" s="936">
        <v>9</v>
      </c>
      <c r="B16" s="941" t="s">
        <v>3014</v>
      </c>
      <c r="C16" s="2376">
        <v>403</v>
      </c>
      <c r="D16" s="1822">
        <v>416</v>
      </c>
      <c r="E16" s="1822">
        <v>179</v>
      </c>
      <c r="F16" s="1823">
        <v>0</v>
      </c>
      <c r="G16" s="1822">
        <v>400</v>
      </c>
      <c r="H16" s="1822">
        <v>352</v>
      </c>
      <c r="I16" s="1824">
        <v>230</v>
      </c>
    </row>
    <row r="17" spans="1:9">
      <c r="A17" s="936">
        <v>10</v>
      </c>
      <c r="B17" s="941" t="s">
        <v>1410</v>
      </c>
      <c r="C17" s="2377">
        <v>4</v>
      </c>
      <c r="D17" s="1794">
        <v>1</v>
      </c>
      <c r="E17" s="1794">
        <v>2</v>
      </c>
      <c r="F17" s="1794">
        <v>1</v>
      </c>
      <c r="G17" s="1794">
        <v>1</v>
      </c>
      <c r="H17" s="1808">
        <v>1</v>
      </c>
      <c r="I17" s="1821">
        <v>1</v>
      </c>
    </row>
    <row r="18" spans="1:9">
      <c r="A18" s="936">
        <v>11</v>
      </c>
      <c r="B18" s="941" t="s">
        <v>1411</v>
      </c>
      <c r="C18" s="2378">
        <v>45214</v>
      </c>
      <c r="D18" s="1798">
        <v>45091</v>
      </c>
      <c r="E18" s="1798">
        <v>44938</v>
      </c>
      <c r="F18" s="1798">
        <v>43831</v>
      </c>
      <c r="G18" s="1798">
        <v>44985</v>
      </c>
      <c r="H18" s="1825">
        <v>45212</v>
      </c>
      <c r="I18" s="1826">
        <v>45128</v>
      </c>
    </row>
    <row r="19" spans="1:9">
      <c r="A19" s="936">
        <v>12</v>
      </c>
      <c r="B19" s="941" t="s">
        <v>1412</v>
      </c>
      <c r="C19" s="2376">
        <v>403</v>
      </c>
      <c r="D19" s="2171">
        <v>416</v>
      </c>
      <c r="E19" s="2171">
        <v>179</v>
      </c>
      <c r="F19" s="2171">
        <v>0</v>
      </c>
      <c r="G19" s="2171">
        <v>400</v>
      </c>
      <c r="H19" s="2173">
        <v>352</v>
      </c>
      <c r="I19" s="1824">
        <v>230</v>
      </c>
    </row>
    <row r="20" spans="1:9">
      <c r="A20" s="936">
        <v>13</v>
      </c>
      <c r="B20" s="941" t="s">
        <v>1411</v>
      </c>
      <c r="C20" s="2378">
        <v>45214</v>
      </c>
      <c r="D20" s="1798">
        <v>45091</v>
      </c>
      <c r="E20" s="1798">
        <v>44938</v>
      </c>
      <c r="F20" s="1798">
        <v>42370</v>
      </c>
      <c r="G20" s="1798">
        <v>44985</v>
      </c>
      <c r="H20" s="1798">
        <v>45212</v>
      </c>
      <c r="I20" s="1826">
        <v>45128</v>
      </c>
    </row>
    <row r="21" spans="1:9">
      <c r="A21" s="936">
        <v>14</v>
      </c>
      <c r="B21" s="941" t="s">
        <v>1413</v>
      </c>
      <c r="C21" s="2377" t="s">
        <v>4281</v>
      </c>
      <c r="D21" s="1794" t="s">
        <v>4281</v>
      </c>
      <c r="E21" s="1794" t="s">
        <v>4281</v>
      </c>
      <c r="F21" s="1794" t="s">
        <v>4281</v>
      </c>
      <c r="G21" s="1794" t="s">
        <v>4281</v>
      </c>
      <c r="H21" s="1808" t="s">
        <v>4281</v>
      </c>
      <c r="I21" s="1821" t="s">
        <v>4281</v>
      </c>
    </row>
    <row r="22" spans="1:9">
      <c r="A22" s="936">
        <v>15</v>
      </c>
      <c r="B22" s="941" t="s">
        <v>1500</v>
      </c>
      <c r="C22" s="1622" t="s">
        <v>2169</v>
      </c>
      <c r="D22" s="1622" t="s">
        <v>2169</v>
      </c>
      <c r="E22" s="1622" t="s">
        <v>2169</v>
      </c>
      <c r="F22" s="1622" t="s">
        <v>2169</v>
      </c>
      <c r="G22" s="1622" t="s">
        <v>2169</v>
      </c>
      <c r="H22" s="1827" t="s">
        <v>2169</v>
      </c>
      <c r="I22" s="1828" t="s">
        <v>2169</v>
      </c>
    </row>
    <row r="23" spans="1:9">
      <c r="A23" s="936">
        <v>16</v>
      </c>
      <c r="B23" s="941" t="s">
        <v>1501</v>
      </c>
      <c r="C23" s="600"/>
      <c r="D23" s="1827"/>
      <c r="E23" s="1622"/>
      <c r="F23" s="1622"/>
      <c r="G23" s="1622"/>
      <c r="H23" s="1827"/>
      <c r="I23" s="1828"/>
    </row>
    <row r="24" spans="1:9">
      <c r="A24" s="936">
        <v>17</v>
      </c>
      <c r="B24" s="941" t="s">
        <v>1502</v>
      </c>
      <c r="C24" s="1794" t="s">
        <v>2289</v>
      </c>
      <c r="D24" s="1794" t="s">
        <v>2289</v>
      </c>
      <c r="E24" s="1794" t="s">
        <v>2289</v>
      </c>
      <c r="F24" s="1794" t="s">
        <v>2289</v>
      </c>
      <c r="G24" s="1794" t="s">
        <v>2289</v>
      </c>
      <c r="H24" s="1808" t="s">
        <v>2289</v>
      </c>
      <c r="I24" s="1821" t="s">
        <v>2289</v>
      </c>
    </row>
    <row r="25" spans="1:9">
      <c r="A25" s="936">
        <v>18</v>
      </c>
      <c r="B25" s="941" t="s">
        <v>522</v>
      </c>
      <c r="C25" s="1794" t="s">
        <v>2289</v>
      </c>
      <c r="D25" s="1794" t="s">
        <v>2289</v>
      </c>
      <c r="E25" s="1794" t="s">
        <v>2289</v>
      </c>
      <c r="F25" s="1794" t="s">
        <v>2289</v>
      </c>
      <c r="G25" s="1794" t="s">
        <v>2289</v>
      </c>
      <c r="H25" s="1808" t="s">
        <v>2289</v>
      </c>
      <c r="I25" s="1821" t="s">
        <v>2289</v>
      </c>
    </row>
    <row r="26" spans="1:9">
      <c r="A26" s="936">
        <v>19</v>
      </c>
      <c r="B26" s="941" t="s">
        <v>523</v>
      </c>
      <c r="C26" s="1794" t="s">
        <v>2289</v>
      </c>
      <c r="D26" s="1794" t="s">
        <v>2289</v>
      </c>
      <c r="E26" s="1794" t="s">
        <v>2289</v>
      </c>
      <c r="F26" s="1794" t="s">
        <v>2289</v>
      </c>
      <c r="G26" s="1794" t="s">
        <v>2289</v>
      </c>
      <c r="H26" s="1808" t="s">
        <v>2289</v>
      </c>
      <c r="I26" s="1821" t="s">
        <v>2289</v>
      </c>
    </row>
    <row r="27" spans="1:9">
      <c r="A27" s="936">
        <v>20</v>
      </c>
      <c r="B27" s="941" t="s">
        <v>2170</v>
      </c>
      <c r="C27" s="1822">
        <v>777319</v>
      </c>
      <c r="D27" s="1822">
        <v>160173</v>
      </c>
      <c r="E27" s="1822">
        <v>216168</v>
      </c>
      <c r="F27" s="1794">
        <v>110870</v>
      </c>
      <c r="G27" s="1822">
        <v>205778</v>
      </c>
      <c r="H27" s="1822">
        <v>348040</v>
      </c>
      <c r="I27" s="1824">
        <v>220409</v>
      </c>
    </row>
    <row r="28" spans="1:9">
      <c r="A28" s="1412" t="s">
        <v>360</v>
      </c>
      <c r="B28" s="1413" t="s">
        <v>525</v>
      </c>
      <c r="C28" s="1802">
        <v>0</v>
      </c>
      <c r="D28" s="1802">
        <v>0</v>
      </c>
      <c r="E28" s="1802">
        <v>0</v>
      </c>
      <c r="F28" s="1823">
        <v>0</v>
      </c>
      <c r="G28" s="1802">
        <v>0</v>
      </c>
      <c r="H28" s="1829">
        <v>0</v>
      </c>
      <c r="I28" s="1810">
        <v>0</v>
      </c>
    </row>
    <row r="29" spans="1:9">
      <c r="A29" s="936">
        <v>22</v>
      </c>
      <c r="B29" s="941" t="s">
        <v>2587</v>
      </c>
      <c r="C29" s="1794">
        <v>777319</v>
      </c>
      <c r="D29" s="1794">
        <v>160173</v>
      </c>
      <c r="E29" s="1794">
        <v>216168</v>
      </c>
      <c r="F29" s="1794">
        <v>110870</v>
      </c>
      <c r="G29" s="1794">
        <v>205778</v>
      </c>
      <c r="H29" s="1808">
        <v>348040</v>
      </c>
      <c r="I29" s="1797">
        <v>220409</v>
      </c>
    </row>
    <row r="30" spans="1:9">
      <c r="A30" s="936">
        <v>23</v>
      </c>
      <c r="B30" s="941" t="s">
        <v>2995</v>
      </c>
      <c r="C30" s="1794" t="s">
        <v>2289</v>
      </c>
      <c r="D30" s="1794" t="s">
        <v>2289</v>
      </c>
      <c r="E30" s="1794" t="s">
        <v>2289</v>
      </c>
      <c r="F30" s="1794" t="s">
        <v>3379</v>
      </c>
      <c r="G30" s="1794" t="s">
        <v>2289</v>
      </c>
      <c r="H30" s="1808" t="s">
        <v>2289</v>
      </c>
      <c r="I30" s="1821" t="s">
        <v>2289</v>
      </c>
    </row>
    <row r="31" spans="1:9">
      <c r="A31" s="936">
        <v>24</v>
      </c>
      <c r="B31" s="941" t="s">
        <v>2996</v>
      </c>
      <c r="C31" s="1794" t="s">
        <v>2289</v>
      </c>
      <c r="D31" s="1794" t="s">
        <v>2289</v>
      </c>
      <c r="E31" s="1794" t="s">
        <v>2289</v>
      </c>
      <c r="F31" s="1794" t="s">
        <v>2289</v>
      </c>
      <c r="G31" s="1794" t="s">
        <v>2289</v>
      </c>
      <c r="H31" s="1808" t="s">
        <v>2289</v>
      </c>
      <c r="I31" s="1821" t="s">
        <v>2289</v>
      </c>
    </row>
    <row r="32" spans="1:9" ht="15.75" thickBot="1">
      <c r="A32" s="944" t="s">
        <v>364</v>
      </c>
      <c r="B32" s="945" t="s">
        <v>3466</v>
      </c>
      <c r="C32" s="1830">
        <v>4.1088843615156776</v>
      </c>
      <c r="D32" s="1831">
        <v>6.3304381147017503</v>
      </c>
      <c r="E32" s="1804">
        <v>4.298113131186776</v>
      </c>
      <c r="F32" s="1804">
        <v>0</v>
      </c>
      <c r="G32" s="1804">
        <v>4.7929852029715594</v>
      </c>
      <c r="H32" s="1804">
        <v>4.5633676755168811</v>
      </c>
      <c r="I32" s="1832">
        <v>2.0577559813055717</v>
      </c>
    </row>
    <row r="33" spans="1:9" ht="15.75" thickBot="1">
      <c r="A33" s="1414" t="s">
        <v>2024</v>
      </c>
      <c r="B33" s="938"/>
      <c r="C33" s="2796" t="s">
        <v>5424</v>
      </c>
      <c r="D33" s="2781"/>
      <c r="E33" s="2797"/>
      <c r="F33" s="2798"/>
      <c r="G33" s="2799"/>
      <c r="H33" s="2781"/>
      <c r="I33" s="2800"/>
    </row>
    <row r="34" spans="1:9">
      <c r="A34" s="954" t="s">
        <v>3467</v>
      </c>
      <c r="B34" s="955"/>
      <c r="C34" s="1651"/>
      <c r="D34" s="1651"/>
      <c r="E34" s="1651"/>
      <c r="F34" s="1651"/>
      <c r="G34" s="1651"/>
      <c r="H34" s="1651"/>
      <c r="I34" s="1651"/>
    </row>
    <row r="35" spans="1:9">
      <c r="A35" s="938"/>
      <c r="B35" s="931"/>
      <c r="C35" s="931"/>
      <c r="D35" s="931"/>
      <c r="E35" s="931"/>
      <c r="F35" s="931"/>
      <c r="G35" s="931"/>
      <c r="H35" s="931"/>
      <c r="I35" s="931"/>
    </row>
    <row r="36" spans="1:9">
      <c r="A36" s="938"/>
      <c r="B36" s="931"/>
      <c r="C36" s="931"/>
      <c r="D36" s="931"/>
      <c r="E36" s="931"/>
      <c r="F36" s="931"/>
      <c r="G36" s="931"/>
      <c r="H36" s="931"/>
    </row>
  </sheetData>
  <phoneticPr fontId="0" type="noConversion"/>
  <pageMargins left="0.3" right="0.3" top="0.8" bottom="0.3" header="0" footer="0"/>
  <pageSetup scale="93"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95"/>
  <dimension ref="A1:AE38"/>
  <sheetViews>
    <sheetView zoomScaleNormal="100" workbookViewId="0">
      <pane xSplit="2" ySplit="7" topLeftCell="C8" activePane="bottomRight" state="frozen"/>
      <selection activeCell="S32" sqref="S32"/>
      <selection pane="topRight" activeCell="S32" sqref="S32"/>
      <selection pane="bottomLeft" activeCell="S32" sqref="S32"/>
      <selection pane="bottomRight" activeCell="I34" sqref="I34"/>
    </sheetView>
  </sheetViews>
  <sheetFormatPr defaultRowHeight="15"/>
  <cols>
    <col min="1" max="1" width="7.5546875" customWidth="1"/>
    <col min="2" max="2" width="37.21875" customWidth="1"/>
    <col min="3" max="3" width="10" customWidth="1"/>
    <col min="4" max="4" width="11.44140625" customWidth="1"/>
    <col min="5" max="5" width="8" customWidth="1"/>
    <col min="6" max="6" width="9.5546875" bestFit="1" customWidth="1"/>
    <col min="7" max="7" width="9.5546875" customWidth="1"/>
    <col min="8" max="8" width="10" customWidth="1"/>
    <col min="9" max="12" width="9.5546875" customWidth="1"/>
  </cols>
  <sheetData>
    <row r="1" spans="1:31" ht="15.75" thickBot="1">
      <c r="A1" s="86" t="str">
        <f>'Data sheet'!A65</f>
        <v>Annual Report of Veolia Water New York, Inc.                                                                                          Year Ended  December 31, 2023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c r="A2" s="1399"/>
      <c r="B2" s="2737"/>
      <c r="C2" s="1415"/>
      <c r="D2" s="1415"/>
      <c r="E2" s="1415"/>
      <c r="F2" s="1401"/>
      <c r="G2" s="1401"/>
      <c r="H2" s="1401"/>
      <c r="I2" s="1401"/>
      <c r="J2" s="1401"/>
      <c r="K2" s="1401"/>
      <c r="L2" s="1416" t="s">
        <v>4271</v>
      </c>
    </row>
    <row r="3" spans="1:31">
      <c r="A3" s="939"/>
      <c r="B3" s="238"/>
      <c r="C3" s="1403" t="s">
        <v>3468</v>
      </c>
      <c r="D3" s="1403" t="s">
        <v>2860</v>
      </c>
      <c r="E3" s="1417" t="s">
        <v>1344</v>
      </c>
      <c r="F3" s="1403" t="s">
        <v>2865</v>
      </c>
      <c r="G3" s="1403" t="s">
        <v>2865</v>
      </c>
      <c r="H3" s="1403" t="s">
        <v>3469</v>
      </c>
      <c r="I3" s="1403" t="s">
        <v>3470</v>
      </c>
      <c r="J3" s="1403" t="s">
        <v>2867</v>
      </c>
      <c r="K3" s="1403" t="s">
        <v>2864</v>
      </c>
      <c r="L3" s="1418" t="s">
        <v>3471</v>
      </c>
    </row>
    <row r="4" spans="1:31">
      <c r="A4" s="939"/>
      <c r="B4" s="949" t="s">
        <v>4273</v>
      </c>
      <c r="C4" s="1406">
        <v>73</v>
      </c>
      <c r="D4" s="1419">
        <v>22</v>
      </c>
      <c r="E4" s="1406">
        <v>25</v>
      </c>
      <c r="F4" s="1406">
        <v>13</v>
      </c>
      <c r="G4" s="1406">
        <v>14</v>
      </c>
      <c r="H4" s="1406">
        <v>32</v>
      </c>
      <c r="I4" s="1406">
        <v>19</v>
      </c>
      <c r="J4" s="1406">
        <v>23</v>
      </c>
      <c r="K4" s="1406">
        <v>21</v>
      </c>
      <c r="L4" s="1420" t="s">
        <v>3472</v>
      </c>
    </row>
    <row r="5" spans="1:31">
      <c r="A5" s="936" t="s">
        <v>2048</v>
      </c>
      <c r="B5" s="937" t="s">
        <v>1017</v>
      </c>
      <c r="C5" s="937"/>
      <c r="D5" s="937"/>
      <c r="E5" s="937"/>
      <c r="F5" s="937"/>
      <c r="G5" s="937"/>
      <c r="H5" s="937"/>
      <c r="I5" s="937"/>
      <c r="J5" s="937"/>
      <c r="K5" s="937"/>
      <c r="L5" s="940"/>
    </row>
    <row r="6" spans="1:31">
      <c r="A6" s="936" t="s">
        <v>2051</v>
      </c>
      <c r="B6" s="937"/>
      <c r="C6" s="937" t="s">
        <v>3473</v>
      </c>
      <c r="D6" s="937" t="s">
        <v>1018</v>
      </c>
      <c r="E6" s="937" t="s">
        <v>3474</v>
      </c>
      <c r="F6" s="937" t="s">
        <v>1019</v>
      </c>
      <c r="G6" s="937" t="s">
        <v>3475</v>
      </c>
      <c r="H6" s="937" t="s">
        <v>3476</v>
      </c>
      <c r="I6" s="937" t="s">
        <v>779</v>
      </c>
      <c r="J6" s="937" t="s">
        <v>780</v>
      </c>
      <c r="K6" s="937" t="s">
        <v>781</v>
      </c>
      <c r="L6" s="940" t="s">
        <v>782</v>
      </c>
    </row>
    <row r="7" spans="1:31">
      <c r="A7" s="1410"/>
      <c r="B7" s="1308"/>
      <c r="C7" s="1308"/>
      <c r="D7" s="1308"/>
      <c r="E7" s="1308"/>
      <c r="F7" s="1308"/>
      <c r="G7" s="1308"/>
      <c r="H7" s="1308"/>
      <c r="I7" s="1308"/>
      <c r="J7" s="1308"/>
      <c r="K7" s="1308"/>
      <c r="L7" s="1309"/>
    </row>
    <row r="8" spans="1:31">
      <c r="A8" s="936">
        <v>1</v>
      </c>
      <c r="B8" s="941" t="s">
        <v>1020</v>
      </c>
      <c r="C8" s="937" t="s">
        <v>1748</v>
      </c>
      <c r="D8" s="937" t="s">
        <v>2860</v>
      </c>
      <c r="E8" s="937" t="s">
        <v>1344</v>
      </c>
      <c r="F8" s="937" t="s">
        <v>1748</v>
      </c>
      <c r="G8" s="937" t="s">
        <v>1748</v>
      </c>
      <c r="H8" s="937" t="s">
        <v>1748</v>
      </c>
      <c r="I8" s="937" t="s">
        <v>1748</v>
      </c>
      <c r="J8" s="937" t="s">
        <v>1748</v>
      </c>
      <c r="K8" s="937" t="s">
        <v>1748</v>
      </c>
      <c r="L8" s="940" t="s">
        <v>1748</v>
      </c>
    </row>
    <row r="9" spans="1:31">
      <c r="A9" s="936">
        <v>2</v>
      </c>
      <c r="B9" s="1624" t="s">
        <v>4279</v>
      </c>
      <c r="C9" s="1794" t="s">
        <v>4280</v>
      </c>
      <c r="D9" s="1794" t="s">
        <v>4280</v>
      </c>
      <c r="E9" s="1794" t="s">
        <v>4280</v>
      </c>
      <c r="F9" s="1794" t="s">
        <v>4280</v>
      </c>
      <c r="G9" s="1794" t="s">
        <v>4280</v>
      </c>
      <c r="H9" s="1794" t="s">
        <v>4280</v>
      </c>
      <c r="I9" s="1794" t="s">
        <v>4280</v>
      </c>
      <c r="J9" s="1794" t="s">
        <v>4280</v>
      </c>
      <c r="K9" s="1794" t="s">
        <v>4280</v>
      </c>
      <c r="L9" s="1797" t="s">
        <v>4280</v>
      </c>
    </row>
    <row r="10" spans="1:31">
      <c r="A10" s="936">
        <v>3</v>
      </c>
      <c r="B10" s="1624" t="s">
        <v>479</v>
      </c>
      <c r="C10" s="1794">
        <v>1</v>
      </c>
      <c r="D10" s="1794">
        <v>1</v>
      </c>
      <c r="E10" s="1794">
        <v>1</v>
      </c>
      <c r="F10" s="1794">
        <v>1</v>
      </c>
      <c r="G10" s="1794">
        <v>1</v>
      </c>
      <c r="H10" s="1794">
        <v>1</v>
      </c>
      <c r="I10" s="1794">
        <v>1</v>
      </c>
      <c r="J10" s="1794">
        <v>1</v>
      </c>
      <c r="K10" s="1794">
        <v>1</v>
      </c>
      <c r="L10" s="1797">
        <v>1</v>
      </c>
    </row>
    <row r="11" spans="1:31">
      <c r="A11" s="936">
        <v>4</v>
      </c>
      <c r="B11" s="1624" t="s">
        <v>3820</v>
      </c>
      <c r="C11" s="726" t="s">
        <v>2289</v>
      </c>
      <c r="D11" s="726" t="s">
        <v>2289</v>
      </c>
      <c r="E11" s="726" t="s">
        <v>2289</v>
      </c>
      <c r="F11" s="726" t="s">
        <v>2289</v>
      </c>
      <c r="G11" s="726" t="s">
        <v>2289</v>
      </c>
      <c r="H11" s="726" t="s">
        <v>2289</v>
      </c>
      <c r="I11" s="726" t="s">
        <v>2289</v>
      </c>
      <c r="J11" s="726" t="s">
        <v>2289</v>
      </c>
      <c r="K11" s="726" t="s">
        <v>2289</v>
      </c>
      <c r="L11" s="727" t="s">
        <v>2289</v>
      </c>
    </row>
    <row r="12" spans="1:31">
      <c r="A12" s="936">
        <v>5</v>
      </c>
      <c r="B12" s="1624" t="s">
        <v>3821</v>
      </c>
      <c r="C12" s="1794"/>
      <c r="D12" s="1794"/>
      <c r="E12" s="1794"/>
      <c r="F12" s="1794"/>
      <c r="G12" s="1794"/>
      <c r="H12" s="1794"/>
      <c r="I12" s="1794"/>
      <c r="J12" s="1794"/>
      <c r="K12" s="1794"/>
      <c r="L12" s="1797"/>
    </row>
    <row r="13" spans="1:31">
      <c r="A13" s="936">
        <v>6</v>
      </c>
      <c r="B13" s="1624" t="s">
        <v>4282</v>
      </c>
      <c r="C13" s="1794">
        <v>155757</v>
      </c>
      <c r="D13" s="1794">
        <v>0</v>
      </c>
      <c r="E13" s="1794">
        <v>0</v>
      </c>
      <c r="F13" s="1794">
        <v>25994</v>
      </c>
      <c r="G13" s="1794">
        <v>62287</v>
      </c>
      <c r="H13" s="1816">
        <v>49903</v>
      </c>
      <c r="I13" s="1794">
        <v>0</v>
      </c>
      <c r="J13" s="1794">
        <v>0</v>
      </c>
      <c r="K13" s="1794">
        <v>0</v>
      </c>
      <c r="L13" s="1797">
        <v>75595</v>
      </c>
    </row>
    <row r="14" spans="1:31">
      <c r="A14" s="936">
        <v>7</v>
      </c>
      <c r="B14" s="1624" t="s">
        <v>3823</v>
      </c>
      <c r="C14" s="1794" t="s">
        <v>1604</v>
      </c>
      <c r="D14" s="1794" t="s">
        <v>1604</v>
      </c>
      <c r="E14" s="1794" t="s">
        <v>1604</v>
      </c>
      <c r="F14" s="1794" t="s">
        <v>1604</v>
      </c>
      <c r="G14" s="1794" t="s">
        <v>1604</v>
      </c>
      <c r="H14" s="1794" t="s">
        <v>1604</v>
      </c>
      <c r="I14" s="1794" t="s">
        <v>1604</v>
      </c>
      <c r="J14" s="1794" t="s">
        <v>1604</v>
      </c>
      <c r="K14" s="1794" t="s">
        <v>1604</v>
      </c>
      <c r="L14" s="1797" t="s">
        <v>1604</v>
      </c>
    </row>
    <row r="15" spans="1:31">
      <c r="A15" s="936">
        <v>8</v>
      </c>
      <c r="B15" s="1624" t="s">
        <v>4284</v>
      </c>
      <c r="C15" s="1794">
        <v>426.73150684931505</v>
      </c>
      <c r="D15" s="1794">
        <v>0</v>
      </c>
      <c r="E15" s="1794">
        <v>0</v>
      </c>
      <c r="F15" s="1794">
        <v>71.216438356164389</v>
      </c>
      <c r="G15" s="1794">
        <v>170.64931506849314</v>
      </c>
      <c r="H15" s="1794">
        <v>136.72054794520548</v>
      </c>
      <c r="I15" s="1794">
        <v>0</v>
      </c>
      <c r="J15" s="1794">
        <v>0</v>
      </c>
      <c r="K15" s="1794">
        <v>0</v>
      </c>
      <c r="L15" s="1797">
        <v>207.10958904109589</v>
      </c>
    </row>
    <row r="16" spans="1:31">
      <c r="A16" s="936">
        <v>9</v>
      </c>
      <c r="B16" s="1624" t="s">
        <v>3014</v>
      </c>
      <c r="C16" s="1794">
        <v>500</v>
      </c>
      <c r="D16" s="1794">
        <v>0</v>
      </c>
      <c r="E16" s="1794">
        <v>0</v>
      </c>
      <c r="F16" s="1794">
        <v>334</v>
      </c>
      <c r="G16" s="1794">
        <v>440</v>
      </c>
      <c r="H16" s="1794">
        <v>200</v>
      </c>
      <c r="I16" s="1794">
        <v>0</v>
      </c>
      <c r="J16" s="1794">
        <v>0</v>
      </c>
      <c r="K16" s="1794">
        <v>178</v>
      </c>
      <c r="L16" s="1797">
        <v>1023</v>
      </c>
    </row>
    <row r="17" spans="1:12">
      <c r="A17" s="936">
        <v>10</v>
      </c>
      <c r="B17" s="1624" t="s">
        <v>1410</v>
      </c>
      <c r="C17" s="1794">
        <v>1</v>
      </c>
      <c r="D17" s="1794">
        <v>1</v>
      </c>
      <c r="E17" s="1794">
        <v>1</v>
      </c>
      <c r="F17" s="1794">
        <v>1</v>
      </c>
      <c r="G17" s="1794">
        <v>1</v>
      </c>
      <c r="H17" s="1794">
        <v>1</v>
      </c>
      <c r="I17" s="1794">
        <v>1</v>
      </c>
      <c r="J17" s="1794">
        <v>1</v>
      </c>
      <c r="K17" s="1794">
        <v>1</v>
      </c>
      <c r="L17" s="1797">
        <v>1</v>
      </c>
    </row>
    <row r="18" spans="1:12">
      <c r="A18" s="1421" t="s">
        <v>350</v>
      </c>
      <c r="B18" s="1652" t="s">
        <v>1411</v>
      </c>
      <c r="C18" s="1798">
        <v>45289</v>
      </c>
      <c r="D18" s="1799">
        <v>44927</v>
      </c>
      <c r="E18" s="1799">
        <v>44927</v>
      </c>
      <c r="F18" s="1798">
        <v>45250</v>
      </c>
      <c r="G18" s="1799">
        <v>45155</v>
      </c>
      <c r="H18" s="1798">
        <v>45044</v>
      </c>
      <c r="I18" s="1799">
        <v>44927</v>
      </c>
      <c r="J18" s="1798" t="s">
        <v>5425</v>
      </c>
      <c r="K18" s="1799">
        <v>44927</v>
      </c>
      <c r="L18" s="2174">
        <v>44190</v>
      </c>
    </row>
    <row r="19" spans="1:12">
      <c r="A19" s="936">
        <v>12</v>
      </c>
      <c r="B19" s="1624" t="s">
        <v>1412</v>
      </c>
      <c r="C19" s="1794">
        <v>500</v>
      </c>
      <c r="D19" s="1794">
        <v>0</v>
      </c>
      <c r="E19" s="1794">
        <v>0</v>
      </c>
      <c r="F19" s="1794">
        <v>334</v>
      </c>
      <c r="G19" s="1794">
        <v>440</v>
      </c>
      <c r="H19" s="1794">
        <v>200</v>
      </c>
      <c r="I19" s="1794">
        <v>0</v>
      </c>
      <c r="J19" s="1794">
        <v>0</v>
      </c>
      <c r="K19" s="1794">
        <v>0</v>
      </c>
      <c r="L19" s="1797">
        <v>1023</v>
      </c>
    </row>
    <row r="20" spans="1:12">
      <c r="A20" s="936">
        <v>13</v>
      </c>
      <c r="B20" s="1624" t="s">
        <v>1411</v>
      </c>
      <c r="C20" s="1798">
        <v>45289</v>
      </c>
      <c r="D20" s="1798">
        <v>44927</v>
      </c>
      <c r="E20" s="1799">
        <v>44927</v>
      </c>
      <c r="F20" s="1798">
        <v>45250</v>
      </c>
      <c r="G20" s="1798">
        <v>45155</v>
      </c>
      <c r="H20" s="1798">
        <v>45044</v>
      </c>
      <c r="I20" s="1799">
        <v>44927</v>
      </c>
      <c r="J20" s="1798" t="s">
        <v>5425</v>
      </c>
      <c r="K20" s="1798">
        <v>44927</v>
      </c>
      <c r="L20" s="1800">
        <v>44190</v>
      </c>
    </row>
    <row r="21" spans="1:12">
      <c r="A21" s="936">
        <v>14</v>
      </c>
      <c r="B21" s="1624" t="s">
        <v>1413</v>
      </c>
      <c r="C21" s="1794" t="s">
        <v>4281</v>
      </c>
      <c r="D21" s="1794" t="s">
        <v>4281</v>
      </c>
      <c r="E21" s="1794" t="s">
        <v>4281</v>
      </c>
      <c r="F21" s="1794" t="s">
        <v>4281</v>
      </c>
      <c r="G21" s="1794" t="s">
        <v>4281</v>
      </c>
      <c r="H21" s="1794" t="s">
        <v>4281</v>
      </c>
      <c r="I21" s="1794" t="s">
        <v>4281</v>
      </c>
      <c r="J21" s="1794" t="s">
        <v>4281</v>
      </c>
      <c r="K21" s="1794" t="s">
        <v>4281</v>
      </c>
      <c r="L21" s="1797" t="s">
        <v>4281</v>
      </c>
    </row>
    <row r="22" spans="1:12">
      <c r="A22" s="936">
        <v>15</v>
      </c>
      <c r="B22" s="1624" t="s">
        <v>1500</v>
      </c>
      <c r="C22" s="1622" t="s">
        <v>2169</v>
      </c>
      <c r="D22" s="1622" t="s">
        <v>2169</v>
      </c>
      <c r="E22" s="1622" t="s">
        <v>2169</v>
      </c>
      <c r="F22" s="1622" t="s">
        <v>2169</v>
      </c>
      <c r="G22" s="1622" t="s">
        <v>2169</v>
      </c>
      <c r="H22" s="1622" t="s">
        <v>2169</v>
      </c>
      <c r="I22" s="1622" t="s">
        <v>2169</v>
      </c>
      <c r="J22" s="1622" t="s">
        <v>2169</v>
      </c>
      <c r="K22" s="1622" t="s">
        <v>2169</v>
      </c>
      <c r="L22" s="1801" t="s">
        <v>2169</v>
      </c>
    </row>
    <row r="23" spans="1:12">
      <c r="A23" s="936">
        <v>16</v>
      </c>
      <c r="B23" s="1624" t="s">
        <v>1501</v>
      </c>
      <c r="C23" s="1622"/>
      <c r="D23" s="1622"/>
      <c r="E23" s="1622"/>
      <c r="F23" s="1622"/>
      <c r="G23" s="1622"/>
      <c r="H23" s="1622"/>
      <c r="I23" s="1622"/>
      <c r="J23" s="1622"/>
      <c r="K23" s="1622"/>
      <c r="L23" s="1801"/>
    </row>
    <row r="24" spans="1:12">
      <c r="A24" s="936">
        <v>17</v>
      </c>
      <c r="B24" s="1624" t="s">
        <v>1502</v>
      </c>
      <c r="C24" s="1794" t="s">
        <v>2289</v>
      </c>
      <c r="D24" s="1794" t="s">
        <v>2289</v>
      </c>
      <c r="E24" s="1794" t="s">
        <v>2289</v>
      </c>
      <c r="F24" s="1794" t="s">
        <v>2289</v>
      </c>
      <c r="G24" s="1794" t="s">
        <v>2289</v>
      </c>
      <c r="H24" s="1794" t="s">
        <v>2289</v>
      </c>
      <c r="I24" s="1794" t="s">
        <v>2289</v>
      </c>
      <c r="J24" s="1794" t="s">
        <v>2289</v>
      </c>
      <c r="K24" s="1794" t="s">
        <v>2289</v>
      </c>
      <c r="L24" s="1797" t="s">
        <v>2289</v>
      </c>
    </row>
    <row r="25" spans="1:12">
      <c r="A25" s="936">
        <v>18</v>
      </c>
      <c r="B25" s="1624" t="s">
        <v>522</v>
      </c>
      <c r="C25" s="1794" t="s">
        <v>2289</v>
      </c>
      <c r="D25" s="1794" t="s">
        <v>2289</v>
      </c>
      <c r="E25" s="1794" t="s">
        <v>2289</v>
      </c>
      <c r="F25" s="1794" t="s">
        <v>2289</v>
      </c>
      <c r="G25" s="1794" t="s">
        <v>2289</v>
      </c>
      <c r="H25" s="1794" t="s">
        <v>2289</v>
      </c>
      <c r="I25" s="1794" t="s">
        <v>2289</v>
      </c>
      <c r="J25" s="1794" t="s">
        <v>2289</v>
      </c>
      <c r="K25" s="1794" t="s">
        <v>2289</v>
      </c>
      <c r="L25" s="1797" t="s">
        <v>2289</v>
      </c>
    </row>
    <row r="26" spans="1:12">
      <c r="A26" s="936">
        <v>19</v>
      </c>
      <c r="B26" s="1624" t="s">
        <v>523</v>
      </c>
      <c r="C26" s="1794" t="s">
        <v>2289</v>
      </c>
      <c r="D26" s="1794" t="s">
        <v>2289</v>
      </c>
      <c r="E26" s="1794" t="s">
        <v>2289</v>
      </c>
      <c r="F26" s="1794" t="s">
        <v>2289</v>
      </c>
      <c r="G26" s="1794" t="s">
        <v>2289</v>
      </c>
      <c r="H26" s="1794" t="s">
        <v>2289</v>
      </c>
      <c r="I26" s="1794" t="s">
        <v>2289</v>
      </c>
      <c r="J26" s="1794" t="s">
        <v>2289</v>
      </c>
      <c r="K26" s="1794" t="s">
        <v>2289</v>
      </c>
      <c r="L26" s="1797" t="s">
        <v>2289</v>
      </c>
    </row>
    <row r="27" spans="1:12">
      <c r="A27" s="936">
        <v>20</v>
      </c>
      <c r="B27" s="1624" t="s">
        <v>2170</v>
      </c>
      <c r="C27" s="1794">
        <v>253563</v>
      </c>
      <c r="D27" s="1794">
        <v>21891</v>
      </c>
      <c r="E27" s="1794" t="s">
        <v>3379</v>
      </c>
      <c r="F27" s="1794">
        <v>26240</v>
      </c>
      <c r="G27" s="1794">
        <v>228784</v>
      </c>
      <c r="H27" s="1794">
        <v>112279</v>
      </c>
      <c r="I27" s="1799">
        <v>8126</v>
      </c>
      <c r="J27" s="1794">
        <v>17632</v>
      </c>
      <c r="K27" s="1794">
        <v>18004</v>
      </c>
      <c r="L27" s="1797">
        <v>218223</v>
      </c>
    </row>
    <row r="28" spans="1:12">
      <c r="A28" s="1412" t="s">
        <v>360</v>
      </c>
      <c r="B28" s="1653" t="s">
        <v>525</v>
      </c>
      <c r="C28" s="1802">
        <v>0</v>
      </c>
      <c r="D28" s="1794">
        <v>0</v>
      </c>
      <c r="E28" s="1802" t="s">
        <v>3379</v>
      </c>
      <c r="F28" s="1802">
        <v>0</v>
      </c>
      <c r="G28" s="1802">
        <v>0</v>
      </c>
      <c r="H28" s="1802">
        <v>0</v>
      </c>
      <c r="I28" s="1799">
        <v>0</v>
      </c>
      <c r="J28" s="1802">
        <v>0</v>
      </c>
      <c r="K28" s="1802">
        <v>0</v>
      </c>
      <c r="L28" s="1803">
        <v>0</v>
      </c>
    </row>
    <row r="29" spans="1:12">
      <c r="A29" s="936">
        <v>22</v>
      </c>
      <c r="B29" s="1624" t="s">
        <v>2587</v>
      </c>
      <c r="C29" s="1794">
        <v>253563</v>
      </c>
      <c r="D29" s="1794">
        <v>21891</v>
      </c>
      <c r="E29" s="1794" t="s">
        <v>3379</v>
      </c>
      <c r="F29" s="1794">
        <v>26240</v>
      </c>
      <c r="G29" s="1794">
        <v>228784</v>
      </c>
      <c r="H29" s="1794">
        <v>112279</v>
      </c>
      <c r="I29" s="1794">
        <v>8126</v>
      </c>
      <c r="J29" s="1794">
        <v>17632</v>
      </c>
      <c r="K29" s="1794">
        <v>18004</v>
      </c>
      <c r="L29" s="1797">
        <v>218223</v>
      </c>
    </row>
    <row r="30" spans="1:12">
      <c r="A30" s="936">
        <v>23</v>
      </c>
      <c r="B30" s="1624" t="s">
        <v>2995</v>
      </c>
      <c r="C30" s="1794" t="s">
        <v>2289</v>
      </c>
      <c r="D30" s="1794" t="s">
        <v>2289</v>
      </c>
      <c r="E30" s="1794" t="s">
        <v>2289</v>
      </c>
      <c r="F30" s="1794" t="s">
        <v>2289</v>
      </c>
      <c r="G30" s="1794" t="s">
        <v>2289</v>
      </c>
      <c r="H30" s="1794" t="s">
        <v>2289</v>
      </c>
      <c r="I30" s="1794" t="s">
        <v>2289</v>
      </c>
      <c r="J30" s="1794" t="s">
        <v>2289</v>
      </c>
      <c r="K30" s="1794" t="s">
        <v>2289</v>
      </c>
      <c r="L30" s="1797" t="s">
        <v>2289</v>
      </c>
    </row>
    <row r="31" spans="1:12">
      <c r="A31" s="936">
        <v>24</v>
      </c>
      <c r="B31" s="1624" t="s">
        <v>2996</v>
      </c>
      <c r="C31" s="1794" t="s">
        <v>2289</v>
      </c>
      <c r="D31" s="1794" t="s">
        <v>2289</v>
      </c>
      <c r="E31" s="1794" t="s">
        <v>2289</v>
      </c>
      <c r="F31" s="1794" t="s">
        <v>2289</v>
      </c>
      <c r="G31" s="1794" t="s">
        <v>2289</v>
      </c>
      <c r="H31" s="1794" t="s">
        <v>2289</v>
      </c>
      <c r="I31" s="1794" t="s">
        <v>2289</v>
      </c>
      <c r="J31" s="1794" t="s">
        <v>2289</v>
      </c>
      <c r="K31" s="1794" t="s">
        <v>2289</v>
      </c>
      <c r="L31" s="1797" t="s">
        <v>2289</v>
      </c>
    </row>
    <row r="32" spans="1:12" ht="15.75" thickBot="1">
      <c r="A32" s="1422" t="s">
        <v>364</v>
      </c>
      <c r="B32" s="1648" t="s">
        <v>3466</v>
      </c>
      <c r="C32" s="1804">
        <v>5.7700224623335989</v>
      </c>
      <c r="D32" s="1804">
        <v>0</v>
      </c>
      <c r="E32" s="1804">
        <v>0</v>
      </c>
      <c r="F32" s="1804">
        <v>4.9456698523830909</v>
      </c>
      <c r="G32" s="1804">
        <v>2.5697398021880944</v>
      </c>
      <c r="H32" s="1804">
        <v>3.8076506305218452</v>
      </c>
      <c r="I32" s="1804">
        <v>0</v>
      </c>
      <c r="J32" s="1804">
        <v>0</v>
      </c>
      <c r="K32" s="1804">
        <v>0.91572330430334758</v>
      </c>
      <c r="L32" s="1817">
        <v>2.5569803038179404</v>
      </c>
    </row>
    <row r="33" spans="1:12">
      <c r="A33" s="1414" t="s">
        <v>2024</v>
      </c>
      <c r="B33" s="1654"/>
      <c r="C33" s="1649"/>
      <c r="D33" s="1649"/>
      <c r="E33" s="1650"/>
      <c r="G33" s="1649"/>
      <c r="H33" s="1649"/>
      <c r="I33" s="1649"/>
      <c r="J33" s="1649"/>
      <c r="K33" s="1649"/>
      <c r="L33" s="1649"/>
    </row>
    <row r="34" spans="1:12">
      <c r="A34" s="954" t="s">
        <v>3477</v>
      </c>
      <c r="B34" s="1651"/>
      <c r="C34" s="1651"/>
      <c r="D34" s="1651"/>
      <c r="E34" s="1651"/>
      <c r="F34" s="1651"/>
      <c r="G34" s="1651"/>
      <c r="H34" s="1651"/>
      <c r="I34" s="1649"/>
      <c r="J34" s="1649"/>
      <c r="K34" s="1649"/>
      <c r="L34" s="1649"/>
    </row>
    <row r="35" spans="1:12">
      <c r="A35" s="938"/>
      <c r="B35" s="1649"/>
      <c r="C35" s="1649"/>
      <c r="D35" s="1649"/>
      <c r="E35" s="1649"/>
      <c r="F35" s="1649"/>
      <c r="G35" s="1649"/>
      <c r="H35" s="1649"/>
      <c r="I35" s="1649"/>
      <c r="J35" s="1649"/>
      <c r="K35" s="1649"/>
      <c r="L35" s="1649"/>
    </row>
    <row r="36" spans="1:12">
      <c r="A36" s="938"/>
      <c r="B36" s="1649"/>
      <c r="C36" s="1649"/>
      <c r="D36" s="1649"/>
      <c r="E36" s="1649"/>
      <c r="F36" s="1649"/>
      <c r="G36" s="1649"/>
      <c r="H36" s="1649"/>
      <c r="I36" s="1649"/>
      <c r="J36" s="1649"/>
      <c r="K36" s="1649"/>
      <c r="L36" s="1649"/>
    </row>
    <row r="37" spans="1:12">
      <c r="A37" s="938"/>
      <c r="B37" s="931"/>
      <c r="C37" s="931"/>
      <c r="D37" s="931"/>
      <c r="E37" s="931"/>
      <c r="F37" s="931"/>
      <c r="G37" s="931"/>
      <c r="H37" s="931"/>
      <c r="I37" s="931"/>
      <c r="J37" s="931"/>
      <c r="K37" s="931"/>
      <c r="L37" s="931"/>
    </row>
    <row r="38" spans="1:12">
      <c r="A38" s="938"/>
      <c r="B38" s="931"/>
      <c r="C38" s="931"/>
      <c r="D38" s="931"/>
      <c r="E38" s="931"/>
      <c r="F38" s="931"/>
      <c r="G38" s="931"/>
      <c r="H38" s="931"/>
      <c r="I38" s="931"/>
      <c r="J38" s="931"/>
      <c r="K38" s="931"/>
      <c r="L38" s="931"/>
    </row>
  </sheetData>
  <phoneticPr fontId="0" type="noConversion"/>
  <pageMargins left="0.3" right="0.3" top="0.8" bottom="0.3" header="0" footer="0"/>
  <pageSetup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138</vt:i4>
      </vt:variant>
      <vt:variant>
        <vt:lpstr>Named Ranges</vt:lpstr>
      </vt:variant>
      <vt:variant>
        <vt:i4>280</vt:i4>
      </vt:variant>
    </vt:vector>
  </HeadingPairs>
  <TitlesOfParts>
    <vt:vector size="418" baseType="lpstr">
      <vt:lpstr>Readme</vt:lpstr>
      <vt:lpstr>Data sheet</vt:lpstr>
      <vt:lpstr>Cover</vt:lpstr>
      <vt:lpstr>Instructions</vt:lpstr>
      <vt:lpstr>Schedules</vt:lpstr>
      <vt:lpstr>101</vt:lpstr>
      <vt:lpstr>102103</vt:lpstr>
      <vt:lpstr>104105</vt:lpstr>
      <vt:lpstr>106107</vt:lpstr>
      <vt:lpstr>108109</vt:lpstr>
      <vt:lpstr>110</vt:lpstr>
      <vt:lpstr>111113</vt:lpstr>
      <vt:lpstr>114115</vt:lpstr>
      <vt:lpstr>116119</vt:lpstr>
      <vt:lpstr>120121</vt:lpstr>
      <vt:lpstr>122123</vt:lpstr>
      <vt:lpstr>124125</vt:lpstr>
      <vt:lpstr>200201</vt:lpstr>
      <vt:lpstr>202205</vt:lpstr>
      <vt:lpstr>206</vt:lpstr>
      <vt:lpstr>206a</vt:lpstr>
      <vt:lpstr>206b</vt:lpstr>
      <vt:lpstr>206c</vt:lpstr>
      <vt:lpstr>206d</vt:lpstr>
      <vt:lpstr>206e</vt:lpstr>
      <vt:lpstr>206f</vt:lpstr>
      <vt:lpstr>207</vt:lpstr>
      <vt:lpstr>208</vt:lpstr>
      <vt:lpstr>209</vt:lpstr>
      <vt:lpstr>210</vt:lpstr>
      <vt:lpstr>211</vt:lpstr>
      <vt:lpstr>212</vt:lpstr>
      <vt:lpstr>213</vt:lpstr>
      <vt:lpstr>214</vt:lpstr>
      <vt:lpstr>215</vt:lpstr>
      <vt:lpstr>216</vt:lpstr>
      <vt:lpstr>217</vt:lpstr>
      <vt:lpstr>250251</vt:lpstr>
      <vt:lpstr>252</vt:lpstr>
      <vt:lpstr>253</vt:lpstr>
      <vt:lpstr>254</vt:lpstr>
      <vt:lpstr>255</vt:lpstr>
      <vt:lpstr>256257</vt:lpstr>
      <vt:lpstr>258260</vt:lpstr>
      <vt:lpstr>261</vt:lpstr>
      <vt:lpstr>262263</vt:lpstr>
      <vt:lpstr>264265</vt:lpstr>
      <vt:lpstr>266</vt:lpstr>
      <vt:lpstr>267</vt:lpstr>
      <vt:lpstr>300</vt:lpstr>
      <vt:lpstr>301</vt:lpstr>
      <vt:lpstr>302304</vt:lpstr>
      <vt:lpstr>305</vt:lpstr>
      <vt:lpstr>306</vt:lpstr>
      <vt:lpstr>307309</vt:lpstr>
      <vt:lpstr>310</vt:lpstr>
      <vt:lpstr>311312</vt:lpstr>
      <vt:lpstr>313</vt:lpstr>
      <vt:lpstr>314</vt:lpstr>
      <vt:lpstr>315</vt:lpstr>
      <vt:lpstr>316</vt:lpstr>
      <vt:lpstr>317</vt:lpstr>
      <vt:lpstr>318320</vt:lpstr>
      <vt:lpstr>321</vt:lpstr>
      <vt:lpstr>350351</vt:lpstr>
      <vt:lpstr>352353</vt:lpstr>
      <vt:lpstr>354</vt:lpstr>
      <vt:lpstr>355356</vt:lpstr>
      <vt:lpstr>357358</vt:lpstr>
      <vt:lpstr>359360</vt:lpstr>
      <vt:lpstr>359a360a</vt:lpstr>
      <vt:lpstr>359b360b</vt:lpstr>
      <vt:lpstr>361362</vt:lpstr>
      <vt:lpstr>361a362a</vt:lpstr>
      <vt:lpstr>361b362b</vt:lpstr>
      <vt:lpstr>363</vt:lpstr>
      <vt:lpstr>363a</vt:lpstr>
      <vt:lpstr>363b</vt:lpstr>
      <vt:lpstr>364</vt:lpstr>
      <vt:lpstr>364a</vt:lpstr>
      <vt:lpstr>364b</vt:lpstr>
      <vt:lpstr>365</vt:lpstr>
      <vt:lpstr>365a</vt:lpstr>
      <vt:lpstr>365b</vt:lpstr>
      <vt:lpstr>366</vt:lpstr>
      <vt:lpstr>366a</vt:lpstr>
      <vt:lpstr>366 b</vt:lpstr>
      <vt:lpstr>367</vt:lpstr>
      <vt:lpstr>367a</vt:lpstr>
      <vt:lpstr>400</vt:lpstr>
      <vt:lpstr>401</vt:lpstr>
      <vt:lpstr>402</vt:lpstr>
      <vt:lpstr>402a</vt:lpstr>
      <vt:lpstr>402b</vt:lpstr>
      <vt:lpstr>402c</vt:lpstr>
      <vt:lpstr>402d</vt:lpstr>
      <vt:lpstr>403404</vt:lpstr>
      <vt:lpstr>404a</vt:lpstr>
      <vt:lpstr>404b</vt:lpstr>
      <vt:lpstr>404c</vt:lpstr>
      <vt:lpstr>404d</vt:lpstr>
      <vt:lpstr>404e</vt:lpstr>
      <vt:lpstr>404f</vt:lpstr>
      <vt:lpstr>404g</vt:lpstr>
      <vt:lpstr>404h</vt:lpstr>
      <vt:lpstr>404i</vt:lpstr>
      <vt:lpstr>404j</vt:lpstr>
      <vt:lpstr>404k</vt:lpstr>
      <vt:lpstr>404l</vt:lpstr>
      <vt:lpstr>405</vt:lpstr>
      <vt:lpstr>405a</vt:lpstr>
      <vt:lpstr>405b</vt:lpstr>
      <vt:lpstr>405c</vt:lpstr>
      <vt:lpstr>405d</vt:lpstr>
      <vt:lpstr>405e</vt:lpstr>
      <vt:lpstr>405f</vt:lpstr>
      <vt:lpstr>405g</vt:lpstr>
      <vt:lpstr>406</vt:lpstr>
      <vt:lpstr>407408</vt:lpstr>
      <vt:lpstr>406a</vt:lpstr>
      <vt:lpstr>408a</vt:lpstr>
      <vt:lpstr>408b</vt:lpstr>
      <vt:lpstr>408c</vt:lpstr>
      <vt:lpstr>408d</vt:lpstr>
      <vt:lpstr>408e</vt:lpstr>
      <vt:lpstr>408f</vt:lpstr>
      <vt:lpstr>409</vt:lpstr>
      <vt:lpstr>410</vt:lpstr>
      <vt:lpstr>411412</vt:lpstr>
      <vt:lpstr>410a</vt:lpstr>
      <vt:lpstr>412a</vt:lpstr>
      <vt:lpstr>412b</vt:lpstr>
      <vt:lpstr>412c</vt:lpstr>
      <vt:lpstr>412d</vt:lpstr>
      <vt:lpstr>412e</vt:lpstr>
      <vt:lpstr>Book</vt:lpstr>
      <vt:lpstr>Verify</vt:lpstr>
      <vt:lpstr>Zindex</vt:lpstr>
      <vt:lpstr>_001COVER</vt:lpstr>
      <vt:lpstr>_002INSTR</vt:lpstr>
      <vt:lpstr>_003SCHEDULES</vt:lpstr>
      <vt:lpstr>_101</vt:lpstr>
      <vt:lpstr>_102103</vt:lpstr>
      <vt:lpstr>_104105</vt:lpstr>
      <vt:lpstr>_106107</vt:lpstr>
      <vt:lpstr>_108109</vt:lpstr>
      <vt:lpstr>_114115</vt:lpstr>
      <vt:lpstr>_116119</vt:lpstr>
      <vt:lpstr>_120121</vt:lpstr>
      <vt:lpstr>_122123</vt:lpstr>
      <vt:lpstr>_124125</vt:lpstr>
      <vt:lpstr>_200201</vt:lpstr>
      <vt:lpstr>_202205</vt:lpstr>
      <vt:lpstr>'206a'!_206</vt:lpstr>
      <vt:lpstr>'206b'!_206</vt:lpstr>
      <vt:lpstr>_206</vt:lpstr>
      <vt:lpstr>_207</vt:lpstr>
      <vt:lpstr>_208</vt:lpstr>
      <vt:lpstr>_209</vt:lpstr>
      <vt:lpstr>_210</vt:lpstr>
      <vt:lpstr>_211</vt:lpstr>
      <vt:lpstr>_212</vt:lpstr>
      <vt:lpstr>_213</vt:lpstr>
      <vt:lpstr>_214</vt:lpstr>
      <vt:lpstr>_215</vt:lpstr>
      <vt:lpstr>_216</vt:lpstr>
      <vt:lpstr>_217</vt:lpstr>
      <vt:lpstr>_250251</vt:lpstr>
      <vt:lpstr>_252</vt:lpstr>
      <vt:lpstr>_254</vt:lpstr>
      <vt:lpstr>_256257</vt:lpstr>
      <vt:lpstr>_258260</vt:lpstr>
      <vt:lpstr>_261</vt:lpstr>
      <vt:lpstr>_262263</vt:lpstr>
      <vt:lpstr>_266</vt:lpstr>
      <vt:lpstr>_267</vt:lpstr>
      <vt:lpstr>_300</vt:lpstr>
      <vt:lpstr>_301</vt:lpstr>
      <vt:lpstr>_302304</vt:lpstr>
      <vt:lpstr>_305</vt:lpstr>
      <vt:lpstr>_306</vt:lpstr>
      <vt:lpstr>_307309</vt:lpstr>
      <vt:lpstr>_310</vt:lpstr>
      <vt:lpstr>_311312</vt:lpstr>
      <vt:lpstr>_313</vt:lpstr>
      <vt:lpstr>_314</vt:lpstr>
      <vt:lpstr>_315</vt:lpstr>
      <vt:lpstr>_316</vt:lpstr>
      <vt:lpstr>_317</vt:lpstr>
      <vt:lpstr>_318320</vt:lpstr>
      <vt:lpstr>_321</vt:lpstr>
      <vt:lpstr>_352353</vt:lpstr>
      <vt:lpstr>_354</vt:lpstr>
      <vt:lpstr>_355356</vt:lpstr>
      <vt:lpstr>_357358</vt:lpstr>
      <vt:lpstr>'359a360a'!_359360</vt:lpstr>
      <vt:lpstr>'359b360b'!_359360</vt:lpstr>
      <vt:lpstr>_359360</vt:lpstr>
      <vt:lpstr>'361a362a'!_361362</vt:lpstr>
      <vt:lpstr>'361b362b'!_361362</vt:lpstr>
      <vt:lpstr>_361362</vt:lpstr>
      <vt:lpstr>'363a'!_363</vt:lpstr>
      <vt:lpstr>'363b'!_363</vt:lpstr>
      <vt:lpstr>_363</vt:lpstr>
      <vt:lpstr>'364a'!_364</vt:lpstr>
      <vt:lpstr>'364b'!_364</vt:lpstr>
      <vt:lpstr>_364</vt:lpstr>
      <vt:lpstr>'365a'!_365</vt:lpstr>
      <vt:lpstr>'365b'!_365</vt:lpstr>
      <vt:lpstr>_365</vt:lpstr>
      <vt:lpstr>'366 b'!_366</vt:lpstr>
      <vt:lpstr>'366a'!_366</vt:lpstr>
      <vt:lpstr>'367a'!_366</vt:lpstr>
      <vt:lpstr>_366</vt:lpstr>
      <vt:lpstr>_367</vt:lpstr>
      <vt:lpstr>_400</vt:lpstr>
      <vt:lpstr>_401</vt:lpstr>
      <vt:lpstr>_402</vt:lpstr>
      <vt:lpstr>_403404</vt:lpstr>
      <vt:lpstr>_405</vt:lpstr>
      <vt:lpstr>'406a'!_406</vt:lpstr>
      <vt:lpstr>_406</vt:lpstr>
      <vt:lpstr>_407408</vt:lpstr>
      <vt:lpstr>_409</vt:lpstr>
      <vt:lpstr>'410'!_410</vt:lpstr>
      <vt:lpstr>_410</vt:lpstr>
      <vt:lpstr>_411412</vt:lpstr>
      <vt:lpstr>_PM101</vt:lpstr>
      <vt:lpstr>_PM102103</vt:lpstr>
      <vt:lpstr>_PM104105</vt:lpstr>
      <vt:lpstr>_PM106107</vt:lpstr>
      <vt:lpstr>_PM114115</vt:lpstr>
      <vt:lpstr>_PM116119</vt:lpstr>
      <vt:lpstr>_PM120121</vt:lpstr>
      <vt:lpstr>_PM122123</vt:lpstr>
      <vt:lpstr>_PM124125</vt:lpstr>
      <vt:lpstr>_PM200201</vt:lpstr>
      <vt:lpstr>_PM202205</vt:lpstr>
      <vt:lpstr>'206a'!_PM206</vt:lpstr>
      <vt:lpstr>'206b'!_PM206</vt:lpstr>
      <vt:lpstr>_PM206</vt:lpstr>
      <vt:lpstr>_PM207</vt:lpstr>
      <vt:lpstr>_PM209</vt:lpstr>
      <vt:lpstr>_PM210</vt:lpstr>
      <vt:lpstr>_PM211</vt:lpstr>
      <vt:lpstr>_PM212</vt:lpstr>
      <vt:lpstr>_PM213</vt:lpstr>
      <vt:lpstr>_PM214</vt:lpstr>
      <vt:lpstr>_PM215</vt:lpstr>
      <vt:lpstr>_PM216</vt:lpstr>
      <vt:lpstr>_PM250251</vt:lpstr>
      <vt:lpstr>_PM252</vt:lpstr>
      <vt:lpstr>_PM253</vt:lpstr>
      <vt:lpstr>_PM254</vt:lpstr>
      <vt:lpstr>_PM255</vt:lpstr>
      <vt:lpstr>_PM256257</vt:lpstr>
      <vt:lpstr>_PM258260</vt:lpstr>
      <vt:lpstr>_PM261</vt:lpstr>
      <vt:lpstr>_PM262263</vt:lpstr>
      <vt:lpstr>_PM266</vt:lpstr>
      <vt:lpstr>_PM267</vt:lpstr>
      <vt:lpstr>_PM300</vt:lpstr>
      <vt:lpstr>_PM302304</vt:lpstr>
      <vt:lpstr>_PM305</vt:lpstr>
      <vt:lpstr>_PM306</vt:lpstr>
      <vt:lpstr>_PM307309</vt:lpstr>
      <vt:lpstr>_PM310</vt:lpstr>
      <vt:lpstr>_PM311312</vt:lpstr>
      <vt:lpstr>_PM316</vt:lpstr>
      <vt:lpstr>_PM317</vt:lpstr>
      <vt:lpstr>_PM318320</vt:lpstr>
      <vt:lpstr>_PM321</vt:lpstr>
      <vt:lpstr>_PM350351</vt:lpstr>
      <vt:lpstr>_PM354</vt:lpstr>
      <vt:lpstr>_PM355356</vt:lpstr>
      <vt:lpstr>_PM357358</vt:lpstr>
      <vt:lpstr>'359a360a'!_PM359360</vt:lpstr>
      <vt:lpstr>'359b360b'!_PM359360</vt:lpstr>
      <vt:lpstr>_PM359360</vt:lpstr>
      <vt:lpstr>'361a362a'!_PM361362</vt:lpstr>
      <vt:lpstr>'361b362b'!_PM361362</vt:lpstr>
      <vt:lpstr>_PM361362</vt:lpstr>
      <vt:lpstr>'363a'!_PM363</vt:lpstr>
      <vt:lpstr>'363b'!_PM363</vt:lpstr>
      <vt:lpstr>_PM363</vt:lpstr>
      <vt:lpstr>'364a'!_PM364</vt:lpstr>
      <vt:lpstr>'364b'!_PM364</vt:lpstr>
      <vt:lpstr>_PM364</vt:lpstr>
      <vt:lpstr>'365a'!_PM365</vt:lpstr>
      <vt:lpstr>'365b'!_PM365</vt:lpstr>
      <vt:lpstr>_PM365</vt:lpstr>
      <vt:lpstr>'366 b'!_PM366</vt:lpstr>
      <vt:lpstr>'366a'!_PM366</vt:lpstr>
      <vt:lpstr>'367a'!_PM366</vt:lpstr>
      <vt:lpstr>_PM366</vt:lpstr>
      <vt:lpstr>_PM367</vt:lpstr>
      <vt:lpstr>_PM401</vt:lpstr>
      <vt:lpstr>_PM402</vt:lpstr>
      <vt:lpstr>_PM403404</vt:lpstr>
      <vt:lpstr>_PM405</vt:lpstr>
      <vt:lpstr>'406a'!_PM406</vt:lpstr>
      <vt:lpstr>_PM406</vt:lpstr>
      <vt:lpstr>_PM407408</vt:lpstr>
      <vt:lpstr>_PM409</vt:lpstr>
      <vt:lpstr>'410'!_PM410</vt:lpstr>
      <vt:lpstr>_PM410</vt:lpstr>
      <vt:lpstr>_PM411412</vt:lpstr>
      <vt:lpstr>BOOK</vt:lpstr>
      <vt:lpstr>COVERPM</vt:lpstr>
      <vt:lpstr>GENINSTPM</vt:lpstr>
      <vt:lpstr>PMVERIFY</vt:lpstr>
      <vt:lpstr>PMZINDEX</vt:lpstr>
      <vt:lpstr>'104105'!Print_Area</vt:lpstr>
      <vt:lpstr>'106107'!Print_Area</vt:lpstr>
      <vt:lpstr>'108109'!Print_Area</vt:lpstr>
      <vt:lpstr>'111113'!Print_Area</vt:lpstr>
      <vt:lpstr>'114115'!Print_Area</vt:lpstr>
      <vt:lpstr>'116119'!Print_Area</vt:lpstr>
      <vt:lpstr>'120121'!Print_Area</vt:lpstr>
      <vt:lpstr>'122123'!Print_Area</vt:lpstr>
      <vt:lpstr>'200201'!Print_Area</vt:lpstr>
      <vt:lpstr>'202205'!Print_Area</vt:lpstr>
      <vt:lpstr>'206'!Print_Area</vt:lpstr>
      <vt:lpstr>'206a'!Print_Area</vt:lpstr>
      <vt:lpstr>'206b'!Print_Area</vt:lpstr>
      <vt:lpstr>'206c'!Print_Area</vt:lpstr>
      <vt:lpstr>'206d'!Print_Area</vt:lpstr>
      <vt:lpstr>'206e'!Print_Area</vt:lpstr>
      <vt:lpstr>'206f'!Print_Area</vt:lpstr>
      <vt:lpstr>'207'!Print_Area</vt:lpstr>
      <vt:lpstr>'208'!Print_Area</vt:lpstr>
      <vt:lpstr>'209'!Print_Area</vt:lpstr>
      <vt:lpstr>'211'!Print_Area</vt:lpstr>
      <vt:lpstr>'213'!Print_Area</vt:lpstr>
      <vt:lpstr>'214'!Print_Area</vt:lpstr>
      <vt:lpstr>'215'!Print_Area</vt:lpstr>
      <vt:lpstr>'216'!Print_Area</vt:lpstr>
      <vt:lpstr>'217'!Print_Area</vt:lpstr>
      <vt:lpstr>'250251'!Print_Area</vt:lpstr>
      <vt:lpstr>'252'!Print_Area</vt:lpstr>
      <vt:lpstr>'253'!Print_Area</vt:lpstr>
      <vt:lpstr>'254'!Print_Area</vt:lpstr>
      <vt:lpstr>'255'!Print_Area</vt:lpstr>
      <vt:lpstr>'256257'!Print_Area</vt:lpstr>
      <vt:lpstr>'258260'!Print_Area</vt:lpstr>
      <vt:lpstr>'261'!Print_Area</vt:lpstr>
      <vt:lpstr>'262263'!Print_Area</vt:lpstr>
      <vt:lpstr>'264265'!Print_Area</vt:lpstr>
      <vt:lpstr>'267'!Print_Area</vt:lpstr>
      <vt:lpstr>'300'!Print_Area</vt:lpstr>
      <vt:lpstr>'301'!Print_Area</vt:lpstr>
      <vt:lpstr>'306'!Print_Area</vt:lpstr>
      <vt:lpstr>'307309'!Print_Area</vt:lpstr>
      <vt:lpstr>'310'!Print_Area</vt:lpstr>
      <vt:lpstr>'311312'!Print_Area</vt:lpstr>
      <vt:lpstr>'313'!Print_Area</vt:lpstr>
      <vt:lpstr>'314'!Print_Area</vt:lpstr>
      <vt:lpstr>'315'!Print_Area</vt:lpstr>
      <vt:lpstr>'316'!Print_Area</vt:lpstr>
      <vt:lpstr>'318320'!Print_Area</vt:lpstr>
      <vt:lpstr>'350351'!Print_Area</vt:lpstr>
      <vt:lpstr>'352353'!Print_Area</vt:lpstr>
      <vt:lpstr>'354'!Print_Area</vt:lpstr>
      <vt:lpstr>'355356'!Print_Area</vt:lpstr>
      <vt:lpstr>'357358'!Print_Area</vt:lpstr>
      <vt:lpstr>'359360'!Print_Area</vt:lpstr>
      <vt:lpstr>'359a360a'!Print_Area</vt:lpstr>
      <vt:lpstr>'359b360b'!Print_Area</vt:lpstr>
      <vt:lpstr>'361362'!Print_Area</vt:lpstr>
      <vt:lpstr>'361a362a'!Print_Area</vt:lpstr>
      <vt:lpstr>'361b362b'!Print_Area</vt:lpstr>
      <vt:lpstr>'363'!Print_Area</vt:lpstr>
      <vt:lpstr>'363a'!Print_Area</vt:lpstr>
      <vt:lpstr>'363b'!Print_Area</vt:lpstr>
      <vt:lpstr>'400'!Print_Area</vt:lpstr>
      <vt:lpstr>'401'!Print_Area</vt:lpstr>
      <vt:lpstr>'402'!Print_Area</vt:lpstr>
      <vt:lpstr>'402a'!Print_Area</vt:lpstr>
      <vt:lpstr>'402b'!Print_Area</vt:lpstr>
      <vt:lpstr>'402c'!Print_Area</vt:lpstr>
      <vt:lpstr>'402d'!Print_Area</vt:lpstr>
      <vt:lpstr>'403404'!Print_Area</vt:lpstr>
      <vt:lpstr>'404a'!Print_Area</vt:lpstr>
      <vt:lpstr>'404b'!Print_Area</vt:lpstr>
      <vt:lpstr>'404c'!Print_Area</vt:lpstr>
      <vt:lpstr>'404d'!Print_Area</vt:lpstr>
      <vt:lpstr>'404k'!Print_Area</vt:lpstr>
      <vt:lpstr>'404l'!Print_Area</vt:lpstr>
      <vt:lpstr>'405'!Print_Area</vt:lpstr>
      <vt:lpstr>'405a'!Print_Area</vt:lpstr>
      <vt:lpstr>'405b'!Print_Area</vt:lpstr>
      <vt:lpstr>'405c'!Print_Area</vt:lpstr>
      <vt:lpstr>'405d'!Print_Area</vt:lpstr>
      <vt:lpstr>'405e'!Print_Area</vt:lpstr>
      <vt:lpstr>'405f'!Print_Area</vt:lpstr>
      <vt:lpstr>'405g'!Print_Area</vt:lpstr>
      <vt:lpstr>'406'!Print_Area</vt:lpstr>
      <vt:lpstr>'406a'!Print_Area</vt:lpstr>
      <vt:lpstr>'407408'!Print_Area</vt:lpstr>
      <vt:lpstr>'408a'!Print_Area</vt:lpstr>
      <vt:lpstr>'408b'!Print_Area</vt:lpstr>
      <vt:lpstr>'408c'!Print_Area</vt:lpstr>
      <vt:lpstr>'408d'!Print_Area</vt:lpstr>
      <vt:lpstr>'408e'!Print_Area</vt:lpstr>
      <vt:lpstr>'408f'!Print_Area</vt:lpstr>
      <vt:lpstr>'412a'!Print_Area</vt:lpstr>
      <vt:lpstr>'412b'!Print_Area</vt:lpstr>
      <vt:lpstr>'412c'!Print_Area</vt:lpstr>
      <vt:lpstr>'412d'!Print_Area</vt:lpstr>
      <vt:lpstr>'412e'!Print_Area</vt:lpstr>
      <vt:lpstr>'Data sheet'!Print_Area</vt:lpstr>
      <vt:lpstr>Instructions!Print_Area</vt:lpstr>
      <vt:lpstr>Schedules!Print_Area</vt:lpstr>
      <vt:lpstr>Verify!Print_Area</vt:lpstr>
      <vt:lpstr>Zindex!Print_Area</vt:lpstr>
      <vt:lpstr>TABLEPM</vt:lpstr>
      <vt:lpstr>VERIFY</vt:lpstr>
      <vt:lpstr>ZINDEX</vt:lpstr>
    </vt:vector>
  </TitlesOfParts>
  <Company>Dept. of Public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Goldfarb, Elena</cp:lastModifiedBy>
  <cp:lastPrinted>2024-03-26T14:02:05Z</cp:lastPrinted>
  <dcterms:created xsi:type="dcterms:W3CDTF">1999-04-15T19:25:10Z</dcterms:created>
  <dcterms:modified xsi:type="dcterms:W3CDTF">2024-04-01T11:37:16Z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