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erdrolaus.sharepoint.com/sites/NYLowIncomePrograms2/Shared Documents/General/Enhanced Energy Affordability Program (EEAP)/EEAP Workbook Templates/Drafts/"/>
    </mc:Choice>
  </mc:AlternateContent>
  <xr:revisionPtr revIDLastSave="77" documentId="8_{8679B4AF-220F-4779-99AF-8450809C0908}" xr6:coauthVersionLast="47" xr6:coauthVersionMax="47" xr10:uidLastSave="{4B7CBB55-72B3-4B1B-B4C4-63A8423339E6}"/>
  <bookViews>
    <workbookView xWindow="28680" yWindow="-7905" windowWidth="29040" windowHeight="15720" activeTab="2" xr2:uid="{C85A909F-7F08-4C96-91AC-C0D588C48F50}"/>
  </bookViews>
  <sheets>
    <sheet name="Target Energy Burden" sheetId="7" r:id="rId1"/>
    <sheet name="Utility Data" sheetId="2" r:id="rId2"/>
    <sheet name="NYSEG" sheetId="13" r:id="rId3"/>
    <sheet name="RGE" sheetId="21" r:id="rId4"/>
  </sheets>
  <definedNames>
    <definedName name="_xlnm.Print_Area" localSheetId="2">NYSEG!$A$1:$U$31</definedName>
    <definedName name="_xlnm.Print_Area" localSheetId="3">RGE!$A$1:$U$31</definedName>
    <definedName name="_xlnm.Print_Area" localSheetId="0">'Target Energy Burden'!$A$29:$L$50</definedName>
    <definedName name="_xlnm.Print_Area" localSheetId="1">'Utility Data'!$A$1:$G$34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2" l="1"/>
  <c r="F77" i="2"/>
  <c r="F76" i="2"/>
  <c r="F75" i="2"/>
  <c r="F14" i="2"/>
  <c r="F13" i="2"/>
  <c r="F12" i="2"/>
  <c r="F11" i="2"/>
  <c r="G24" i="7"/>
  <c r="D13" i="7" s="1"/>
  <c r="D12" i="7" s="1"/>
  <c r="G23" i="7"/>
  <c r="D14" i="7" s="1"/>
  <c r="E13" i="21" l="1"/>
  <c r="E18" i="21"/>
  <c r="E24" i="21" s="1"/>
  <c r="E17" i="21"/>
  <c r="E23" i="21" s="1"/>
  <c r="E16" i="21"/>
  <c r="T13" i="21"/>
  <c r="M30" i="21" s="1"/>
  <c r="T11" i="21"/>
  <c r="L30" i="21" s="1"/>
  <c r="D6" i="21"/>
  <c r="B6" i="21"/>
  <c r="A6" i="21"/>
  <c r="O13" i="21" l="1"/>
  <c r="K27" i="21"/>
  <c r="J27" i="21"/>
  <c r="E10" i="21"/>
  <c r="N10" i="21" s="1"/>
  <c r="E19" i="21"/>
  <c r="E25" i="21" s="1"/>
  <c r="E12" i="21"/>
  <c r="O12" i="21" s="1"/>
  <c r="E11" i="21"/>
  <c r="E22" i="21"/>
  <c r="N16" i="21"/>
  <c r="O24" i="21"/>
  <c r="O18" i="21"/>
  <c r="N23" i="21"/>
  <c r="N17" i="21"/>
  <c r="N22" i="21" l="1"/>
  <c r="O19" i="21"/>
  <c r="N11" i="21"/>
  <c r="N27" i="21" s="1"/>
  <c r="O25" i="21"/>
  <c r="O27" i="21" l="1"/>
  <c r="N25" i="7" l="1"/>
  <c r="N24" i="7"/>
  <c r="F13" i="7"/>
  <c r="F14" i="7" s="1"/>
  <c r="F12" i="7"/>
  <c r="E11" i="7"/>
  <c r="G11" i="7" s="1"/>
  <c r="C11" i="7"/>
  <c r="F6" i="7"/>
  <c r="F7" i="7" s="1"/>
  <c r="F5" i="7"/>
  <c r="E13" i="7" l="1"/>
  <c r="G13" i="7" s="1"/>
  <c r="C13" i="7"/>
  <c r="D18" i="7"/>
  <c r="D6" i="7" s="1"/>
  <c r="C14" i="7" l="1"/>
  <c r="E14" i="7"/>
  <c r="G14" i="7" s="1"/>
  <c r="E12" i="7"/>
  <c r="G12" i="7" s="1"/>
  <c r="C12" i="7"/>
  <c r="D16" i="7"/>
  <c r="D17" i="7"/>
  <c r="D5" i="7" s="1"/>
  <c r="E6" i="7"/>
  <c r="G6" i="7" s="1"/>
  <c r="C6" i="7"/>
  <c r="D3" i="7" l="1"/>
  <c r="D19" i="7"/>
  <c r="C5" i="7"/>
  <c r="E5" i="7"/>
  <c r="G5" i="7" s="1"/>
  <c r="D4" i="7"/>
  <c r="D7" i="7"/>
  <c r="C3" i="7" l="1"/>
  <c r="E3" i="7"/>
  <c r="G3" i="7"/>
  <c r="E7" i="7"/>
  <c r="G7" i="7" s="1"/>
  <c r="C7" i="7"/>
  <c r="C4" i="7"/>
  <c r="E4" i="7"/>
  <c r="G4" i="7" s="1"/>
  <c r="B11" i="21" l="1"/>
  <c r="B11" i="13"/>
  <c r="C11" i="21"/>
  <c r="F10" i="21" s="1"/>
  <c r="H10" i="21" s="1"/>
  <c r="B12" i="21"/>
  <c r="F13" i="21" s="1"/>
  <c r="H13" i="21" s="1"/>
  <c r="C12" i="21"/>
  <c r="F11" i="21" s="1"/>
  <c r="H11" i="21" s="1"/>
  <c r="C12" i="13"/>
  <c r="B12" i="13"/>
  <c r="C11" i="13"/>
  <c r="L11" i="21" l="1"/>
  <c r="G11" i="21"/>
  <c r="M13" i="21"/>
  <c r="G13" i="21"/>
  <c r="L10" i="21"/>
  <c r="G10" i="21"/>
  <c r="F12" i="21"/>
  <c r="H12" i="21" s="1"/>
  <c r="E18" i="13"/>
  <c r="T13" i="13"/>
  <c r="T11" i="13"/>
  <c r="L30" i="13" l="1"/>
  <c r="M30" i="13"/>
  <c r="M12" i="21"/>
  <c r="G12" i="21"/>
  <c r="E12" i="13"/>
  <c r="O12" i="13" s="1"/>
  <c r="E10" i="13"/>
  <c r="N10" i="13" s="1"/>
  <c r="E13" i="13"/>
  <c r="F13" i="13" s="1"/>
  <c r="H13" i="13" s="1"/>
  <c r="E16" i="13" l="1"/>
  <c r="F10" i="13"/>
  <c r="H10" i="13" s="1"/>
  <c r="L10" i="13" s="1"/>
  <c r="E19" i="13"/>
  <c r="O13" i="13"/>
  <c r="E17" i="13"/>
  <c r="E23" i="13" s="1"/>
  <c r="E11" i="13"/>
  <c r="G13" i="13"/>
  <c r="F12" i="13"/>
  <c r="H12" i="13" s="1"/>
  <c r="E22" i="13"/>
  <c r="E24" i="13"/>
  <c r="E25" i="13" l="1"/>
  <c r="G10" i="13"/>
  <c r="F11" i="13"/>
  <c r="H11" i="13" s="1"/>
  <c r="N11" i="13"/>
  <c r="G12" i="13"/>
  <c r="M13" i="13"/>
  <c r="C32" i="7"/>
  <c r="D32" i="7" s="1"/>
  <c r="E32" i="7" s="1"/>
  <c r="C31" i="7"/>
  <c r="C23" i="21" l="1"/>
  <c r="B23" i="13"/>
  <c r="B23" i="21"/>
  <c r="L11" i="13"/>
  <c r="G11" i="13"/>
  <c r="M12" i="13"/>
  <c r="F25" i="21" l="1"/>
  <c r="H25" i="21" s="1"/>
  <c r="F24" i="21" s="1"/>
  <c r="H24" i="21" s="1"/>
  <c r="F23" i="21"/>
  <c r="H23" i="21" s="1"/>
  <c r="F22" i="21"/>
  <c r="H22" i="21" s="1"/>
  <c r="F60" i="2"/>
  <c r="G24" i="21" l="1"/>
  <c r="M24" i="21"/>
  <c r="L23" i="21"/>
  <c r="G23" i="21"/>
  <c r="L22" i="21"/>
  <c r="G22" i="21"/>
  <c r="M25" i="21"/>
  <c r="G25" i="21"/>
  <c r="C25" i="21" s="1"/>
  <c r="D31" i="7"/>
  <c r="E31" i="7" s="1"/>
  <c r="B17" i="21" l="1"/>
  <c r="B17" i="13"/>
  <c r="F19" i="13" s="1"/>
  <c r="C17" i="21"/>
  <c r="C17" i="13"/>
  <c r="C23" i="13"/>
  <c r="F25" i="13"/>
  <c r="F70" i="2"/>
  <c r="F69" i="2"/>
  <c r="F68" i="2"/>
  <c r="F67" i="2"/>
  <c r="F16" i="21" l="1"/>
  <c r="H16" i="21" s="1"/>
  <c r="F17" i="21"/>
  <c r="H17" i="21" s="1"/>
  <c r="F19" i="21"/>
  <c r="H19" i="21" s="1"/>
  <c r="F23" i="13"/>
  <c r="F22" i="13"/>
  <c r="F17" i="13"/>
  <c r="F16" i="13"/>
  <c r="F63" i="2"/>
  <c r="F62" i="2"/>
  <c r="F61" i="2"/>
  <c r="G19" i="21" l="1"/>
  <c r="M19" i="21"/>
  <c r="L17" i="21"/>
  <c r="G17" i="21"/>
  <c r="F18" i="21"/>
  <c r="H18" i="21" s="1"/>
  <c r="G16" i="21"/>
  <c r="L16" i="21"/>
  <c r="L27" i="21" s="1"/>
  <c r="F56" i="2"/>
  <c r="F55" i="2"/>
  <c r="F54" i="2"/>
  <c r="F53" i="2"/>
  <c r="F49" i="2"/>
  <c r="F48" i="2"/>
  <c r="F47" i="2"/>
  <c r="F46" i="2"/>
  <c r="M18" i="21" l="1"/>
  <c r="M27" i="21" s="1"/>
  <c r="G18" i="21"/>
  <c r="C19" i="21"/>
  <c r="L31" i="21"/>
  <c r="S9" i="21"/>
  <c r="J28" i="21"/>
  <c r="J29" i="21" s="1"/>
  <c r="N28" i="21"/>
  <c r="P28" i="21"/>
  <c r="N31" i="21"/>
  <c r="F35" i="2"/>
  <c r="F34" i="2"/>
  <c r="F33" i="2"/>
  <c r="F32" i="2"/>
  <c r="F39" i="2"/>
  <c r="F40" i="2"/>
  <c r="F41" i="2"/>
  <c r="F42" i="2"/>
  <c r="U9" i="21" l="1"/>
  <c r="W9" i="21"/>
  <c r="Y9" i="21"/>
  <c r="Z9" i="21"/>
  <c r="O28" i="21"/>
  <c r="S7" i="21"/>
  <c r="M31" i="21"/>
  <c r="K28" i="21"/>
  <c r="K29" i="21" s="1"/>
  <c r="F21" i="2"/>
  <c r="F20" i="2"/>
  <c r="F19" i="2"/>
  <c r="F18" i="2"/>
  <c r="U7" i="21" l="1"/>
  <c r="W7" i="21"/>
  <c r="Y7" i="21"/>
  <c r="Z7" i="21"/>
  <c r="D6" i="13"/>
  <c r="B6" i="13"/>
  <c r="A6" i="13" l="1"/>
  <c r="H25" i="13"/>
  <c r="F24" i="13" s="1"/>
  <c r="N17" i="13"/>
  <c r="O18" i="13"/>
  <c r="H16" i="13"/>
  <c r="H22" i="13"/>
  <c r="N22" i="13"/>
  <c r="O25" i="13" l="1"/>
  <c r="H23" i="13"/>
  <c r="L23" i="13" s="1"/>
  <c r="M25" i="13"/>
  <c r="N23" i="13"/>
  <c r="G25" i="13"/>
  <c r="L22" i="13"/>
  <c r="G22" i="13"/>
  <c r="O19" i="13"/>
  <c r="N16" i="13"/>
  <c r="O24" i="13"/>
  <c r="O27" i="13" l="1"/>
  <c r="N27" i="13"/>
  <c r="G23" i="13"/>
  <c r="H24" i="13"/>
  <c r="C25" i="13"/>
  <c r="M24" i="13" l="1"/>
  <c r="G24" i="13"/>
  <c r="F25" i="2"/>
  <c r="F28" i="2" l="1"/>
  <c r="F27" i="2"/>
  <c r="F26" i="2"/>
  <c r="H19" i="13" l="1"/>
  <c r="F18" i="13" s="1"/>
  <c r="H17" i="13"/>
  <c r="H18" i="13" l="1"/>
  <c r="G16" i="13"/>
  <c r="L16" i="13"/>
  <c r="L17" i="13"/>
  <c r="G17" i="13"/>
  <c r="M19" i="13"/>
  <c r="G19" i="13"/>
  <c r="C19" i="13" l="1"/>
  <c r="L27" i="13"/>
  <c r="G18" i="13"/>
  <c r="M18" i="13"/>
  <c r="M27" i="13" s="1"/>
  <c r="N28" i="13" l="1"/>
  <c r="P28" i="13"/>
  <c r="O28" i="13"/>
  <c r="S7" i="13"/>
  <c r="T15" i="13" s="1"/>
  <c r="N31" i="13"/>
  <c r="L31" i="13"/>
  <c r="S9" i="13"/>
  <c r="T17" i="13" s="1"/>
  <c r="M31" i="13"/>
  <c r="Y7" i="13" l="1"/>
  <c r="Z7" i="13"/>
  <c r="U7" i="13"/>
  <c r="W7" i="13"/>
  <c r="Z9" i="13"/>
  <c r="W9" i="13"/>
  <c r="U9" i="13"/>
  <c r="Y9" i="13"/>
</calcChain>
</file>

<file path=xl/sharedStrings.xml><?xml version="1.0" encoding="utf-8"?>
<sst xmlns="http://schemas.openxmlformats.org/spreadsheetml/2006/main" count="293" uniqueCount="96">
  <si>
    <t>Annual Income</t>
  </si>
  <si>
    <t>Monthly Income</t>
  </si>
  <si>
    <t>Usage 
(kWh, Th, ccf)</t>
  </si>
  <si>
    <t>Average Monthly Bill* 
(Undiscounted $)</t>
  </si>
  <si>
    <t>Adjusted Bill 
(Grossed up by 10%)</t>
  </si>
  <si>
    <t>Gas</t>
  </si>
  <si>
    <t>Heat</t>
  </si>
  <si>
    <t>Non-Heat</t>
  </si>
  <si>
    <t>Electric</t>
  </si>
  <si>
    <t>Gross Factor</t>
  </si>
  <si>
    <t>NiMo - Utility Low Income Usage and Average Bill</t>
  </si>
  <si>
    <t>NYSEG - Utility Low Income Usage and Average Bill</t>
  </si>
  <si>
    <t>O&amp;R - Utility Low Income Usage and Average Bill</t>
  </si>
  <si>
    <t>RG&amp;E - Utility Low Income Usage and Average Bill</t>
  </si>
  <si>
    <t>KEDLI - Utility Low Income Usage and Average Bill</t>
  </si>
  <si>
    <t>KEDNY - Utility Low Income Usage and Average Bill</t>
  </si>
  <si>
    <t>NFG - Utility Low Income Usage and Average Bill</t>
  </si>
  <si>
    <t>PSEG - Utility Low Income Usage and Average Bill</t>
  </si>
  <si>
    <t>Total Energy Burden Goal</t>
  </si>
  <si>
    <t>Combined Energy Burden</t>
  </si>
  <si>
    <t>Adjusted Energy Burden</t>
  </si>
  <si>
    <t>Factor of Adjustment</t>
  </si>
  <si>
    <t>Program Budget</t>
  </si>
  <si>
    <t>Pct. of Revs.</t>
  </si>
  <si>
    <t>Sales (kWh or Therms)</t>
  </si>
  <si>
    <t>Cost per kWh/ Therm</t>
  </si>
  <si>
    <t>All Customers</t>
  </si>
  <si>
    <t>$/Cust./ month</t>
  </si>
  <si>
    <t>$/Cust./Year</t>
  </si>
  <si>
    <t>Gas Customers</t>
  </si>
  <si>
    <t>Electric Customers</t>
  </si>
  <si>
    <t>elec</t>
  </si>
  <si>
    <t>bill</t>
  </si>
  <si>
    <t>pct</t>
  </si>
  <si>
    <t>target bill</t>
  </si>
  <si>
    <t>discount</t>
  </si>
  <si>
    <t>Cost - Gas</t>
  </si>
  <si>
    <t>Cost - Electric</t>
  </si>
  <si>
    <t>Gas Bills</t>
  </si>
  <si>
    <t>Electric Bills</t>
  </si>
  <si>
    <t>Ele. Target Bill</t>
  </si>
  <si>
    <t>Gas Target Bill</t>
  </si>
  <si>
    <t>gas ht</t>
  </si>
  <si>
    <t>gas</t>
  </si>
  <si>
    <t>gas n/h</t>
  </si>
  <si>
    <t>elec ht</t>
  </si>
  <si>
    <t>elec n/h</t>
  </si>
  <si>
    <t>total cust.</t>
  </si>
  <si>
    <t>Benefit/cust.</t>
  </si>
  <si>
    <t>Discount</t>
  </si>
  <si>
    <t>Benefit/cust./per mo.</t>
  </si>
  <si>
    <t>curr budget</t>
  </si>
  <si>
    <t>budget difference %</t>
  </si>
  <si>
    <t xml:space="preserve">Energy Burden Level for 2025-26 EAP Program Year </t>
  </si>
  <si>
    <t>Min. Discount - 60-80%</t>
  </si>
  <si>
    <t>Min. Discount - 80-100%</t>
  </si>
  <si>
    <t>Elec. Budget Cap (0.5%)</t>
  </si>
  <si>
    <t>Gas Budget Cap (0.5%)</t>
  </si>
  <si>
    <t>60-80% Tier</t>
  </si>
  <si>
    <t>80-100% Tier</t>
  </si>
  <si>
    <t>Net Energy Burden</t>
  </si>
  <si>
    <t>Low Income EEAP Tier</t>
  </si>
  <si>
    <t>Energy Burden Level for 2024-2025 HEAP Season</t>
  </si>
  <si>
    <t>HEAP Pmt.</t>
  </si>
  <si>
    <t>Net E.B.</t>
  </si>
  <si>
    <t>Tier 1</t>
  </si>
  <si>
    <t>heap - heating</t>
  </si>
  <si>
    <t>heap - non-heat</t>
  </si>
  <si>
    <t>Tier 2</t>
  </si>
  <si>
    <t>heap +1</t>
  </si>
  <si>
    <t>Tier 3</t>
  </si>
  <si>
    <t>heap+2</t>
  </si>
  <si>
    <t>Tier 4</t>
  </si>
  <si>
    <t>ug/dv</t>
  </si>
  <si>
    <t>Current - Energy Burden Level for 2024-2025 HEAP Season</t>
  </si>
  <si>
    <t>heap</t>
  </si>
  <si>
    <t>adjusted</t>
  </si>
  <si>
    <t>median (T1, T2)</t>
  </si>
  <si>
    <t>median (T2, T3)</t>
  </si>
  <si>
    <t>median (T3, T4)</t>
  </si>
  <si>
    <t>= T4 - (Curr. T1- Ajd. T1)</t>
  </si>
  <si>
    <t>HEAP Add-ons</t>
  </si>
  <si>
    <t xml:space="preserve">Annual FPL = </t>
  </si>
  <si>
    <t>Vulnerable Person</t>
  </si>
  <si>
    <t xml:space="preserve">Tier 4 = </t>
  </si>
  <si>
    <t>monthly FPL</t>
  </si>
  <si>
    <t>Income Based</t>
  </si>
  <si>
    <t xml:space="preserve">Tier 3 = </t>
  </si>
  <si>
    <t>130% * FPL</t>
  </si>
  <si>
    <t>Average</t>
  </si>
  <si>
    <t>https://aspe.hhs.gov/topics/poverty-economic-mobility/poverty-guidelines</t>
  </si>
  <si>
    <t>Summed</t>
  </si>
  <si>
    <t>To get the tier 2 &amp; 3 # of customers - the “DPS Whitepaper Data” tab in the BCA workbook in the JU sharepoint. Columns P through U have the number of customers DPS expect to enroll in the moderate income tiers. Columns X through AC have the number of low income customers they anticipate.</t>
  </si>
  <si>
    <t>Moderate Income Tier 6/2</t>
  </si>
  <si>
    <t>Moderate Income Tier 7/3</t>
  </si>
  <si>
    <t>Sales Revenues (end-use customers) 2026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</si>
</sst>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&quot;$&quot;#,##0.00000"/>
    <numFmt numFmtId="167" formatCode="0.000"/>
    <numFmt numFmtId="168" formatCode="_(&quot;$&quot;* #,##0_);_(&quot;$&quot;* \(#,##0\);_(&quot;$&quot;* &quot;-&quot;??_);_(@_)"/>
    <numFmt numFmtId="169" formatCode="_([$$-409]* #,##0.00_);_([$$-409]* \(#,##0.00\);_([$$-409]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Helv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7" fontId="9" fillId="0" borderId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27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9" fontId="0" fillId="0" borderId="0" xfId="0" applyNumberFormat="1"/>
    <xf numFmtId="3" fontId="3" fillId="0" borderId="0" xfId="0" applyNumberFormat="1" applyFont="1"/>
    <xf numFmtId="0" fontId="4" fillId="0" borderId="0" xfId="0" applyFont="1"/>
    <xf numFmtId="10" fontId="0" fillId="0" borderId="0" xfId="0" applyNumberFormat="1"/>
    <xf numFmtId="164" fontId="6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6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/>
    </xf>
    <xf numFmtId="0" fontId="0" fillId="2" borderId="11" xfId="0" applyFill="1" applyBorder="1"/>
    <xf numFmtId="0" fontId="0" fillId="2" borderId="3" xfId="0" applyFill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6" xfId="0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0" fontId="2" fillId="2" borderId="1" xfId="0" applyFont="1" applyFill="1" applyBorder="1"/>
    <xf numFmtId="0" fontId="0" fillId="2" borderId="14" xfId="0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0" borderId="11" xfId="0" applyBorder="1"/>
    <xf numFmtId="0" fontId="0" fillId="0" borderId="3" xfId="0" applyBorder="1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/>
    <xf numFmtId="164" fontId="0" fillId="0" borderId="24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2" fillId="0" borderId="1" xfId="0" applyFont="1" applyBorder="1"/>
    <xf numFmtId="164" fontId="0" fillId="0" borderId="13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3" xfId="0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2" fillId="0" borderId="21" xfId="0" applyFont="1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0" fontId="0" fillId="0" borderId="15" xfId="0" applyNumberFormat="1" applyBorder="1" applyAlignment="1">
      <alignment horizontal="center"/>
    </xf>
    <xf numFmtId="10" fontId="0" fillId="0" borderId="18" xfId="0" applyNumberFormat="1" applyBorder="1" applyAlignment="1">
      <alignment horizontal="center"/>
    </xf>
    <xf numFmtId="10" fontId="6" fillId="0" borderId="0" xfId="0" applyNumberFormat="1" applyFont="1"/>
    <xf numFmtId="164" fontId="6" fillId="0" borderId="0" xfId="0" applyNumberFormat="1" applyFont="1" applyAlignment="1">
      <alignment horizontal="center"/>
    </xf>
    <xf numFmtId="165" fontId="6" fillId="0" borderId="0" xfId="0" applyNumberFormat="1" applyFont="1"/>
    <xf numFmtId="3" fontId="6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166" fontId="6" fillId="0" borderId="0" xfId="0" applyNumberFormat="1" applyFont="1"/>
    <xf numFmtId="10" fontId="6" fillId="0" borderId="0" xfId="1" applyNumberFormat="1" applyFont="1" applyFill="1"/>
    <xf numFmtId="44" fontId="6" fillId="0" borderId="0" xfId="4" applyFont="1" applyFill="1" applyAlignment="1">
      <alignment horizontal="right"/>
    </xf>
    <xf numFmtId="10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8" fontId="6" fillId="0" borderId="0" xfId="4" applyNumberFormat="1" applyFont="1"/>
    <xf numFmtId="168" fontId="6" fillId="0" borderId="0" xfId="0" applyNumberFormat="1" applyFont="1"/>
    <xf numFmtId="169" fontId="0" fillId="0" borderId="0" xfId="0" applyNumberFormat="1"/>
    <xf numFmtId="164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8" fontId="0" fillId="0" borderId="0" xfId="0" applyNumberFormat="1"/>
    <xf numFmtId="0" fontId="0" fillId="0" borderId="0" xfId="0" applyAlignment="1">
      <alignment vertical="center" wrapText="1"/>
    </xf>
    <xf numFmtId="164" fontId="10" fillId="0" borderId="0" xfId="0" applyNumberFormat="1" applyFont="1"/>
    <xf numFmtId="3" fontId="4" fillId="0" borderId="0" xfId="0" applyNumberFormat="1" applyFont="1"/>
    <xf numFmtId="0" fontId="2" fillId="0" borderId="0" xfId="0" applyFont="1" applyAlignment="1">
      <alignment vertical="center"/>
    </xf>
    <xf numFmtId="165" fontId="0" fillId="3" borderId="9" xfId="0" applyNumberFormat="1" applyFill="1" applyBorder="1" applyAlignment="1">
      <alignment horizontal="center"/>
    </xf>
    <xf numFmtId="167" fontId="0" fillId="3" borderId="8" xfId="0" applyNumberFormat="1" applyFill="1" applyBorder="1" applyAlignment="1">
      <alignment horizontal="center"/>
    </xf>
    <xf numFmtId="168" fontId="6" fillId="3" borderId="0" xfId="4" applyNumberFormat="1" applyFont="1" applyFill="1"/>
    <xf numFmtId="0" fontId="8" fillId="0" borderId="0" xfId="0" applyFont="1"/>
    <xf numFmtId="164" fontId="0" fillId="0" borderId="9" xfId="0" applyNumberFormat="1" applyBorder="1" applyAlignment="1">
      <alignment horizontal="right"/>
    </xf>
    <xf numFmtId="10" fontId="0" fillId="0" borderId="22" xfId="0" applyNumberFormat="1" applyBorder="1" applyAlignment="1">
      <alignment horizontal="center" vertical="center"/>
    </xf>
    <xf numFmtId="8" fontId="0" fillId="0" borderId="22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5" xfId="0" applyBorder="1"/>
    <xf numFmtId="164" fontId="6" fillId="0" borderId="0" xfId="0" applyNumberFormat="1" applyFont="1" applyAlignment="1">
      <alignment horizontal="center" vertical="center"/>
    </xf>
    <xf numFmtId="3" fontId="6" fillId="3" borderId="0" xfId="0" applyNumberFormat="1" applyFont="1" applyFill="1"/>
    <xf numFmtId="164" fontId="2" fillId="3" borderId="9" xfId="0" applyNumberFormat="1" applyFont="1" applyFill="1" applyBorder="1" applyAlignment="1">
      <alignment horizontal="right"/>
    </xf>
    <xf numFmtId="164" fontId="0" fillId="3" borderId="9" xfId="0" applyNumberFormat="1" applyFill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0" fontId="0" fillId="3" borderId="9" xfId="0" applyFill="1" applyBorder="1"/>
    <xf numFmtId="6" fontId="0" fillId="3" borderId="9" xfId="0" applyNumberFormat="1" applyFill="1" applyBorder="1"/>
    <xf numFmtId="8" fontId="0" fillId="3" borderId="9" xfId="0" applyNumberFormat="1" applyFill="1" applyBorder="1"/>
    <xf numFmtId="0" fontId="12" fillId="0" borderId="0" xfId="0" applyFont="1" applyAlignment="1">
      <alignment vertical="center"/>
    </xf>
    <xf numFmtId="0" fontId="11" fillId="0" borderId="0" xfId="5"/>
    <xf numFmtId="9" fontId="2" fillId="0" borderId="0" xfId="0" applyNumberFormat="1" applyFont="1" applyAlignment="1">
      <alignment horizontal="center"/>
    </xf>
    <xf numFmtId="0" fontId="13" fillId="4" borderId="16" xfId="0" applyFont="1" applyFill="1" applyBorder="1" applyAlignment="1">
      <alignment horizontal="center"/>
    </xf>
    <xf numFmtId="8" fontId="13" fillId="4" borderId="24" xfId="0" applyNumberFormat="1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8" fontId="13" fillId="4" borderId="13" xfId="0" applyNumberFormat="1" applyFont="1" applyFill="1" applyBorder="1" applyAlignment="1">
      <alignment horizontal="center"/>
    </xf>
    <xf numFmtId="0" fontId="13" fillId="4" borderId="23" xfId="0" applyFont="1" applyFill="1" applyBorder="1" applyAlignment="1">
      <alignment horizontal="center"/>
    </xf>
    <xf numFmtId="8" fontId="13" fillId="4" borderId="1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1" fillId="0" borderId="0" xfId="5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8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6" fillId="0" borderId="0" xfId="4" applyNumberFormat="1" applyFont="1" applyFill="1" applyAlignment="1">
      <alignment horizontal="right"/>
    </xf>
  </cellXfs>
  <cellStyles count="6">
    <cellStyle name="Currency" xfId="4" builtinId="4"/>
    <cellStyle name="Hyperlink" xfId="5" builtinId="8"/>
    <cellStyle name="Normal" xfId="0" builtinId="0"/>
    <cellStyle name="Normal 2" xfId="2" xr:uid="{00000000-0005-0000-0000-000003000000}"/>
    <cellStyle name="Percent" xfId="1" builtinId="5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16</xdr:col>
      <xdr:colOff>293375</xdr:colOff>
      <xdr:row>76</xdr:row>
      <xdr:rowOff>84809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37BF3D-0D1B-EF32-E18F-5A4B8869D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239000"/>
          <a:ext cx="15200000" cy="73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pe.hhs.gov/topics/poverty-economic-mobility/poverty-guidelin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0"/>
  <sheetViews>
    <sheetView topLeftCell="A4" zoomScaleNormal="100" workbookViewId="0">
      <selection activeCell="E31" sqref="E31"/>
    </sheetView>
  </sheetViews>
  <sheetFormatPr defaultRowHeight="15" x14ac:dyDescent="0.25"/>
  <cols>
    <col min="1" max="1" width="26.7109375" customWidth="1"/>
    <col min="2" max="2" width="22.5703125" style="4" customWidth="1"/>
    <col min="3" max="3" width="16" customWidth="1"/>
    <col min="4" max="4" width="14" customWidth="1"/>
    <col min="5" max="5" width="19.85546875" customWidth="1"/>
    <col min="6" max="6" width="11.42578125" customWidth="1"/>
    <col min="7" max="7" width="10.7109375" customWidth="1"/>
    <col min="8" max="8" width="9.85546875" bestFit="1" customWidth="1"/>
    <col min="11" max="11" width="10.5703125" customWidth="1"/>
    <col min="12" max="12" width="14.5703125" customWidth="1"/>
    <col min="13" max="13" width="15.140625" customWidth="1"/>
    <col min="14" max="16" width="11.28515625" customWidth="1"/>
  </cols>
  <sheetData>
    <row r="1" spans="1:14" x14ac:dyDescent="0.25">
      <c r="B1"/>
      <c r="C1" s="109" t="s">
        <v>62</v>
      </c>
      <c r="D1" s="109"/>
      <c r="E1" s="109"/>
      <c r="F1" s="109"/>
      <c r="G1" s="109"/>
      <c r="K1" s="5"/>
      <c r="L1" s="5"/>
      <c r="M1" s="5"/>
      <c r="N1" s="5"/>
    </row>
    <row r="2" spans="1:14" x14ac:dyDescent="0.25">
      <c r="B2" s="1"/>
      <c r="C2" s="6" t="s">
        <v>0</v>
      </c>
      <c r="D2" s="19" t="s">
        <v>1</v>
      </c>
      <c r="E2" s="7">
        <v>0.06</v>
      </c>
      <c r="F2" s="19" t="s">
        <v>63</v>
      </c>
      <c r="G2" s="19" t="s">
        <v>64</v>
      </c>
      <c r="M2" s="1"/>
      <c r="N2" s="6"/>
    </row>
    <row r="3" spans="1:14" x14ac:dyDescent="0.25">
      <c r="A3" t="s">
        <v>65</v>
      </c>
      <c r="B3" t="s">
        <v>66</v>
      </c>
      <c r="C3" s="17">
        <f>D3*12</f>
        <v>47751.75</v>
      </c>
      <c r="D3" s="15">
        <f>D16</f>
        <v>3979.3125</v>
      </c>
      <c r="E3" s="15">
        <f>D3*$E$2</f>
        <v>238.75874999999999</v>
      </c>
      <c r="F3" s="93">
        <v>400</v>
      </c>
      <c r="G3" s="15">
        <f>E3+(F3/12)</f>
        <v>272.09208333333333</v>
      </c>
      <c r="H3" s="2"/>
      <c r="I3" s="2"/>
      <c r="N3" s="17"/>
    </row>
    <row r="4" spans="1:14" x14ac:dyDescent="0.25">
      <c r="A4" t="s">
        <v>65</v>
      </c>
      <c r="B4" t="s">
        <v>67</v>
      </c>
      <c r="C4" s="17">
        <f>D4*12</f>
        <v>47751.75</v>
      </c>
      <c r="D4" s="15">
        <f>D16</f>
        <v>3979.3125</v>
      </c>
      <c r="E4" s="15">
        <f>D4*$E$2</f>
        <v>238.75874999999999</v>
      </c>
      <c r="F4" s="94">
        <v>50</v>
      </c>
      <c r="G4" s="15">
        <f>E4+(F4/12)</f>
        <v>242.92541666666665</v>
      </c>
      <c r="I4" s="2"/>
      <c r="N4" s="17"/>
    </row>
    <row r="5" spans="1:14" x14ac:dyDescent="0.25">
      <c r="A5" t="s">
        <v>68</v>
      </c>
      <c r="B5" t="s">
        <v>69</v>
      </c>
      <c r="C5" s="17">
        <f t="shared" ref="C5:C7" si="0">D5*12</f>
        <v>34247.25</v>
      </c>
      <c r="D5" s="15">
        <f>D17</f>
        <v>2853.9375</v>
      </c>
      <c r="E5" s="15">
        <f>D5*$E$2</f>
        <v>171.23624999999998</v>
      </c>
      <c r="F5" s="15">
        <f>F3+N24</f>
        <v>448</v>
      </c>
      <c r="G5" s="15">
        <f>E5+(F5/12)</f>
        <v>208.56958333333333</v>
      </c>
      <c r="N5" s="17"/>
    </row>
    <row r="6" spans="1:14" x14ac:dyDescent="0.25">
      <c r="A6" t="s">
        <v>70</v>
      </c>
      <c r="B6" t="s">
        <v>71</v>
      </c>
      <c r="C6" s="17">
        <f t="shared" si="0"/>
        <v>24322.5</v>
      </c>
      <c r="D6" s="15">
        <f>D18</f>
        <v>2026.875</v>
      </c>
      <c r="E6" s="15">
        <f>D6*$E$2</f>
        <v>121.6125</v>
      </c>
      <c r="F6" s="15">
        <f>F3+N25</f>
        <v>496</v>
      </c>
      <c r="G6" s="15">
        <f>E6+(F6/12)</f>
        <v>162.94583333333333</v>
      </c>
      <c r="N6" s="17"/>
    </row>
    <row r="7" spans="1:14" x14ac:dyDescent="0.25">
      <c r="A7" t="s">
        <v>72</v>
      </c>
      <c r="B7" t="s">
        <v>73</v>
      </c>
      <c r="C7" s="17">
        <f t="shared" si="0"/>
        <v>14397.75</v>
      </c>
      <c r="D7" s="15">
        <f>D19</f>
        <v>1199.8125</v>
      </c>
      <c r="E7" s="15">
        <f>D7*$E$2</f>
        <v>71.988749999999996</v>
      </c>
      <c r="F7" s="15">
        <f>(J7*12)+F6</f>
        <v>1144</v>
      </c>
      <c r="G7" s="15">
        <f>E7+(F7/12)</f>
        <v>167.32208333333332</v>
      </c>
      <c r="J7" s="96">
        <v>54</v>
      </c>
      <c r="N7" s="17"/>
    </row>
    <row r="8" spans="1:14" x14ac:dyDescent="0.25">
      <c r="B8"/>
      <c r="C8" s="4"/>
      <c r="N8" s="17"/>
    </row>
    <row r="9" spans="1:14" x14ac:dyDescent="0.25">
      <c r="B9"/>
      <c r="C9" s="109" t="s">
        <v>74</v>
      </c>
      <c r="D9" s="109"/>
      <c r="E9" s="109"/>
      <c r="F9" s="109"/>
      <c r="G9" s="109"/>
    </row>
    <row r="10" spans="1:14" x14ac:dyDescent="0.25">
      <c r="B10" s="1"/>
      <c r="C10" s="6" t="s">
        <v>0</v>
      </c>
      <c r="D10" s="19" t="s">
        <v>1</v>
      </c>
      <c r="E10" s="7">
        <v>0.06</v>
      </c>
      <c r="F10" s="19" t="s">
        <v>63</v>
      </c>
      <c r="G10" s="19" t="s">
        <v>64</v>
      </c>
    </row>
    <row r="11" spans="1:14" x14ac:dyDescent="0.25">
      <c r="A11" t="s">
        <v>65</v>
      </c>
      <c r="B11" t="s">
        <v>75</v>
      </c>
      <c r="C11" s="17">
        <f>D11*12</f>
        <v>54504</v>
      </c>
      <c r="D11" s="92">
        <v>4542</v>
      </c>
      <c r="E11" s="15">
        <f>D11*$E$2</f>
        <v>272.52</v>
      </c>
      <c r="F11" s="93">
        <v>400</v>
      </c>
      <c r="G11" s="15">
        <f>E11+(F11/12)</f>
        <v>305.8533333333333</v>
      </c>
    </row>
    <row r="12" spans="1:14" x14ac:dyDescent="0.25">
      <c r="A12" t="s">
        <v>68</v>
      </c>
      <c r="B12" t="s">
        <v>69</v>
      </c>
      <c r="C12" s="17">
        <f>D12*12</f>
        <v>40999.5</v>
      </c>
      <c r="D12" s="15">
        <f>MEDIAN(D11,D13)</f>
        <v>3416.625</v>
      </c>
      <c r="E12" s="15">
        <f>D12*$E$2</f>
        <v>204.9975</v>
      </c>
      <c r="F12" s="15">
        <f>F11+N24</f>
        <v>448</v>
      </c>
      <c r="G12" s="15">
        <f>E12+(F12/12)</f>
        <v>242.33083333333335</v>
      </c>
    </row>
    <row r="13" spans="1:14" x14ac:dyDescent="0.25">
      <c r="A13" t="s">
        <v>70</v>
      </c>
      <c r="B13" t="s">
        <v>71</v>
      </c>
      <c r="C13" s="17">
        <f t="shared" ref="C13:C14" si="1">D13*12</f>
        <v>27495</v>
      </c>
      <c r="D13" s="44">
        <f>G24</f>
        <v>2291.25</v>
      </c>
      <c r="E13" s="15">
        <f>D13*$E$2</f>
        <v>137.47499999999999</v>
      </c>
      <c r="F13" s="15">
        <f>F11+N25</f>
        <v>496</v>
      </c>
      <c r="G13" s="15">
        <f>E13+(F13/12)</f>
        <v>178.80833333333334</v>
      </c>
    </row>
    <row r="14" spans="1:14" x14ac:dyDescent="0.25">
      <c r="A14" t="s">
        <v>72</v>
      </c>
      <c r="B14" t="s">
        <v>73</v>
      </c>
      <c r="C14" s="17">
        <f t="shared" si="1"/>
        <v>21150</v>
      </c>
      <c r="D14" s="44">
        <f>G23</f>
        <v>1762.5</v>
      </c>
      <c r="E14" s="15">
        <f>D14*$E$2</f>
        <v>105.75</v>
      </c>
      <c r="F14" s="15">
        <f>(J14*12)+F13</f>
        <v>1144</v>
      </c>
      <c r="G14" s="15">
        <f>E14+(F14/12)</f>
        <v>201.08333333333331</v>
      </c>
      <c r="J14" s="96">
        <v>54</v>
      </c>
    </row>
    <row r="15" spans="1:14" x14ac:dyDescent="0.25">
      <c r="B15"/>
      <c r="C15" s="4"/>
      <c r="D15" s="13"/>
    </row>
    <row r="16" spans="1:14" x14ac:dyDescent="0.25">
      <c r="A16" t="s">
        <v>65</v>
      </c>
      <c r="B16" t="s">
        <v>76</v>
      </c>
      <c r="C16" s="4" t="s">
        <v>77</v>
      </c>
      <c r="D16" s="12">
        <f>MEDIAN(D11,D12)</f>
        <v>3979.3125</v>
      </c>
    </row>
    <row r="17" spans="1:16" x14ac:dyDescent="0.25">
      <c r="A17" t="s">
        <v>68</v>
      </c>
      <c r="B17" t="s">
        <v>76</v>
      </c>
      <c r="C17" s="4" t="s">
        <v>78</v>
      </c>
      <c r="D17" s="12">
        <f>MEDIAN(D12,D13)</f>
        <v>2853.9375</v>
      </c>
    </row>
    <row r="18" spans="1:16" x14ac:dyDescent="0.25">
      <c r="A18" t="s">
        <v>70</v>
      </c>
      <c r="B18" t="s">
        <v>76</v>
      </c>
      <c r="C18" s="4" t="s">
        <v>79</v>
      </c>
      <c r="D18" s="12">
        <f>MEDIAN(D13,D14)</f>
        <v>2026.875</v>
      </c>
    </row>
    <row r="19" spans="1:16" x14ac:dyDescent="0.25">
      <c r="A19" t="s">
        <v>72</v>
      </c>
      <c r="B19" t="s">
        <v>76</v>
      </c>
      <c r="C19" s="18" t="s">
        <v>80</v>
      </c>
      <c r="D19" s="12">
        <f>D14-(D11-D16)</f>
        <v>1199.8125</v>
      </c>
    </row>
    <row r="20" spans="1:16" x14ac:dyDescent="0.25">
      <c r="B20"/>
      <c r="C20" s="4"/>
      <c r="D20" s="13"/>
    </row>
    <row r="21" spans="1:16" x14ac:dyDescent="0.25">
      <c r="B21"/>
      <c r="C21" s="4"/>
      <c r="L21" s="110" t="s">
        <v>81</v>
      </c>
      <c r="M21" s="110"/>
      <c r="N21" s="110"/>
    </row>
    <row r="22" spans="1:16" x14ac:dyDescent="0.25">
      <c r="B22"/>
      <c r="C22" s="4"/>
      <c r="E22" s="95"/>
      <c r="F22" t="s">
        <v>82</v>
      </c>
      <c r="G22" s="96">
        <v>21150</v>
      </c>
      <c r="L22" s="107" t="s">
        <v>83</v>
      </c>
      <c r="M22" s="107"/>
      <c r="N22" s="97">
        <v>35</v>
      </c>
    </row>
    <row r="23" spans="1:16" x14ac:dyDescent="0.25">
      <c r="B23"/>
      <c r="C23" s="4"/>
      <c r="E23" t="s">
        <v>84</v>
      </c>
      <c r="F23" t="s">
        <v>85</v>
      </c>
      <c r="G23" s="74">
        <f>G22/12</f>
        <v>1762.5</v>
      </c>
      <c r="K23" s="89"/>
      <c r="L23" s="111" t="s">
        <v>86</v>
      </c>
      <c r="M23" s="111"/>
      <c r="N23" s="97">
        <v>61</v>
      </c>
    </row>
    <row r="24" spans="1:16" x14ac:dyDescent="0.25">
      <c r="B24"/>
      <c r="C24" s="4"/>
      <c r="E24" t="s">
        <v>87</v>
      </c>
      <c r="F24" t="s">
        <v>88</v>
      </c>
      <c r="G24" s="74">
        <f>G23*1.3</f>
        <v>2291.25</v>
      </c>
      <c r="K24" t="s">
        <v>68</v>
      </c>
      <c r="L24" s="107" t="s">
        <v>89</v>
      </c>
      <c r="M24" s="107"/>
      <c r="N24" s="74">
        <f>(N22+N23)/2</f>
        <v>48</v>
      </c>
    </row>
    <row r="25" spans="1:16" x14ac:dyDescent="0.25">
      <c r="B25"/>
      <c r="C25" s="4"/>
      <c r="F25" s="108" t="s">
        <v>90</v>
      </c>
      <c r="G25" s="107"/>
      <c r="H25" s="107"/>
      <c r="I25" s="107"/>
      <c r="J25" s="73"/>
      <c r="K25" t="s">
        <v>70</v>
      </c>
      <c r="L25" s="107" t="s">
        <v>91</v>
      </c>
      <c r="M25" s="107"/>
      <c r="N25" s="74">
        <f>N22+N23</f>
        <v>96</v>
      </c>
    </row>
    <row r="29" spans="1:16" x14ac:dyDescent="0.25">
      <c r="A29" s="5"/>
      <c r="B29" s="109" t="s">
        <v>53</v>
      </c>
      <c r="C29" s="109"/>
      <c r="D29" s="109"/>
      <c r="E29" s="109"/>
      <c r="I29" s="5"/>
      <c r="J29" s="5"/>
      <c r="K29" s="5"/>
      <c r="L29" s="5"/>
      <c r="M29" s="5"/>
      <c r="N29" s="5"/>
      <c r="O29" s="5"/>
      <c r="P29" s="5"/>
    </row>
    <row r="30" spans="1:16" x14ac:dyDescent="0.25">
      <c r="A30" s="5"/>
      <c r="B30" s="6" t="s">
        <v>0</v>
      </c>
      <c r="C30" s="19" t="s">
        <v>1</v>
      </c>
      <c r="D30" s="7">
        <v>0.06</v>
      </c>
      <c r="E30" s="19" t="s">
        <v>60</v>
      </c>
      <c r="K30" s="1"/>
      <c r="L30" s="6"/>
      <c r="M30" s="19"/>
      <c r="N30" s="7"/>
      <c r="O30" s="19"/>
      <c r="P30" s="19"/>
    </row>
    <row r="31" spans="1:16" x14ac:dyDescent="0.25">
      <c r="A31" s="5" t="s">
        <v>93</v>
      </c>
      <c r="B31" s="79">
        <v>60073.999999999993</v>
      </c>
      <c r="C31" s="83">
        <f>B31/12</f>
        <v>5006.1666666666661</v>
      </c>
      <c r="D31" s="83">
        <f>C31*$D$30</f>
        <v>300.36999999999995</v>
      </c>
      <c r="E31" s="83">
        <f>D31</f>
        <v>300.36999999999995</v>
      </c>
      <c r="L31" s="17"/>
      <c r="M31" s="15"/>
      <c r="N31" s="15"/>
      <c r="O31" s="15"/>
      <c r="P31" s="15"/>
    </row>
    <row r="32" spans="1:16" x14ac:dyDescent="0.25">
      <c r="A32" s="5" t="s">
        <v>94</v>
      </c>
      <c r="B32" s="79">
        <v>77238</v>
      </c>
      <c r="C32" s="83">
        <f>B32/12</f>
        <v>6436.5</v>
      </c>
      <c r="D32" s="83">
        <f>C32*$D$30</f>
        <v>386.19</v>
      </c>
      <c r="E32" s="83">
        <f>D32</f>
        <v>386.19</v>
      </c>
      <c r="L32" s="17"/>
      <c r="M32" s="15"/>
      <c r="N32" s="15"/>
      <c r="O32" s="15"/>
      <c r="P32" s="15"/>
    </row>
    <row r="33" spans="1:19" x14ac:dyDescent="0.25">
      <c r="A33" s="99"/>
      <c r="L33" s="17"/>
      <c r="M33" s="15"/>
      <c r="N33" s="15"/>
      <c r="O33" s="15"/>
      <c r="P33" s="15"/>
      <c r="S33" s="16"/>
    </row>
    <row r="34" spans="1:19" x14ac:dyDescent="0.25">
      <c r="B34" s="100"/>
      <c r="C34" s="100"/>
      <c r="D34" s="100"/>
      <c r="E34" s="100"/>
    </row>
    <row r="35" spans="1:19" x14ac:dyDescent="0.25">
      <c r="B35" s="100"/>
      <c r="C35" s="19"/>
      <c r="D35" s="7"/>
      <c r="E35" s="19"/>
    </row>
    <row r="36" spans="1:19" x14ac:dyDescent="0.25">
      <c r="B36" s="17"/>
      <c r="C36" s="69"/>
      <c r="D36" s="15"/>
      <c r="E36" s="15"/>
      <c r="M36" s="2"/>
    </row>
    <row r="37" spans="1:19" x14ac:dyDescent="0.25">
      <c r="B37" s="17"/>
      <c r="C37" s="15"/>
      <c r="D37" s="15"/>
      <c r="E37" s="15"/>
    </row>
    <row r="38" spans="1:19" x14ac:dyDescent="0.25">
      <c r="B38" s="17"/>
      <c r="C38" s="44"/>
      <c r="D38" s="15"/>
      <c r="E38" s="15"/>
    </row>
    <row r="39" spans="1:19" x14ac:dyDescent="0.25">
      <c r="B39" s="17"/>
      <c r="C39" s="44"/>
      <c r="D39" s="15"/>
      <c r="E39" s="15"/>
      <c r="H39" s="16"/>
    </row>
    <row r="40" spans="1:19" x14ac:dyDescent="0.25">
      <c r="C40" s="13"/>
    </row>
    <row r="41" spans="1:19" x14ac:dyDescent="0.25">
      <c r="C41" s="12"/>
    </row>
    <row r="42" spans="1:19" x14ac:dyDescent="0.25">
      <c r="C42" s="12"/>
    </row>
    <row r="43" spans="1:19" x14ac:dyDescent="0.25">
      <c r="C43" s="12"/>
    </row>
    <row r="44" spans="1:19" x14ac:dyDescent="0.25">
      <c r="B44" s="18"/>
      <c r="C44" s="12"/>
    </row>
    <row r="45" spans="1:19" x14ac:dyDescent="0.25">
      <c r="C45" s="13"/>
    </row>
    <row r="46" spans="1:19" x14ac:dyDescent="0.25">
      <c r="J46" s="110"/>
      <c r="K46" s="110"/>
      <c r="L46" s="110"/>
    </row>
    <row r="47" spans="1:19" x14ac:dyDescent="0.25">
      <c r="E47" s="16"/>
      <c r="J47" s="107"/>
      <c r="K47" s="107"/>
      <c r="L47" s="74"/>
      <c r="N47" s="110"/>
      <c r="O47" s="110"/>
    </row>
    <row r="48" spans="1:19" x14ac:dyDescent="0.25">
      <c r="E48" s="74"/>
      <c r="J48" s="107"/>
      <c r="K48" s="107"/>
      <c r="L48" s="74"/>
      <c r="O48" s="2"/>
    </row>
    <row r="49" spans="5:12" x14ac:dyDescent="0.25">
      <c r="E49" s="74"/>
      <c r="J49" s="107"/>
      <c r="K49" s="107"/>
      <c r="L49" s="74"/>
    </row>
    <row r="50" spans="5:12" x14ac:dyDescent="0.25">
      <c r="E50" s="107"/>
      <c r="F50" s="107"/>
      <c r="G50" s="107"/>
      <c r="H50" s="73"/>
      <c r="J50" s="107"/>
      <c r="K50" s="107"/>
      <c r="L50" s="74"/>
    </row>
  </sheetData>
  <mergeCells count="16">
    <mergeCell ref="N47:O47"/>
    <mergeCell ref="B29:E29"/>
    <mergeCell ref="E50:G50"/>
    <mergeCell ref="J47:K47"/>
    <mergeCell ref="J48:K48"/>
    <mergeCell ref="J46:L46"/>
    <mergeCell ref="J49:K49"/>
    <mergeCell ref="J50:K50"/>
    <mergeCell ref="L24:M24"/>
    <mergeCell ref="F25:I25"/>
    <mergeCell ref="L25:M25"/>
    <mergeCell ref="C1:G1"/>
    <mergeCell ref="C9:G9"/>
    <mergeCell ref="L21:N21"/>
    <mergeCell ref="L22:M22"/>
    <mergeCell ref="L23:M23"/>
  </mergeCells>
  <hyperlinks>
    <hyperlink ref="F25" r:id="rId1" xr:uid="{D3443E49-C456-432E-B280-6D28336F434F}"/>
  </hyperlinks>
  <pageMargins left="0.7" right="0.7" top="0.75" bottom="0.75" header="0.3" footer="0.3"/>
  <pageSetup paperSize="5" scale="96" orientation="landscape" r:id="rId2"/>
  <headerFooter>
    <oddHeader>&amp;CConsolidated Edison Company of New York, Inc.</oddHeader>
    <oddFooter>&amp;C_x000D_&amp;1#&amp;"Calibri"&amp;12&amp;K008000 Internal Use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78"/>
  <sheetViews>
    <sheetView topLeftCell="A8" zoomScaleNormal="100" workbookViewId="0">
      <selection activeCell="F11" sqref="F11"/>
    </sheetView>
  </sheetViews>
  <sheetFormatPr defaultRowHeight="15" x14ac:dyDescent="0.25"/>
  <cols>
    <col min="2" max="2" width="11.28515625" customWidth="1"/>
    <col min="3" max="3" width="12.42578125" customWidth="1"/>
    <col min="4" max="4" width="14.85546875" customWidth="1"/>
    <col min="5" max="5" width="25.5703125" customWidth="1"/>
    <col min="6" max="6" width="30.5703125" bestFit="1" customWidth="1"/>
    <col min="7" max="7" width="15" customWidth="1"/>
    <col min="8" max="8" width="12.42578125" customWidth="1"/>
    <col min="9" max="9" width="9.5703125" customWidth="1"/>
    <col min="10" max="10" width="10.42578125" customWidth="1"/>
    <col min="11" max="11" width="13.7109375" customWidth="1"/>
    <col min="12" max="12" width="11.28515625" customWidth="1"/>
    <col min="13" max="13" width="9.85546875" customWidth="1"/>
    <col min="14" max="14" width="12.7109375" customWidth="1"/>
  </cols>
  <sheetData>
    <row r="1" spans="2:8" hidden="1" x14ac:dyDescent="0.25"/>
    <row r="2" spans="2:8" ht="19.5" hidden="1" thickBot="1" x14ac:dyDescent="0.35">
      <c r="B2" s="112"/>
      <c r="C2" s="113"/>
      <c r="D2" s="113"/>
      <c r="E2" s="113"/>
      <c r="F2" s="114"/>
    </row>
    <row r="3" spans="2:8" ht="15.75" hidden="1" thickBot="1" x14ac:dyDescent="0.3">
      <c r="B3" s="20"/>
      <c r="C3" s="21"/>
      <c r="D3" s="22"/>
      <c r="E3" s="34"/>
      <c r="F3" s="23"/>
    </row>
    <row r="4" spans="2:8" ht="15.75" hidden="1" thickBot="1" x14ac:dyDescent="0.3">
      <c r="B4" s="115"/>
      <c r="C4" s="24"/>
      <c r="D4" s="25"/>
      <c r="E4" s="37"/>
      <c r="F4" s="26"/>
      <c r="H4" s="8">
        <v>1.1000000000000001</v>
      </c>
    </row>
    <row r="5" spans="2:8" ht="15.75" hidden="1" thickBot="1" x14ac:dyDescent="0.3">
      <c r="B5" s="116"/>
      <c r="C5" s="27"/>
      <c r="D5" s="28"/>
      <c r="E5" s="40"/>
      <c r="F5" s="29"/>
    </row>
    <row r="6" spans="2:8" ht="15.75" hidden="1" thickBot="1" x14ac:dyDescent="0.3">
      <c r="B6" s="115"/>
      <c r="C6" s="27"/>
      <c r="D6" s="30"/>
      <c r="E6" s="38"/>
      <c r="F6" s="29"/>
    </row>
    <row r="7" spans="2:8" ht="15.75" hidden="1" thickBot="1" x14ac:dyDescent="0.3">
      <c r="B7" s="116"/>
      <c r="C7" s="27"/>
      <c r="D7" s="28"/>
      <c r="E7" s="40"/>
      <c r="F7" s="29"/>
    </row>
    <row r="8" spans="2:8" ht="15.75" thickBot="1" x14ac:dyDescent="0.3"/>
    <row r="9" spans="2:8" ht="19.5" thickBot="1" x14ac:dyDescent="0.35">
      <c r="B9" s="119" t="s">
        <v>11</v>
      </c>
      <c r="C9" s="120"/>
      <c r="D9" s="120"/>
      <c r="E9" s="120"/>
      <c r="F9" s="121"/>
      <c r="G9" t="s">
        <v>9</v>
      </c>
    </row>
    <row r="10" spans="2:8" ht="30.75" thickBot="1" x14ac:dyDescent="0.3">
      <c r="B10" s="31"/>
      <c r="C10" s="32"/>
      <c r="D10" s="33" t="s">
        <v>2</v>
      </c>
      <c r="E10" s="34" t="s">
        <v>3</v>
      </c>
      <c r="F10" s="35" t="s">
        <v>4</v>
      </c>
      <c r="G10" s="8">
        <v>1.1000000000000001</v>
      </c>
    </row>
    <row r="11" spans="2:8" ht="15.75" thickBot="1" x14ac:dyDescent="0.3">
      <c r="B11" s="117" t="s">
        <v>5</v>
      </c>
      <c r="C11" s="36" t="s">
        <v>6</v>
      </c>
      <c r="D11" s="101">
        <v>74</v>
      </c>
      <c r="E11" s="102">
        <v>100.1</v>
      </c>
      <c r="F11" s="38">
        <f>E11*$H$4</f>
        <v>110.11</v>
      </c>
      <c r="G11" s="8"/>
    </row>
    <row r="12" spans="2:8" ht="15.75" thickBot="1" x14ac:dyDescent="0.3">
      <c r="B12" s="118"/>
      <c r="C12" s="39" t="s">
        <v>7</v>
      </c>
      <c r="D12" s="103">
        <v>27</v>
      </c>
      <c r="E12" s="104">
        <v>49.72</v>
      </c>
      <c r="F12" s="40">
        <f>E12*$H$4</f>
        <v>54.692</v>
      </c>
    </row>
    <row r="13" spans="2:8" ht="15.75" thickBot="1" x14ac:dyDescent="0.3">
      <c r="B13" s="117" t="s">
        <v>8</v>
      </c>
      <c r="C13" s="39" t="s">
        <v>6</v>
      </c>
      <c r="D13" s="105">
        <v>999</v>
      </c>
      <c r="E13" s="106">
        <v>214.69</v>
      </c>
      <c r="F13" s="40">
        <f>E13*$H$4</f>
        <v>236.15900000000002</v>
      </c>
    </row>
    <row r="14" spans="2:8" ht="15.75" thickBot="1" x14ac:dyDescent="0.3">
      <c r="B14" s="118"/>
      <c r="C14" s="39" t="s">
        <v>7</v>
      </c>
      <c r="D14" s="103">
        <v>685</v>
      </c>
      <c r="E14" s="104">
        <v>153.38</v>
      </c>
      <c r="F14" s="40">
        <f>E14*$H$4</f>
        <v>168.71800000000002</v>
      </c>
    </row>
    <row r="16" spans="2:8" ht="19.5" hidden="1" thickBot="1" x14ac:dyDescent="0.35">
      <c r="B16" s="119" t="s">
        <v>10</v>
      </c>
      <c r="C16" s="120"/>
      <c r="D16" s="120"/>
      <c r="E16" s="120"/>
      <c r="F16" s="121"/>
    </row>
    <row r="17" spans="2:6" ht="30.75" hidden="1" thickBot="1" x14ac:dyDescent="0.3">
      <c r="B17" s="31"/>
      <c r="C17" s="32"/>
      <c r="D17" s="33" t="s">
        <v>2</v>
      </c>
      <c r="E17" s="34" t="s">
        <v>3</v>
      </c>
      <c r="F17" s="35" t="s">
        <v>4</v>
      </c>
    </row>
    <row r="18" spans="2:6" ht="15.75" hidden="1" thickBot="1" x14ac:dyDescent="0.3">
      <c r="B18" s="117" t="s">
        <v>5</v>
      </c>
      <c r="C18" s="36" t="s">
        <v>6</v>
      </c>
      <c r="D18" s="41">
        <v>89</v>
      </c>
      <c r="E18" s="37">
        <v>78.44</v>
      </c>
      <c r="F18" s="38">
        <f>E18*$G$10</f>
        <v>86.284000000000006</v>
      </c>
    </row>
    <row r="19" spans="2:6" ht="15.75" hidden="1" thickBot="1" x14ac:dyDescent="0.3">
      <c r="B19" s="118"/>
      <c r="C19" s="39" t="s">
        <v>7</v>
      </c>
      <c r="D19" s="42">
        <v>17</v>
      </c>
      <c r="E19" s="40">
        <v>34.72</v>
      </c>
      <c r="F19" s="40">
        <f>E19*$G$10</f>
        <v>38.192</v>
      </c>
    </row>
    <row r="20" spans="2:6" ht="15.75" hidden="1" thickBot="1" x14ac:dyDescent="0.3">
      <c r="B20" s="117" t="s">
        <v>8</v>
      </c>
      <c r="C20" s="39" t="s">
        <v>6</v>
      </c>
      <c r="D20" s="43">
        <v>792</v>
      </c>
      <c r="E20" s="38">
        <v>110.73</v>
      </c>
      <c r="F20" s="40">
        <f>E20*$G$10</f>
        <v>121.80300000000001</v>
      </c>
    </row>
    <row r="21" spans="2:6" ht="15.75" hidden="1" thickBot="1" x14ac:dyDescent="0.3">
      <c r="B21" s="118"/>
      <c r="C21" s="39" t="s">
        <v>7</v>
      </c>
      <c r="D21" s="42">
        <v>591</v>
      </c>
      <c r="E21" s="40">
        <v>86.95</v>
      </c>
      <c r="F21" s="40">
        <f>E21*$G$10</f>
        <v>95.64500000000001</v>
      </c>
    </row>
    <row r="22" spans="2:6" ht="15.75" hidden="1" thickBot="1" x14ac:dyDescent="0.3"/>
    <row r="23" spans="2:6" ht="19.5" hidden="1" thickBot="1" x14ac:dyDescent="0.35">
      <c r="B23" s="119" t="s">
        <v>11</v>
      </c>
      <c r="C23" s="120"/>
      <c r="D23" s="120"/>
      <c r="E23" s="120"/>
      <c r="F23" s="121"/>
    </row>
    <row r="24" spans="2:6" ht="30.75" hidden="1" thickBot="1" x14ac:dyDescent="0.3">
      <c r="B24" s="31"/>
      <c r="C24" s="32"/>
      <c r="D24" s="33" t="s">
        <v>2</v>
      </c>
      <c r="E24" s="34" t="s">
        <v>3</v>
      </c>
      <c r="F24" s="35" t="s">
        <v>4</v>
      </c>
    </row>
    <row r="25" spans="2:6" ht="15.75" hidden="1" thickBot="1" x14ac:dyDescent="0.3">
      <c r="B25" s="117" t="s">
        <v>5</v>
      </c>
      <c r="C25" s="36" t="s">
        <v>6</v>
      </c>
      <c r="D25" s="41">
        <v>79</v>
      </c>
      <c r="E25" s="37">
        <v>81.45</v>
      </c>
      <c r="F25" s="38">
        <f>E25*$G$10</f>
        <v>89.595000000000013</v>
      </c>
    </row>
    <row r="26" spans="2:6" ht="15.75" hidden="1" thickBot="1" x14ac:dyDescent="0.3">
      <c r="B26" s="118"/>
      <c r="C26" s="39" t="s">
        <v>7</v>
      </c>
      <c r="D26" s="42">
        <v>22</v>
      </c>
      <c r="E26" s="40">
        <v>34.270000000000003</v>
      </c>
      <c r="F26" s="40">
        <f>E26*$G$10</f>
        <v>37.69700000000001</v>
      </c>
    </row>
    <row r="27" spans="2:6" ht="15.75" hidden="1" thickBot="1" x14ac:dyDescent="0.3">
      <c r="B27" s="117" t="s">
        <v>8</v>
      </c>
      <c r="C27" s="39" t="s">
        <v>6</v>
      </c>
      <c r="D27" s="43">
        <v>997</v>
      </c>
      <c r="E27" s="38">
        <v>121.53</v>
      </c>
      <c r="F27" s="40">
        <f>E27*$G$10</f>
        <v>133.68300000000002</v>
      </c>
    </row>
    <row r="28" spans="2:6" ht="15.75" hidden="1" thickBot="1" x14ac:dyDescent="0.3">
      <c r="B28" s="118"/>
      <c r="C28" s="39" t="s">
        <v>7</v>
      </c>
      <c r="D28" s="42">
        <v>661</v>
      </c>
      <c r="E28" s="40">
        <v>86.32</v>
      </c>
      <c r="F28" s="40">
        <f>E28*$G$10</f>
        <v>94.951999999999998</v>
      </c>
    </row>
    <row r="29" spans="2:6" ht="15.75" hidden="1" thickBot="1" x14ac:dyDescent="0.3"/>
    <row r="30" spans="2:6" ht="19.5" hidden="1" thickBot="1" x14ac:dyDescent="0.35">
      <c r="B30" s="119" t="s">
        <v>12</v>
      </c>
      <c r="C30" s="120"/>
      <c r="D30" s="120"/>
      <c r="E30" s="120"/>
      <c r="F30" s="121"/>
    </row>
    <row r="31" spans="2:6" ht="30.75" hidden="1" thickBot="1" x14ac:dyDescent="0.3">
      <c r="B31" s="31"/>
      <c r="C31" s="32"/>
      <c r="D31" s="33" t="s">
        <v>2</v>
      </c>
      <c r="E31" s="34" t="s">
        <v>3</v>
      </c>
      <c r="F31" s="35" t="s">
        <v>4</v>
      </c>
    </row>
    <row r="32" spans="2:6" ht="15.75" hidden="1" thickBot="1" x14ac:dyDescent="0.3">
      <c r="B32" s="117" t="s">
        <v>5</v>
      </c>
      <c r="C32" s="36" t="s">
        <v>6</v>
      </c>
      <c r="D32" s="41">
        <v>75</v>
      </c>
      <c r="E32" s="37">
        <v>109.29</v>
      </c>
      <c r="F32" s="38">
        <f>E32*$G$10</f>
        <v>120.21900000000002</v>
      </c>
    </row>
    <row r="33" spans="2:6" ht="15.75" hidden="1" thickBot="1" x14ac:dyDescent="0.3">
      <c r="B33" s="118"/>
      <c r="C33" s="39" t="s">
        <v>7</v>
      </c>
      <c r="D33" s="42">
        <v>19</v>
      </c>
      <c r="E33" s="40">
        <v>43.22</v>
      </c>
      <c r="F33" s="40">
        <f>E33*$G$10</f>
        <v>47.542000000000002</v>
      </c>
    </row>
    <row r="34" spans="2:6" ht="15.75" hidden="1" thickBot="1" x14ac:dyDescent="0.3">
      <c r="B34" s="117" t="s">
        <v>8</v>
      </c>
      <c r="C34" s="39" t="s">
        <v>6</v>
      </c>
      <c r="D34" s="43">
        <v>954</v>
      </c>
      <c r="E34" s="38">
        <v>186.93</v>
      </c>
      <c r="F34" s="40">
        <f>E34*$G$10</f>
        <v>205.62300000000002</v>
      </c>
    </row>
    <row r="35" spans="2:6" ht="15.75" hidden="1" thickBot="1" x14ac:dyDescent="0.3">
      <c r="B35" s="118"/>
      <c r="C35" s="39" t="s">
        <v>7</v>
      </c>
      <c r="D35" s="42">
        <v>584</v>
      </c>
      <c r="E35" s="40">
        <v>127.94</v>
      </c>
      <c r="F35" s="40">
        <f>E35*$G$10</f>
        <v>140.73400000000001</v>
      </c>
    </row>
    <row r="36" spans="2:6" ht="15.75" hidden="1" thickBot="1" x14ac:dyDescent="0.3"/>
    <row r="37" spans="2:6" ht="19.5" hidden="1" thickBot="1" x14ac:dyDescent="0.35">
      <c r="B37" s="119" t="s">
        <v>13</v>
      </c>
      <c r="C37" s="120"/>
      <c r="D37" s="120"/>
      <c r="E37" s="120"/>
      <c r="F37" s="121"/>
    </row>
    <row r="38" spans="2:6" ht="30.75" hidden="1" thickBot="1" x14ac:dyDescent="0.3">
      <c r="B38" s="31"/>
      <c r="C38" s="32"/>
      <c r="D38" s="33" t="s">
        <v>2</v>
      </c>
      <c r="E38" s="34" t="s">
        <v>3</v>
      </c>
      <c r="F38" s="35" t="s">
        <v>4</v>
      </c>
    </row>
    <row r="39" spans="2:6" ht="15.75" hidden="1" thickBot="1" x14ac:dyDescent="0.3">
      <c r="B39" s="117" t="s">
        <v>5</v>
      </c>
      <c r="C39" s="36" t="s">
        <v>6</v>
      </c>
      <c r="D39" s="41">
        <v>87</v>
      </c>
      <c r="E39" s="37">
        <v>71.06</v>
      </c>
      <c r="F39" s="38">
        <f>E39*$G$10</f>
        <v>78.166000000000011</v>
      </c>
    </row>
    <row r="40" spans="2:6" ht="15.75" hidden="1" thickBot="1" x14ac:dyDescent="0.3">
      <c r="B40" s="118"/>
      <c r="C40" s="39" t="s">
        <v>7</v>
      </c>
      <c r="D40" s="42">
        <v>62</v>
      </c>
      <c r="E40" s="40">
        <v>55.53</v>
      </c>
      <c r="F40" s="40">
        <f>E40*$G$10</f>
        <v>61.083000000000006</v>
      </c>
    </row>
    <row r="41" spans="2:6" ht="15.75" hidden="1" thickBot="1" x14ac:dyDescent="0.3">
      <c r="B41" s="117" t="s">
        <v>8</v>
      </c>
      <c r="C41" s="39" t="s">
        <v>6</v>
      </c>
      <c r="D41" s="43">
        <v>823</v>
      </c>
      <c r="E41" s="38">
        <v>105.43</v>
      </c>
      <c r="F41" s="40">
        <f>E41*$G$10</f>
        <v>115.97300000000001</v>
      </c>
    </row>
    <row r="42" spans="2:6" ht="15.75" hidden="1" thickBot="1" x14ac:dyDescent="0.3">
      <c r="B42" s="118"/>
      <c r="C42" s="39" t="s">
        <v>7</v>
      </c>
      <c r="D42" s="42">
        <v>608</v>
      </c>
      <c r="E42" s="40">
        <v>83.82</v>
      </c>
      <c r="F42" s="40">
        <f>E42*$G$10</f>
        <v>92.201999999999998</v>
      </c>
    </row>
    <row r="43" spans="2:6" ht="15.75" hidden="1" thickBot="1" x14ac:dyDescent="0.3"/>
    <row r="44" spans="2:6" ht="19.5" hidden="1" thickBot="1" x14ac:dyDescent="0.35">
      <c r="B44" s="119" t="s">
        <v>14</v>
      </c>
      <c r="C44" s="120"/>
      <c r="D44" s="120"/>
      <c r="E44" s="120"/>
      <c r="F44" s="121"/>
    </row>
    <row r="45" spans="2:6" ht="30.75" hidden="1" thickBot="1" x14ac:dyDescent="0.3">
      <c r="B45" s="31"/>
      <c r="C45" s="32"/>
      <c r="D45" s="33" t="s">
        <v>2</v>
      </c>
      <c r="E45" s="34" t="s">
        <v>3</v>
      </c>
      <c r="F45" s="35" t="s">
        <v>4</v>
      </c>
    </row>
    <row r="46" spans="2:6" ht="15.75" hidden="1" thickBot="1" x14ac:dyDescent="0.3">
      <c r="B46" s="117" t="s">
        <v>5</v>
      </c>
      <c r="C46" s="36" t="s">
        <v>6</v>
      </c>
      <c r="D46" s="41">
        <v>88</v>
      </c>
      <c r="E46" s="37">
        <v>132</v>
      </c>
      <c r="F46" s="38">
        <f>E46*$G$10</f>
        <v>145.20000000000002</v>
      </c>
    </row>
    <row r="47" spans="2:6" ht="15.75" hidden="1" thickBot="1" x14ac:dyDescent="0.3">
      <c r="B47" s="118"/>
      <c r="C47" s="39" t="s">
        <v>7</v>
      </c>
      <c r="D47" s="42">
        <v>13</v>
      </c>
      <c r="E47" s="40">
        <v>43.87</v>
      </c>
      <c r="F47" s="40">
        <f>E47*$G$10</f>
        <v>48.256999999999998</v>
      </c>
    </row>
    <row r="48" spans="2:6" ht="15.75" hidden="1" thickBot="1" x14ac:dyDescent="0.3">
      <c r="B48" s="117" t="s">
        <v>8</v>
      </c>
      <c r="C48" s="39" t="s">
        <v>6</v>
      </c>
      <c r="D48" s="43"/>
      <c r="E48" s="38"/>
      <c r="F48" s="40">
        <f>E48*$G$10</f>
        <v>0</v>
      </c>
    </row>
    <row r="49" spans="2:6" ht="15.75" hidden="1" thickBot="1" x14ac:dyDescent="0.3">
      <c r="B49" s="118"/>
      <c r="C49" s="39" t="s">
        <v>7</v>
      </c>
      <c r="D49" s="42"/>
      <c r="E49" s="40"/>
      <c r="F49" s="40">
        <f>E49*$G$10</f>
        <v>0</v>
      </c>
    </row>
    <row r="50" spans="2:6" ht="15.75" hidden="1" thickBot="1" x14ac:dyDescent="0.3"/>
    <row r="51" spans="2:6" ht="19.5" hidden="1" thickBot="1" x14ac:dyDescent="0.35">
      <c r="B51" s="119" t="s">
        <v>15</v>
      </c>
      <c r="C51" s="120"/>
      <c r="D51" s="120"/>
      <c r="E51" s="120"/>
      <c r="F51" s="121"/>
    </row>
    <row r="52" spans="2:6" ht="30.75" hidden="1" thickBot="1" x14ac:dyDescent="0.3">
      <c r="B52" s="31"/>
      <c r="C52" s="32"/>
      <c r="D52" s="33" t="s">
        <v>2</v>
      </c>
      <c r="E52" s="34" t="s">
        <v>3</v>
      </c>
      <c r="F52" s="35" t="s">
        <v>4</v>
      </c>
    </row>
    <row r="53" spans="2:6" ht="15.75" hidden="1" thickBot="1" x14ac:dyDescent="0.3">
      <c r="B53" s="117" t="s">
        <v>5</v>
      </c>
      <c r="C53" s="36" t="s">
        <v>6</v>
      </c>
      <c r="D53" s="41">
        <v>94</v>
      </c>
      <c r="E53" s="37">
        <v>145.93</v>
      </c>
      <c r="F53" s="38">
        <f>E53*$G$10</f>
        <v>160.52300000000002</v>
      </c>
    </row>
    <row r="54" spans="2:6" ht="15.75" hidden="1" thickBot="1" x14ac:dyDescent="0.3">
      <c r="B54" s="118"/>
      <c r="C54" s="39" t="s">
        <v>7</v>
      </c>
      <c r="D54" s="42">
        <v>6</v>
      </c>
      <c r="E54" s="40">
        <v>28.37</v>
      </c>
      <c r="F54" s="40">
        <f>E54*$G$10</f>
        <v>31.207000000000004</v>
      </c>
    </row>
    <row r="55" spans="2:6" ht="15.75" hidden="1" thickBot="1" x14ac:dyDescent="0.3">
      <c r="B55" s="117" t="s">
        <v>8</v>
      </c>
      <c r="C55" s="39" t="s">
        <v>6</v>
      </c>
      <c r="D55" s="43"/>
      <c r="E55" s="38"/>
      <c r="F55" s="40">
        <f>E55*$G$10</f>
        <v>0</v>
      </c>
    </row>
    <row r="56" spans="2:6" ht="15.75" hidden="1" thickBot="1" x14ac:dyDescent="0.3">
      <c r="B56" s="118"/>
      <c r="C56" s="39" t="s">
        <v>7</v>
      </c>
      <c r="D56" s="42"/>
      <c r="E56" s="40"/>
      <c r="F56" s="40">
        <f>E56*$G$10</f>
        <v>0</v>
      </c>
    </row>
    <row r="57" spans="2:6" ht="15.75" hidden="1" thickBot="1" x14ac:dyDescent="0.3"/>
    <row r="58" spans="2:6" ht="19.5" hidden="1" thickBot="1" x14ac:dyDescent="0.35">
      <c r="B58" s="119" t="s">
        <v>16</v>
      </c>
      <c r="C58" s="120"/>
      <c r="D58" s="120"/>
      <c r="E58" s="120"/>
      <c r="F58" s="121"/>
    </row>
    <row r="59" spans="2:6" ht="30.75" hidden="1" thickBot="1" x14ac:dyDescent="0.3">
      <c r="B59" s="31"/>
      <c r="C59" s="32"/>
      <c r="D59" s="33" t="s">
        <v>2</v>
      </c>
      <c r="E59" s="34" t="s">
        <v>3</v>
      </c>
      <c r="F59" s="35" t="s">
        <v>4</v>
      </c>
    </row>
    <row r="60" spans="2:6" ht="15.75" hidden="1" thickBot="1" x14ac:dyDescent="0.3">
      <c r="B60" s="117" t="s">
        <v>5</v>
      </c>
      <c r="C60" s="36" t="s">
        <v>6</v>
      </c>
      <c r="D60" s="41">
        <v>90</v>
      </c>
      <c r="E60" s="37">
        <v>75.61</v>
      </c>
      <c r="F60" s="38">
        <f>E60*$G$10</f>
        <v>83.171000000000006</v>
      </c>
    </row>
    <row r="61" spans="2:6" ht="15.75" hidden="1" thickBot="1" x14ac:dyDescent="0.3">
      <c r="B61" s="118"/>
      <c r="C61" s="39" t="s">
        <v>7</v>
      </c>
      <c r="D61" s="42">
        <v>28</v>
      </c>
      <c r="E61" s="40">
        <v>38.86</v>
      </c>
      <c r="F61" s="40">
        <f>E61*$G$10</f>
        <v>42.746000000000002</v>
      </c>
    </row>
    <row r="62" spans="2:6" ht="15.75" hidden="1" thickBot="1" x14ac:dyDescent="0.3">
      <c r="B62" s="117" t="s">
        <v>8</v>
      </c>
      <c r="C62" s="39" t="s">
        <v>6</v>
      </c>
      <c r="D62" s="43"/>
      <c r="E62" s="38"/>
      <c r="F62" s="40">
        <f>E62*$G$10</f>
        <v>0</v>
      </c>
    </row>
    <row r="63" spans="2:6" ht="15.75" hidden="1" thickBot="1" x14ac:dyDescent="0.3">
      <c r="B63" s="118"/>
      <c r="C63" s="39" t="s">
        <v>7</v>
      </c>
      <c r="D63" s="42"/>
      <c r="E63" s="40"/>
      <c r="F63" s="40">
        <f>E63*$G$10</f>
        <v>0</v>
      </c>
    </row>
    <row r="64" spans="2:6" ht="15.75" hidden="1" thickBot="1" x14ac:dyDescent="0.3"/>
    <row r="65" spans="2:6" ht="19.5" hidden="1" thickBot="1" x14ac:dyDescent="0.35">
      <c r="B65" s="119" t="s">
        <v>17</v>
      </c>
      <c r="C65" s="120"/>
      <c r="D65" s="120"/>
      <c r="E65" s="120"/>
      <c r="F65" s="121"/>
    </row>
    <row r="66" spans="2:6" ht="30.75" hidden="1" thickBot="1" x14ac:dyDescent="0.3">
      <c r="B66" s="31"/>
      <c r="C66" s="32"/>
      <c r="D66" s="33" t="s">
        <v>2</v>
      </c>
      <c r="E66" s="34" t="s">
        <v>3</v>
      </c>
      <c r="F66" s="35" t="s">
        <v>4</v>
      </c>
    </row>
    <row r="67" spans="2:6" ht="15.75" hidden="1" thickBot="1" x14ac:dyDescent="0.3">
      <c r="B67" s="117" t="s">
        <v>5</v>
      </c>
      <c r="C67" s="36" t="s">
        <v>6</v>
      </c>
      <c r="D67" s="41"/>
      <c r="E67" s="37"/>
      <c r="F67" s="38">
        <f>E67*$G$10</f>
        <v>0</v>
      </c>
    </row>
    <row r="68" spans="2:6" ht="15.75" hidden="1" thickBot="1" x14ac:dyDescent="0.3">
      <c r="B68" s="118"/>
      <c r="C68" s="39" t="s">
        <v>7</v>
      </c>
      <c r="D68" s="42"/>
      <c r="E68" s="40"/>
      <c r="F68" s="40">
        <f>E68*$G$10</f>
        <v>0</v>
      </c>
    </row>
    <row r="69" spans="2:6" ht="15.75" hidden="1" thickBot="1" x14ac:dyDescent="0.3">
      <c r="B69" s="117" t="s">
        <v>8</v>
      </c>
      <c r="C69" s="39" t="s">
        <v>6</v>
      </c>
      <c r="D69" s="43">
        <v>927</v>
      </c>
      <c r="E69" s="38">
        <v>174.44</v>
      </c>
      <c r="F69" s="40">
        <f>E69*$G$10</f>
        <v>191.88400000000001</v>
      </c>
    </row>
    <row r="70" spans="2:6" ht="15.75" hidden="1" thickBot="1" x14ac:dyDescent="0.3">
      <c r="B70" s="118"/>
      <c r="C70" s="39" t="s">
        <v>7</v>
      </c>
      <c r="D70" s="42">
        <v>952</v>
      </c>
      <c r="E70" s="40">
        <v>141.36000000000001</v>
      </c>
      <c r="F70" s="40">
        <f>E70*$G$10</f>
        <v>155.49600000000004</v>
      </c>
    </row>
    <row r="71" spans="2:6" hidden="1" x14ac:dyDescent="0.25"/>
    <row r="72" spans="2:6" ht="15.75" thickBot="1" x14ac:dyDescent="0.3"/>
    <row r="73" spans="2:6" ht="19.5" thickBot="1" x14ac:dyDescent="0.35">
      <c r="B73" s="119" t="s">
        <v>13</v>
      </c>
      <c r="C73" s="120"/>
      <c r="D73" s="120"/>
      <c r="E73" s="120"/>
      <c r="F73" s="121"/>
    </row>
    <row r="74" spans="2:6" ht="30.75" thickBot="1" x14ac:dyDescent="0.3">
      <c r="B74" s="31"/>
      <c r="C74" s="32"/>
      <c r="D74" s="33" t="s">
        <v>2</v>
      </c>
      <c r="E74" s="34" t="s">
        <v>3</v>
      </c>
      <c r="F74" s="35" t="s">
        <v>4</v>
      </c>
    </row>
    <row r="75" spans="2:6" ht="15.75" thickBot="1" x14ac:dyDescent="0.3">
      <c r="B75" s="117" t="s">
        <v>5</v>
      </c>
      <c r="C75" s="36" t="s">
        <v>6</v>
      </c>
      <c r="D75" s="101">
        <v>83</v>
      </c>
      <c r="E75" s="102">
        <v>90.27</v>
      </c>
      <c r="F75" s="38">
        <f>E75*$H$4</f>
        <v>99.296999999999997</v>
      </c>
    </row>
    <row r="76" spans="2:6" ht="15.75" thickBot="1" x14ac:dyDescent="0.3">
      <c r="B76" s="118"/>
      <c r="C76" s="39" t="s">
        <v>7</v>
      </c>
      <c r="D76" s="103">
        <v>60</v>
      </c>
      <c r="E76" s="104">
        <v>71.290000000000006</v>
      </c>
      <c r="F76" s="40">
        <f>E76*$H$4</f>
        <v>78.419000000000011</v>
      </c>
    </row>
    <row r="77" spans="2:6" ht="15.75" thickBot="1" x14ac:dyDescent="0.3">
      <c r="B77" s="117" t="s">
        <v>8</v>
      </c>
      <c r="C77" s="39" t="s">
        <v>6</v>
      </c>
      <c r="D77" s="105">
        <v>808</v>
      </c>
      <c r="E77" s="106">
        <v>162.01</v>
      </c>
      <c r="F77" s="40">
        <f>E77*$H$4</f>
        <v>178.21100000000001</v>
      </c>
    </row>
    <row r="78" spans="2:6" ht="15.75" thickBot="1" x14ac:dyDescent="0.3">
      <c r="B78" s="118"/>
      <c r="C78" s="39" t="s">
        <v>7</v>
      </c>
      <c r="D78" s="103">
        <v>639</v>
      </c>
      <c r="E78" s="104">
        <v>133.18</v>
      </c>
      <c r="F78" s="40">
        <f>E78*$H$4</f>
        <v>146.49800000000002</v>
      </c>
    </row>
  </sheetData>
  <mergeCells count="33">
    <mergeCell ref="B73:F73"/>
    <mergeCell ref="B75:B76"/>
    <mergeCell ref="B77:B78"/>
    <mergeCell ref="B69:B70"/>
    <mergeCell ref="B55:B56"/>
    <mergeCell ref="B58:F58"/>
    <mergeCell ref="B60:B61"/>
    <mergeCell ref="B62:B63"/>
    <mergeCell ref="B65:F65"/>
    <mergeCell ref="B32:B33"/>
    <mergeCell ref="B34:B35"/>
    <mergeCell ref="B51:F51"/>
    <mergeCell ref="B53:B54"/>
    <mergeCell ref="B67:B68"/>
    <mergeCell ref="B44:F44"/>
    <mergeCell ref="B46:B47"/>
    <mergeCell ref="B48:B49"/>
    <mergeCell ref="B37:F37"/>
    <mergeCell ref="B39:B40"/>
    <mergeCell ref="B41:B42"/>
    <mergeCell ref="B2:F2"/>
    <mergeCell ref="B4:B5"/>
    <mergeCell ref="B18:B19"/>
    <mergeCell ref="B20:B21"/>
    <mergeCell ref="B30:F30"/>
    <mergeCell ref="B23:F23"/>
    <mergeCell ref="B25:B26"/>
    <mergeCell ref="B27:B28"/>
    <mergeCell ref="B6:B7"/>
    <mergeCell ref="B9:F9"/>
    <mergeCell ref="B11:B12"/>
    <mergeCell ref="B13:B14"/>
    <mergeCell ref="B16:F16"/>
  </mergeCells>
  <pageMargins left="0.7" right="0.7" top="0.75" bottom="0.75" header="0.3" footer="0.3"/>
  <pageSetup scale="80" orientation="landscape" r:id="rId1"/>
  <headerFooter>
    <oddHeader>&amp;CConsolidated Edison Company of New York, Inc.</oddHeader>
    <oddFooter>&amp;C_x000D_&amp;1#&amp;"Calibri"&amp;12&amp;K008000 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1"/>
  <sheetViews>
    <sheetView tabSelected="1" zoomScaleNormal="100" workbookViewId="0">
      <selection activeCell="E1" sqref="E1"/>
    </sheetView>
  </sheetViews>
  <sheetFormatPr defaultRowHeight="15" x14ac:dyDescent="0.25"/>
  <cols>
    <col min="1" max="1" width="21.7109375" customWidth="1"/>
    <col min="2" max="2" width="22.5703125" bestFit="1" customWidth="1"/>
    <col min="3" max="3" width="13.85546875" customWidth="1"/>
    <col min="4" max="4" width="14.28515625" customWidth="1"/>
    <col min="5" max="5" width="26" bestFit="1" customWidth="1"/>
    <col min="6" max="6" width="12.7109375" customWidth="1"/>
    <col min="7" max="7" width="11.42578125" customWidth="1"/>
    <col min="8" max="8" width="20.5703125" bestFit="1" customWidth="1"/>
    <col min="9" max="9" width="7.42578125" customWidth="1"/>
    <col min="10" max="11" width="10.42578125" customWidth="1"/>
    <col min="12" max="12" width="12" bestFit="1" customWidth="1"/>
    <col min="13" max="13" width="13.28515625" bestFit="1" customWidth="1"/>
    <col min="14" max="14" width="13" bestFit="1" customWidth="1"/>
    <col min="15" max="15" width="13.140625" bestFit="1" customWidth="1"/>
    <col min="17" max="17" width="13.5703125" customWidth="1"/>
    <col min="19" max="19" width="21.28515625" customWidth="1"/>
    <col min="20" max="20" width="28.28515625" style="13" customWidth="1"/>
    <col min="21" max="21" width="8" customWidth="1"/>
    <col min="22" max="22" width="19.28515625" customWidth="1"/>
    <col min="23" max="23" width="9.28515625" customWidth="1"/>
    <col min="24" max="24" width="9.85546875" customWidth="1"/>
    <col min="25" max="25" width="7.7109375" customWidth="1"/>
    <col min="26" max="26" width="8.28515625" customWidth="1"/>
  </cols>
  <sheetData>
    <row r="1" spans="1:27" ht="30.75" thickBot="1" x14ac:dyDescent="0.3">
      <c r="B1" s="45" t="s">
        <v>18</v>
      </c>
      <c r="C1" s="84">
        <v>0.06</v>
      </c>
      <c r="G1" s="78"/>
      <c r="H1" s="78"/>
      <c r="J1" s="4"/>
      <c r="K1" s="4"/>
      <c r="N1" s="75"/>
      <c r="O1" s="75"/>
      <c r="P1" s="75"/>
      <c r="Q1" s="75"/>
      <c r="R1" s="75"/>
    </row>
    <row r="2" spans="1:27" ht="15.75" thickBot="1" x14ac:dyDescent="0.3">
      <c r="B2" s="46" t="s">
        <v>54</v>
      </c>
      <c r="C2" s="85">
        <v>3</v>
      </c>
      <c r="G2" s="71"/>
      <c r="J2" s="12"/>
      <c r="K2" s="12"/>
      <c r="L2" s="9"/>
      <c r="M2" s="9"/>
      <c r="N2" s="12"/>
      <c r="O2" s="9"/>
    </row>
    <row r="3" spans="1:27" ht="15.75" thickBot="1" x14ac:dyDescent="0.3">
      <c r="B3" s="46" t="s">
        <v>55</v>
      </c>
      <c r="C3" s="86">
        <v>1</v>
      </c>
      <c r="G3" s="71"/>
      <c r="J3" s="12"/>
      <c r="K3" s="12"/>
      <c r="L3" s="9"/>
      <c r="M3" s="9"/>
      <c r="N3" s="12"/>
      <c r="O3" s="9"/>
    </row>
    <row r="4" spans="1:27" ht="15.75" thickBot="1" x14ac:dyDescent="0.3">
      <c r="B4" s="124" t="s">
        <v>8</v>
      </c>
      <c r="C4" s="125"/>
      <c r="D4" s="124" t="s">
        <v>5</v>
      </c>
      <c r="E4" s="125"/>
      <c r="G4" s="71"/>
      <c r="J4" s="12"/>
      <c r="K4" s="76"/>
      <c r="L4" s="77"/>
      <c r="M4" s="10"/>
      <c r="N4" s="12"/>
    </row>
    <row r="5" spans="1:27" ht="39" x14ac:dyDescent="0.25">
      <c r="A5" s="47" t="s">
        <v>19</v>
      </c>
      <c r="B5" s="48" t="s">
        <v>20</v>
      </c>
      <c r="C5" s="49" t="s">
        <v>21</v>
      </c>
      <c r="D5" s="50" t="s">
        <v>20</v>
      </c>
      <c r="E5" s="51" t="s">
        <v>21</v>
      </c>
      <c r="R5" s="13"/>
      <c r="S5" s="13" t="s">
        <v>22</v>
      </c>
      <c r="T5" s="59" t="s">
        <v>95</v>
      </c>
      <c r="U5" s="59" t="s">
        <v>23</v>
      </c>
      <c r="V5" s="59" t="s">
        <v>24</v>
      </c>
      <c r="W5" s="59" t="s">
        <v>25</v>
      </c>
      <c r="X5" s="60" t="s">
        <v>26</v>
      </c>
      <c r="Y5" s="59" t="s">
        <v>27</v>
      </c>
      <c r="Z5" s="59" t="s">
        <v>28</v>
      </c>
      <c r="AA5" s="13"/>
    </row>
    <row r="6" spans="1:27" ht="15.75" thickBot="1" x14ac:dyDescent="0.3">
      <c r="A6" s="52">
        <f>B6+D6</f>
        <v>6.0002160077762795E-2</v>
      </c>
      <c r="B6" s="53">
        <f>C1/2/C6</f>
        <v>3.0181086519114688E-2</v>
      </c>
      <c r="C6" s="80">
        <v>0.99399999999999999</v>
      </c>
      <c r="D6" s="53">
        <f>C1/2/E6</f>
        <v>2.982107355864811E-2</v>
      </c>
      <c r="E6" s="80">
        <v>1.006</v>
      </c>
      <c r="H6" s="2"/>
      <c r="J6" s="9"/>
      <c r="K6" s="9"/>
      <c r="R6" s="13"/>
      <c r="S6" s="13"/>
      <c r="U6" s="13"/>
      <c r="V6" s="13"/>
      <c r="W6" s="13"/>
      <c r="X6" s="13"/>
      <c r="Y6" s="13"/>
      <c r="Z6" s="13"/>
      <c r="AA6" s="13"/>
    </row>
    <row r="7" spans="1:27" x14ac:dyDescent="0.25">
      <c r="D7" s="13"/>
      <c r="E7" s="13"/>
      <c r="F7" s="13"/>
      <c r="J7" s="122" t="s">
        <v>29</v>
      </c>
      <c r="K7" s="122" t="s">
        <v>30</v>
      </c>
      <c r="L7" s="5"/>
      <c r="M7" s="5"/>
      <c r="N7" s="5"/>
      <c r="O7" s="5"/>
      <c r="R7" s="13" t="s">
        <v>31</v>
      </c>
      <c r="S7" s="56">
        <f>M27</f>
        <v>12501002.183912234</v>
      </c>
      <c r="T7" s="81">
        <v>2514070212</v>
      </c>
      <c r="U7" s="54">
        <f>S7/T7</f>
        <v>4.9724156963649006E-3</v>
      </c>
      <c r="V7" s="57">
        <v>15435776359</v>
      </c>
      <c r="W7" s="13">
        <f>S7/V7</f>
        <v>8.0987194250345472E-4</v>
      </c>
      <c r="X7" s="57">
        <v>11077465</v>
      </c>
      <c r="Y7" s="13">
        <f>S7/X7/12</f>
        <v>9.4042290541444848E-2</v>
      </c>
      <c r="Z7" s="13">
        <f>S7/X7</f>
        <v>1.1285074864973381</v>
      </c>
      <c r="AA7" s="13"/>
    </row>
    <row r="8" spans="1:27" x14ac:dyDescent="0.25">
      <c r="D8" s="13"/>
      <c r="E8" s="82" t="s">
        <v>32</v>
      </c>
      <c r="F8" s="82" t="s">
        <v>33</v>
      </c>
      <c r="G8" s="5" t="s">
        <v>34</v>
      </c>
      <c r="H8" s="19" t="s">
        <v>35</v>
      </c>
      <c r="J8" s="122"/>
      <c r="K8" s="122"/>
      <c r="L8" s="19" t="s">
        <v>36</v>
      </c>
      <c r="M8" s="19" t="s">
        <v>37</v>
      </c>
      <c r="N8" s="19" t="s">
        <v>38</v>
      </c>
      <c r="O8" s="19" t="s">
        <v>39</v>
      </c>
      <c r="R8" s="13"/>
      <c r="S8" s="13"/>
      <c r="T8" s="56"/>
      <c r="U8" s="13"/>
      <c r="V8" s="57"/>
      <c r="W8" s="61"/>
      <c r="X8" s="13"/>
      <c r="Y8" s="12"/>
      <c r="Z8" s="13"/>
      <c r="AA8" s="13"/>
    </row>
    <row r="9" spans="1:27" x14ac:dyDescent="0.25">
      <c r="R9" s="13" t="s">
        <v>43</v>
      </c>
      <c r="S9" s="56">
        <f>L27</f>
        <v>835716.81662182638</v>
      </c>
      <c r="T9" s="81">
        <v>427266620</v>
      </c>
      <c r="U9" s="54">
        <f>S9/T9</f>
        <v>1.955960932828842E-3</v>
      </c>
      <c r="V9" s="57">
        <v>553397065</v>
      </c>
      <c r="W9" s="61">
        <f>S9/V9</f>
        <v>1.510157659802237E-3</v>
      </c>
      <c r="X9" s="57">
        <v>3270078</v>
      </c>
      <c r="Y9" s="12">
        <f>S9/X9/12</f>
        <v>2.1297066324356444E-2</v>
      </c>
      <c r="Z9" s="12">
        <f>S9/X9</f>
        <v>0.25556479589227732</v>
      </c>
      <c r="AA9" s="13"/>
    </row>
    <row r="10" spans="1:27" x14ac:dyDescent="0.25">
      <c r="A10" s="5" t="s">
        <v>61</v>
      </c>
      <c r="B10" s="82" t="s">
        <v>40</v>
      </c>
      <c r="C10" s="82" t="s">
        <v>41</v>
      </c>
      <c r="D10" s="13" t="s">
        <v>42</v>
      </c>
      <c r="E10" s="12">
        <f>'Utility Data'!F11</f>
        <v>110.11</v>
      </c>
      <c r="F10" s="54">
        <f>MAX($C$2/E10,((((E10)-(C11)))/E10))</f>
        <v>2.7245481790936336E-2</v>
      </c>
      <c r="G10" s="12">
        <f>E10-H10</f>
        <v>107.11</v>
      </c>
      <c r="H10" s="55">
        <f t="shared" ref="H10:H13" si="0">E10*F10</f>
        <v>3</v>
      </c>
      <c r="I10" s="12"/>
      <c r="J10" s="91">
        <v>818.12072980488801</v>
      </c>
      <c r="K10" s="57"/>
      <c r="L10" s="3">
        <f>H10*12*J10</f>
        <v>29452.34627297597</v>
      </c>
      <c r="N10" s="3">
        <f>E10*J10*12</f>
        <v>1080999.2827057946</v>
      </c>
      <c r="O10" s="3"/>
      <c r="R10" s="13"/>
      <c r="S10" s="13"/>
      <c r="U10" s="13"/>
      <c r="V10" s="13"/>
      <c r="W10" s="13"/>
      <c r="X10" s="13"/>
      <c r="Y10" s="13"/>
      <c r="Z10" s="13"/>
      <c r="AA10" s="13"/>
    </row>
    <row r="11" spans="1:27" x14ac:dyDescent="0.25">
      <c r="B11" s="55">
        <f>'Target Energy Burden'!G3/$C$6/2</f>
        <v>136.86724513749161</v>
      </c>
      <c r="C11" s="90">
        <f>'Target Energy Burden'!G3/$E$6/2</f>
        <v>135.23463386348575</v>
      </c>
      <c r="D11" s="13" t="s">
        <v>44</v>
      </c>
      <c r="E11" s="12">
        <f>'Utility Data'!F12</f>
        <v>54.692</v>
      </c>
      <c r="F11" s="54">
        <f>MAX($C$2/E11,((((E11)-(C12)))/E11))</f>
        <v>5.4852629269362976E-2</v>
      </c>
      <c r="G11" s="12">
        <f t="shared" ref="G11:G13" si="1">E11-H11</f>
        <v>51.692</v>
      </c>
      <c r="H11" s="55">
        <f t="shared" si="0"/>
        <v>3</v>
      </c>
      <c r="I11" s="12"/>
      <c r="J11" s="91">
        <v>65.23528746806538</v>
      </c>
      <c r="K11" s="57"/>
      <c r="L11" s="3">
        <f>H11*12*J11</f>
        <v>2348.4703488503537</v>
      </c>
      <c r="N11" s="3">
        <f>E11*J11*12</f>
        <v>42814.180106441185</v>
      </c>
      <c r="O11" s="3"/>
      <c r="R11" s="13"/>
      <c r="S11" s="13" t="s">
        <v>56</v>
      </c>
      <c r="T11" s="56">
        <f>T7*0.005</f>
        <v>12570351.060000001</v>
      </c>
      <c r="U11" s="62"/>
      <c r="V11" s="13"/>
      <c r="W11" s="13"/>
      <c r="X11" s="13"/>
      <c r="Y11" s="13"/>
      <c r="Z11" s="13"/>
      <c r="AA11" s="13"/>
    </row>
    <row r="12" spans="1:27" x14ac:dyDescent="0.25">
      <c r="B12" s="55">
        <f>'Target Energy Burden'!G4/$C$6/2</f>
        <v>122.19588363514418</v>
      </c>
      <c r="C12" s="90">
        <f>'Target Energy Burden'!G4/$E$6/2</f>
        <v>120.73827866136513</v>
      </c>
      <c r="D12" s="13" t="s">
        <v>45</v>
      </c>
      <c r="E12" s="12">
        <f>'Utility Data'!F13</f>
        <v>236.15900000000002</v>
      </c>
      <c r="F12" s="54">
        <f>MAX($C$2/E12,(1-((B11*2)/E12)),(H13/E12))</f>
        <v>0.19699489058158201</v>
      </c>
      <c r="G12" s="12">
        <f t="shared" si="1"/>
        <v>189.63688363514419</v>
      </c>
      <c r="H12" s="55">
        <f t="shared" si="0"/>
        <v>46.522116364855833</v>
      </c>
      <c r="I12" s="12"/>
      <c r="J12" s="13"/>
      <c r="K12" s="91">
        <v>471.6160159164387</v>
      </c>
      <c r="M12" s="3">
        <f>H12*12*K12</f>
        <v>263286.90206393116</v>
      </c>
      <c r="O12" s="3">
        <f>E12*K12*12</f>
        <v>1336516.4004337229</v>
      </c>
      <c r="R12" s="13"/>
      <c r="S12" s="13"/>
      <c r="U12" s="13"/>
      <c r="V12" s="13"/>
      <c r="W12" s="13"/>
      <c r="X12" s="13"/>
      <c r="Y12" s="13"/>
      <c r="Z12" s="13"/>
      <c r="AA12" s="13"/>
    </row>
    <row r="13" spans="1:27" x14ac:dyDescent="0.25">
      <c r="B13" s="13"/>
      <c r="C13" s="90"/>
      <c r="D13" s="13" t="s">
        <v>46</v>
      </c>
      <c r="E13" s="12">
        <f>'Utility Data'!F14</f>
        <v>168.71800000000002</v>
      </c>
      <c r="F13" s="54">
        <f>MAX($C$2/E13,((((E13)-(B12))/E13)))</f>
        <v>0.27573890376163673</v>
      </c>
      <c r="G13" s="12">
        <f t="shared" si="1"/>
        <v>122.19588363514418</v>
      </c>
      <c r="H13" s="55">
        <f t="shared" si="0"/>
        <v>46.522116364855833</v>
      </c>
      <c r="I13" s="12"/>
      <c r="J13" s="13"/>
      <c r="K13" s="91">
        <v>6819.0279668106077</v>
      </c>
      <c r="M13" s="3">
        <f>H13*12*K13</f>
        <v>3806827.3508060323</v>
      </c>
      <c r="O13" s="3">
        <f>E13*K13*12</f>
        <v>13805913.126052227</v>
      </c>
      <c r="R13" s="13"/>
      <c r="S13" s="13" t="s">
        <v>57</v>
      </c>
      <c r="T13" s="56">
        <f>T9*0.005</f>
        <v>2136333.1</v>
      </c>
      <c r="U13" s="13"/>
      <c r="V13" s="13"/>
      <c r="W13" s="13"/>
      <c r="X13" s="13"/>
      <c r="Y13" s="13"/>
      <c r="Z13" s="13"/>
      <c r="AA13" s="13"/>
    </row>
    <row r="14" spans="1:27" ht="15" customHeight="1" x14ac:dyDescent="0.25">
      <c r="R14" s="13"/>
      <c r="S14" s="13"/>
      <c r="U14" s="13"/>
      <c r="V14" s="13"/>
      <c r="W14" s="13"/>
      <c r="X14" s="13"/>
      <c r="Y14" s="13"/>
      <c r="Z14" s="13"/>
      <c r="AA14" s="13"/>
    </row>
    <row r="15" spans="1:27" x14ac:dyDescent="0.25">
      <c r="E15" s="13" t="s">
        <v>32</v>
      </c>
      <c r="F15" s="13" t="s">
        <v>33</v>
      </c>
      <c r="G15" t="s">
        <v>34</v>
      </c>
      <c r="H15" s="4" t="s">
        <v>35</v>
      </c>
      <c r="J15" s="57"/>
      <c r="K15" s="13"/>
      <c r="L15" s="3"/>
      <c r="N15" s="3"/>
      <c r="O15" s="3"/>
      <c r="R15" s="13"/>
      <c r="S15" s="65"/>
      <c r="T15" s="126">
        <f>T11-S7</f>
        <v>69348.876087766141</v>
      </c>
      <c r="U15" s="64"/>
      <c r="V15" s="57"/>
      <c r="W15" s="13"/>
      <c r="X15" s="57"/>
      <c r="Y15" s="13"/>
      <c r="Z15" s="13"/>
      <c r="AA15" s="13"/>
    </row>
    <row r="16" spans="1:27" x14ac:dyDescent="0.25">
      <c r="A16" s="123" t="s">
        <v>58</v>
      </c>
      <c r="B16" s="5" t="s">
        <v>40</v>
      </c>
      <c r="C16" s="5" t="s">
        <v>41</v>
      </c>
      <c r="D16" t="s">
        <v>42</v>
      </c>
      <c r="E16" s="2">
        <f>'Utility Data'!F11</f>
        <v>110.11</v>
      </c>
      <c r="F16" s="54">
        <f>MAX($C$2/E16,((((E16)-(C17)))/E16))</f>
        <v>2.7245481790936336E-2</v>
      </c>
      <c r="G16" s="12">
        <f>E16-H16</f>
        <v>107.11</v>
      </c>
      <c r="H16" s="55">
        <f>E16*F16</f>
        <v>3</v>
      </c>
      <c r="I16" s="56"/>
      <c r="J16" s="91">
        <v>16114</v>
      </c>
      <c r="K16" s="57"/>
      <c r="L16" s="3">
        <f>H16*12*J16</f>
        <v>580104</v>
      </c>
      <c r="N16" s="3">
        <f>E16*J16*12</f>
        <v>21291750.48</v>
      </c>
      <c r="O16" s="3"/>
      <c r="R16" s="13"/>
      <c r="S16" s="13"/>
      <c r="U16" s="13"/>
      <c r="V16" s="57"/>
      <c r="W16" s="61"/>
      <c r="X16" s="13"/>
      <c r="Y16" s="12"/>
      <c r="Z16" s="13"/>
      <c r="AA16" s="13"/>
    </row>
    <row r="17" spans="1:27" x14ac:dyDescent="0.25">
      <c r="A17" s="123"/>
      <c r="B17" s="14">
        <f>'Target Energy Burden'!E31/$C$6/2</f>
        <v>151.09154929577463</v>
      </c>
      <c r="C17" s="70">
        <f>'Target Energy Burden'!E31/$E$6/2</f>
        <v>149.28926441351885</v>
      </c>
      <c r="D17" t="s">
        <v>44</v>
      </c>
      <c r="E17" s="2">
        <f>'Utility Data'!F12</f>
        <v>54.692</v>
      </c>
      <c r="F17" s="54">
        <f>MAX($C$2/E17,((((E17)-(C17)))/E17))</f>
        <v>5.4852629269362976E-2</v>
      </c>
      <c r="G17" s="12">
        <f>E17-H17</f>
        <v>51.692</v>
      </c>
      <c r="H17" s="55">
        <f>E17*F17</f>
        <v>3</v>
      </c>
      <c r="I17" s="56"/>
      <c r="J17" s="91">
        <v>318</v>
      </c>
      <c r="K17" s="57"/>
      <c r="L17" s="3">
        <f>H17*12*J17</f>
        <v>11448</v>
      </c>
      <c r="N17" s="3">
        <f>E17*J17*12</f>
        <v>208704.67200000002</v>
      </c>
      <c r="O17" s="3"/>
      <c r="R17" s="13"/>
      <c r="S17" s="13"/>
      <c r="T17" s="56">
        <f>T13-S9</f>
        <v>1300616.2833781736</v>
      </c>
      <c r="U17" s="62"/>
      <c r="V17" s="57"/>
      <c r="W17" s="61"/>
      <c r="X17" s="57"/>
      <c r="Y17" s="12"/>
      <c r="Z17" s="12"/>
      <c r="AA17" s="13"/>
    </row>
    <row r="18" spans="1:27" x14ac:dyDescent="0.25">
      <c r="C18" s="72"/>
      <c r="D18" t="s">
        <v>45</v>
      </c>
      <c r="E18" s="2">
        <f>'Utility Data'!F13</f>
        <v>236.15900000000002</v>
      </c>
      <c r="F18" s="54">
        <f>MAX($C$2/E18,(1-((B17*2)/E18)),(H19/E18))</f>
        <v>7.4638064626905559E-2</v>
      </c>
      <c r="G18" s="12">
        <f>E18-H18</f>
        <v>218.53254929577463</v>
      </c>
      <c r="H18" s="55">
        <f>E18*F18</f>
        <v>17.626450704225391</v>
      </c>
      <c r="I18" s="56"/>
      <c r="J18" s="13"/>
      <c r="K18" s="91">
        <v>6206</v>
      </c>
      <c r="M18" s="3">
        <f>H18*12*K18</f>
        <v>1312677.0368450733</v>
      </c>
      <c r="O18" s="3">
        <f>E18*K18*12</f>
        <v>17587233.048</v>
      </c>
      <c r="R18" s="13"/>
      <c r="S18" s="13"/>
      <c r="U18" s="13"/>
      <c r="V18" s="13"/>
      <c r="W18" s="13"/>
      <c r="X18" s="13"/>
      <c r="Y18" s="13"/>
      <c r="Z18" s="13"/>
      <c r="AA18" s="13"/>
    </row>
    <row r="19" spans="1:27" x14ac:dyDescent="0.25">
      <c r="C19" s="70">
        <f>G16+G19</f>
        <v>258.20154929577461</v>
      </c>
      <c r="D19" t="s">
        <v>46</v>
      </c>
      <c r="E19" s="2">
        <f>'Utility Data'!F14</f>
        <v>168.71800000000002</v>
      </c>
      <c r="F19" s="54">
        <f>MAX($C$2/E19,((((E19)-(B17))/E19)))</f>
        <v>0.10447285235852363</v>
      </c>
      <c r="G19" s="12">
        <f>E19-H19</f>
        <v>151.09154929577463</v>
      </c>
      <c r="H19" s="55">
        <f>E19*F19</f>
        <v>17.626450704225391</v>
      </c>
      <c r="I19" s="56"/>
      <c r="J19" s="13"/>
      <c r="K19" s="91">
        <v>31358</v>
      </c>
      <c r="M19" s="3">
        <f>H19*12*K19</f>
        <v>6632762.8941971976</v>
      </c>
      <c r="O19" s="3">
        <f>E19*K19*12</f>
        <v>63487908.528000012</v>
      </c>
      <c r="R19" s="13"/>
      <c r="S19" s="13"/>
      <c r="T19" s="65"/>
      <c r="U19" s="13"/>
      <c r="V19" s="13"/>
      <c r="W19" s="13"/>
      <c r="X19" s="13"/>
      <c r="Y19" s="13"/>
      <c r="Z19" s="13"/>
      <c r="AA19" s="13"/>
    </row>
    <row r="20" spans="1:27" x14ac:dyDescent="0.25">
      <c r="D20" s="13"/>
      <c r="E20" s="12"/>
      <c r="F20" s="12"/>
      <c r="G20" s="12"/>
      <c r="H20" s="14"/>
      <c r="J20" s="57"/>
      <c r="K20" s="13"/>
      <c r="L20" s="3"/>
      <c r="N20" s="3"/>
      <c r="O20" s="3"/>
      <c r="R20" s="13"/>
      <c r="S20" s="13"/>
      <c r="U20" s="13"/>
      <c r="V20" s="13"/>
      <c r="W20" s="13"/>
      <c r="X20" s="13"/>
      <c r="Y20" s="13"/>
      <c r="Z20" s="13"/>
      <c r="AA20" s="13"/>
    </row>
    <row r="21" spans="1:27" x14ac:dyDescent="0.25">
      <c r="D21" s="13"/>
      <c r="E21" s="12"/>
      <c r="F21" s="13" t="s">
        <v>33</v>
      </c>
      <c r="G21" s="13" t="s">
        <v>32</v>
      </c>
      <c r="H21" s="14" t="s">
        <v>35</v>
      </c>
      <c r="J21" s="57"/>
      <c r="K21" s="13"/>
      <c r="L21" s="3"/>
      <c r="N21" s="3"/>
      <c r="O21" s="3"/>
      <c r="R21" s="13"/>
      <c r="S21" s="13"/>
      <c r="T21" s="56"/>
      <c r="U21" s="13"/>
      <c r="V21" s="13"/>
      <c r="W21" s="13"/>
      <c r="X21" s="13"/>
      <c r="Y21" s="13"/>
      <c r="Z21" s="13"/>
      <c r="AA21" s="13"/>
    </row>
    <row r="22" spans="1:27" x14ac:dyDescent="0.25">
      <c r="A22" s="123" t="s">
        <v>59</v>
      </c>
      <c r="B22" s="5" t="s">
        <v>40</v>
      </c>
      <c r="C22" s="5" t="s">
        <v>41</v>
      </c>
      <c r="D22" t="s">
        <v>42</v>
      </c>
      <c r="E22" s="2">
        <f>E16</f>
        <v>110.11</v>
      </c>
      <c r="F22" s="54">
        <f>MAX($C$3/E22,((((E22)-(C23)))/E22))</f>
        <v>9.0818272636454447E-3</v>
      </c>
      <c r="G22" s="12">
        <f>E22-H22</f>
        <v>109.11</v>
      </c>
      <c r="H22" s="55">
        <f>E22*F22</f>
        <v>0.99999999999999989</v>
      </c>
      <c r="I22" s="56"/>
      <c r="J22" s="91">
        <v>17354</v>
      </c>
      <c r="K22" s="57"/>
      <c r="L22" s="3">
        <f>H22*12*J22</f>
        <v>208247.99999999997</v>
      </c>
      <c r="N22" s="3">
        <f>E22*J22*12</f>
        <v>22930187.280000001</v>
      </c>
      <c r="O22" s="3"/>
      <c r="R22" s="13"/>
      <c r="S22" s="13"/>
      <c r="U22" s="13"/>
      <c r="V22" s="13"/>
      <c r="W22" s="13"/>
      <c r="X22" s="13"/>
      <c r="Y22" s="13"/>
      <c r="Z22" s="13"/>
      <c r="AA22" s="13"/>
    </row>
    <row r="23" spans="1:27" x14ac:dyDescent="0.25">
      <c r="A23" s="123"/>
      <c r="B23" s="14">
        <f>'Target Energy Burden'!E32/$C$6/2</f>
        <v>194.2605633802817</v>
      </c>
      <c r="C23" s="70">
        <f>'Target Energy Burden'!E32/$E$6/2</f>
        <v>191.94333996023857</v>
      </c>
      <c r="D23" t="s">
        <v>44</v>
      </c>
      <c r="E23" s="2">
        <f>E17</f>
        <v>54.692</v>
      </c>
      <c r="F23" s="54">
        <f>MAX($C$3/E23,((((E23)-(C23)))/E23))</f>
        <v>1.8284209756454325E-2</v>
      </c>
      <c r="G23" s="12">
        <f>E23-H23</f>
        <v>53.692</v>
      </c>
      <c r="H23" s="55">
        <f>E23*F23</f>
        <v>1</v>
      </c>
      <c r="I23" s="56"/>
      <c r="J23" s="91">
        <v>343</v>
      </c>
      <c r="K23" s="57"/>
      <c r="L23" s="3">
        <f>H23*12*J23</f>
        <v>4116</v>
      </c>
      <c r="N23" s="3">
        <f>E23*J23*12</f>
        <v>225112.272</v>
      </c>
      <c r="O23" s="3"/>
      <c r="R23" s="13"/>
      <c r="S23" s="13"/>
      <c r="U23" s="13"/>
      <c r="V23" s="13"/>
      <c r="W23" s="13"/>
      <c r="X23" s="13"/>
      <c r="Y23" s="13"/>
      <c r="Z23" s="13"/>
      <c r="AA23" s="13"/>
    </row>
    <row r="24" spans="1:27" x14ac:dyDescent="0.25">
      <c r="C24" s="71"/>
      <c r="D24" t="s">
        <v>45</v>
      </c>
      <c r="E24" s="2">
        <f>E18</f>
        <v>236.15900000000002</v>
      </c>
      <c r="F24" s="54">
        <f>MAX($C$3/E24,(1-((B23*2)/E24)),(H25/E24))</f>
        <v>4.2344352745396106E-3</v>
      </c>
      <c r="G24" s="12">
        <f>E24-H24</f>
        <v>235.15900000000002</v>
      </c>
      <c r="H24" s="55">
        <f t="shared" ref="H24" si="2">E24*F24</f>
        <v>1</v>
      </c>
      <c r="I24" s="56"/>
      <c r="J24" s="13"/>
      <c r="K24" s="91">
        <v>6684</v>
      </c>
      <c r="M24" s="3">
        <f>H24*12*K24</f>
        <v>80208</v>
      </c>
      <c r="O24" s="3">
        <f>E24*K24*12</f>
        <v>18941841.072000001</v>
      </c>
      <c r="T24" s="66"/>
    </row>
    <row r="25" spans="1:27" x14ac:dyDescent="0.25">
      <c r="C25" s="70">
        <f>G22+G25</f>
        <v>276.82800000000003</v>
      </c>
      <c r="D25" t="s">
        <v>46</v>
      </c>
      <c r="E25" s="2">
        <f>E19</f>
        <v>168.71800000000002</v>
      </c>
      <c r="F25" s="54">
        <f>MAX($C$3/E25,((((E25)-(B23))/E25)))</f>
        <v>5.9270498701976069E-3</v>
      </c>
      <c r="G25" s="12">
        <f>E25-H25</f>
        <v>167.71800000000002</v>
      </c>
      <c r="H25" s="55">
        <f>E25*F25</f>
        <v>0.99999999999999989</v>
      </c>
      <c r="I25" s="56"/>
      <c r="J25" s="13"/>
      <c r="K25" s="91">
        <v>33770</v>
      </c>
      <c r="M25" s="3">
        <f>H25*12*K25</f>
        <v>405239.99999999994</v>
      </c>
      <c r="O25" s="3">
        <f>E25*K25*12</f>
        <v>68371282.320000008</v>
      </c>
      <c r="T25" s="66"/>
    </row>
    <row r="26" spans="1:27" x14ac:dyDescent="0.25">
      <c r="J26" s="1"/>
      <c r="K26" s="1"/>
      <c r="L26" s="3"/>
      <c r="N26" s="3"/>
      <c r="O26" s="3"/>
      <c r="S26" s="13"/>
      <c r="T26" s="66"/>
    </row>
    <row r="27" spans="1:27" x14ac:dyDescent="0.25">
      <c r="H27" t="s">
        <v>47</v>
      </c>
      <c r="J27" s="1">
        <v>35012.356017272949</v>
      </c>
      <c r="K27" s="1">
        <v>85308.643982727051</v>
      </c>
      <c r="L27" s="58">
        <f t="shared" ref="L27:O27" si="3">SUM(L10:L25)</f>
        <v>835716.81662182638</v>
      </c>
      <c r="M27" s="58">
        <f t="shared" si="3"/>
        <v>12501002.183912234</v>
      </c>
      <c r="N27" s="3">
        <f t="shared" si="3"/>
        <v>45779568.166812241</v>
      </c>
      <c r="O27" s="3">
        <f t="shared" si="3"/>
        <v>183530694.49448597</v>
      </c>
    </row>
    <row r="28" spans="1:27" x14ac:dyDescent="0.25">
      <c r="H28" t="s">
        <v>48</v>
      </c>
      <c r="J28" s="2">
        <v>23.869196811820803</v>
      </c>
      <c r="K28" s="68">
        <v>146.53851708677243</v>
      </c>
      <c r="L28" s="3"/>
      <c r="M28" t="s">
        <v>49</v>
      </c>
      <c r="N28" s="11">
        <f>L27/N27</f>
        <v>1.8255235907351279E-2</v>
      </c>
      <c r="O28" s="11">
        <f>M27/O27</f>
        <v>6.811395891213072E-2</v>
      </c>
      <c r="P28" s="11">
        <f>(L27+M27)/(N27+O27)</f>
        <v>5.8160148812148926E-2</v>
      </c>
      <c r="T28" s="67"/>
    </row>
    <row r="29" spans="1:27" x14ac:dyDescent="0.25">
      <c r="H29" t="s">
        <v>50</v>
      </c>
      <c r="J29" s="2">
        <v>1.9890997343184003</v>
      </c>
      <c r="K29" s="2">
        <v>12.211543090564369</v>
      </c>
    </row>
    <row r="30" spans="1:27" x14ac:dyDescent="0.25">
      <c r="H30" t="s">
        <v>51</v>
      </c>
      <c r="L30" s="3">
        <f>T13</f>
        <v>2136333.1</v>
      </c>
      <c r="M30" s="3">
        <f>T11</f>
        <v>12570351.060000001</v>
      </c>
      <c r="N30" s="11"/>
    </row>
    <row r="31" spans="1:27" x14ac:dyDescent="0.25">
      <c r="H31" t="s">
        <v>52</v>
      </c>
      <c r="L31" s="11">
        <f>(L27-L30)/L30</f>
        <v>-0.60880781343423152</v>
      </c>
      <c r="M31" s="11">
        <f>(M27-M30)/M30</f>
        <v>-5.5168607270198334E-3</v>
      </c>
      <c r="N31" s="2">
        <f>((L27+M27)-(L30+M30))/(L30+M30)</f>
        <v>-9.3152551898274996E-2</v>
      </c>
    </row>
  </sheetData>
  <mergeCells count="6">
    <mergeCell ref="J7:J8"/>
    <mergeCell ref="K7:K8"/>
    <mergeCell ref="A16:A17"/>
    <mergeCell ref="A22:A23"/>
    <mergeCell ref="B4:C4"/>
    <mergeCell ref="D4:E4"/>
  </mergeCells>
  <pageMargins left="0.7" right="0.7" top="0.75" bottom="0.75" header="0.3" footer="0.3"/>
  <pageSetup paperSize="5" scale="60" orientation="landscape" r:id="rId1"/>
  <headerFooter>
    <oddHeader>&amp;CConsolidated Edison Company of New York, Inc.</oddHeader>
    <oddFooter>&amp;C_x000D_&amp;1#&amp;"Calibri"&amp;12&amp;K008000 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6C3A-5B74-49CA-B674-1CD1995900C6}">
  <sheetPr>
    <pageSetUpPr fitToPage="1"/>
  </sheetPr>
  <dimension ref="A1:AA37"/>
  <sheetViews>
    <sheetView topLeftCell="A2" zoomScaleNormal="100" workbookViewId="0">
      <selection activeCell="Q4" sqref="Q4"/>
    </sheetView>
  </sheetViews>
  <sheetFormatPr defaultRowHeight="15" x14ac:dyDescent="0.25"/>
  <cols>
    <col min="1" max="1" width="21.7109375" customWidth="1"/>
    <col min="2" max="2" width="22.5703125" bestFit="1" customWidth="1"/>
    <col min="3" max="3" width="13.85546875" customWidth="1"/>
    <col min="4" max="4" width="14.28515625" customWidth="1"/>
    <col min="5" max="5" width="11.140625" customWidth="1"/>
    <col min="6" max="6" width="9.140625" customWidth="1"/>
    <col min="7" max="7" width="11.42578125" customWidth="1"/>
    <col min="8" max="8" width="20.5703125" bestFit="1" customWidth="1"/>
    <col min="9" max="9" width="7.42578125" customWidth="1"/>
    <col min="10" max="11" width="10.42578125" customWidth="1"/>
    <col min="12" max="12" width="12" bestFit="1" customWidth="1"/>
    <col min="13" max="13" width="13.28515625" bestFit="1" customWidth="1"/>
    <col min="14" max="14" width="13" bestFit="1" customWidth="1"/>
    <col min="15" max="15" width="13.140625" bestFit="1" customWidth="1"/>
    <col min="17" max="17" width="13.5703125" customWidth="1"/>
    <col min="19" max="19" width="21.28515625" customWidth="1"/>
    <col min="20" max="20" width="28.28515625" style="13" customWidth="1"/>
    <col min="21" max="21" width="8" customWidth="1"/>
    <col min="22" max="22" width="19.28515625" customWidth="1"/>
    <col min="23" max="23" width="9.28515625" customWidth="1"/>
    <col min="24" max="24" width="9.85546875" customWidth="1"/>
    <col min="25" max="25" width="7.7109375" customWidth="1"/>
    <col min="26" max="26" width="8.28515625" customWidth="1"/>
  </cols>
  <sheetData>
    <row r="1" spans="1:27" ht="30.75" thickBot="1" x14ac:dyDescent="0.3">
      <c r="B1" s="45" t="s">
        <v>18</v>
      </c>
      <c r="C1" s="84">
        <v>0.06</v>
      </c>
      <c r="G1" s="78"/>
      <c r="H1" s="78"/>
      <c r="J1" s="87"/>
      <c r="K1" s="87"/>
      <c r="N1" s="75"/>
      <c r="O1" s="75"/>
      <c r="P1" s="75"/>
      <c r="Q1" s="75"/>
      <c r="R1" s="75"/>
    </row>
    <row r="2" spans="1:27" ht="15.75" thickBot="1" x14ac:dyDescent="0.3">
      <c r="B2" s="46" t="s">
        <v>54</v>
      </c>
      <c r="C2" s="85">
        <v>3</v>
      </c>
      <c r="G2" s="71"/>
      <c r="J2" s="12"/>
      <c r="K2" s="12"/>
      <c r="L2" s="9"/>
      <c r="M2" s="9"/>
      <c r="N2" s="12"/>
      <c r="O2" s="9"/>
    </row>
    <row r="3" spans="1:27" ht="15.75" thickBot="1" x14ac:dyDescent="0.3">
      <c r="B3" s="46" t="s">
        <v>55</v>
      </c>
      <c r="C3" s="86">
        <v>1</v>
      </c>
      <c r="G3" s="71"/>
      <c r="J3" s="12"/>
      <c r="K3" s="12"/>
      <c r="L3" s="9"/>
      <c r="M3" s="9"/>
      <c r="N3" s="12"/>
      <c r="O3" s="9"/>
    </row>
    <row r="4" spans="1:27" ht="15.75" thickBot="1" x14ac:dyDescent="0.3">
      <c r="B4" s="124" t="s">
        <v>8</v>
      </c>
      <c r="C4" s="125"/>
      <c r="D4" s="124" t="s">
        <v>5</v>
      </c>
      <c r="E4" s="125"/>
      <c r="G4" s="71"/>
      <c r="J4" s="12"/>
      <c r="K4" s="76"/>
      <c r="L4" s="77"/>
      <c r="M4" s="10"/>
      <c r="N4" s="12"/>
    </row>
    <row r="5" spans="1:27" ht="45" x14ac:dyDescent="0.25">
      <c r="A5" s="47" t="s">
        <v>19</v>
      </c>
      <c r="B5" s="48" t="s">
        <v>20</v>
      </c>
      <c r="C5" s="49" t="s">
        <v>21</v>
      </c>
      <c r="D5" s="50" t="s">
        <v>20</v>
      </c>
      <c r="E5" s="51" t="s">
        <v>21</v>
      </c>
      <c r="R5" s="13"/>
      <c r="S5" s="13" t="s">
        <v>22</v>
      </c>
      <c r="T5" s="59" t="s">
        <v>95</v>
      </c>
      <c r="U5" s="59" t="s">
        <v>23</v>
      </c>
      <c r="V5" s="59" t="s">
        <v>24</v>
      </c>
      <c r="W5" s="59" t="s">
        <v>25</v>
      </c>
      <c r="X5" s="60" t="s">
        <v>26</v>
      </c>
      <c r="Y5" s="59" t="s">
        <v>27</v>
      </c>
      <c r="Z5" s="59" t="s">
        <v>28</v>
      </c>
      <c r="AA5" s="13"/>
    </row>
    <row r="6" spans="1:27" ht="15.75" thickBot="1" x14ac:dyDescent="0.3">
      <c r="A6" s="52">
        <f>B6+D6</f>
        <v>0.06</v>
      </c>
      <c r="B6" s="53">
        <f>C1/2/C6</f>
        <v>0.03</v>
      </c>
      <c r="C6" s="80">
        <v>1</v>
      </c>
      <c r="D6" s="53">
        <f>C1/2/E6</f>
        <v>0.03</v>
      </c>
      <c r="E6" s="80">
        <v>1</v>
      </c>
      <c r="H6" s="2"/>
      <c r="J6" s="9"/>
      <c r="K6" s="9"/>
      <c r="R6" s="13"/>
      <c r="S6" s="13"/>
      <c r="U6" s="13"/>
      <c r="V6" s="13"/>
      <c r="W6" s="13"/>
      <c r="X6" s="13"/>
      <c r="Y6" s="13"/>
      <c r="Z6" s="13"/>
      <c r="AA6" s="13"/>
    </row>
    <row r="7" spans="1:27" x14ac:dyDescent="0.25">
      <c r="D7" s="13"/>
      <c r="E7" s="13"/>
      <c r="F7" s="13"/>
      <c r="J7" s="122" t="s">
        <v>29</v>
      </c>
      <c r="K7" s="122" t="s">
        <v>30</v>
      </c>
      <c r="L7" s="5"/>
      <c r="M7" s="5"/>
      <c r="N7" s="5"/>
      <c r="O7" s="5"/>
      <c r="R7" s="13" t="s">
        <v>31</v>
      </c>
      <c r="S7" s="56">
        <f>M27</f>
        <v>1761401.5945196003</v>
      </c>
      <c r="T7" s="81">
        <v>1087514642</v>
      </c>
      <c r="U7" s="54">
        <f>S7/T7</f>
        <v>1.6196578202205027E-3</v>
      </c>
      <c r="V7" s="57">
        <v>6953728279</v>
      </c>
      <c r="W7" s="13">
        <f>S7/V7</f>
        <v>2.5330319561651086E-4</v>
      </c>
      <c r="X7" s="57">
        <v>4756652</v>
      </c>
      <c r="Y7" s="13">
        <f>S7/X7/12</f>
        <v>3.0858567372590361E-2</v>
      </c>
      <c r="Z7" s="13">
        <f>S7/X7</f>
        <v>0.37030280847108432</v>
      </c>
      <c r="AA7" s="13"/>
    </row>
    <row r="8" spans="1:27" x14ac:dyDescent="0.25">
      <c r="D8" s="13"/>
      <c r="E8" s="82" t="s">
        <v>32</v>
      </c>
      <c r="F8" s="82" t="s">
        <v>33</v>
      </c>
      <c r="G8" s="5" t="s">
        <v>34</v>
      </c>
      <c r="H8" s="88" t="s">
        <v>35</v>
      </c>
      <c r="J8" s="122"/>
      <c r="K8" s="122"/>
      <c r="L8" s="88" t="s">
        <v>36</v>
      </c>
      <c r="M8" s="88" t="s">
        <v>37</v>
      </c>
      <c r="N8" s="88" t="s">
        <v>38</v>
      </c>
      <c r="O8" s="88" t="s">
        <v>39</v>
      </c>
      <c r="R8" s="13"/>
      <c r="S8" s="13"/>
      <c r="T8" s="56"/>
      <c r="U8" s="13"/>
      <c r="V8" s="57"/>
      <c r="W8" s="61"/>
      <c r="X8" s="13"/>
      <c r="Y8" s="12"/>
      <c r="Z8" s="13"/>
      <c r="AA8" s="13"/>
    </row>
    <row r="9" spans="1:27" x14ac:dyDescent="0.25">
      <c r="R9" s="13" t="s">
        <v>43</v>
      </c>
      <c r="S9" s="56">
        <f>L27</f>
        <v>708834.00198085175</v>
      </c>
      <c r="T9" s="81">
        <v>415784396</v>
      </c>
      <c r="U9" s="54">
        <f>S9/T9</f>
        <v>1.704811457091939E-3</v>
      </c>
      <c r="V9" s="57">
        <v>545249379</v>
      </c>
      <c r="W9" s="61">
        <f>S9/V9</f>
        <v>1.3000179904484618E-3</v>
      </c>
      <c r="X9" s="57">
        <v>3920582</v>
      </c>
      <c r="Y9" s="12">
        <f>S9/X9/12</f>
        <v>1.5066513126130504E-2</v>
      </c>
      <c r="Z9" s="12">
        <f>S9/X9</f>
        <v>0.18079815751356604</v>
      </c>
      <c r="AA9" s="13"/>
    </row>
    <row r="10" spans="1:27" x14ac:dyDescent="0.25">
      <c r="A10" s="5" t="s">
        <v>61</v>
      </c>
      <c r="B10" s="82" t="s">
        <v>40</v>
      </c>
      <c r="C10" s="82" t="s">
        <v>41</v>
      </c>
      <c r="D10" s="13" t="s">
        <v>42</v>
      </c>
      <c r="E10" s="12">
        <f>'Utility Data'!F75</f>
        <v>99.296999999999997</v>
      </c>
      <c r="F10" s="54">
        <f>MAX($C$2/E10,((((E10)-(C11)))/E10))</f>
        <v>3.0212393123659326E-2</v>
      </c>
      <c r="G10" s="12">
        <f>E10-H10</f>
        <v>96.296999999999997</v>
      </c>
      <c r="H10" s="55">
        <f t="shared" ref="H10:H13" si="0">E10*F10</f>
        <v>3</v>
      </c>
      <c r="I10" s="12"/>
      <c r="J10" s="91">
        <v>1267.8628810388468</v>
      </c>
      <c r="K10" s="57"/>
      <c r="L10" s="3">
        <f>H10*12*J10</f>
        <v>45643.063717398487</v>
      </c>
      <c r="N10" s="3">
        <f>E10*J10*12</f>
        <v>1510739.7659821725</v>
      </c>
      <c r="O10" s="3"/>
      <c r="R10" s="13"/>
      <c r="S10" s="13"/>
      <c r="U10" s="13"/>
      <c r="V10" s="13"/>
      <c r="W10" s="13"/>
      <c r="X10" s="13"/>
      <c r="Y10" s="13"/>
      <c r="Z10" s="13"/>
      <c r="AA10" s="13"/>
    </row>
    <row r="11" spans="1:27" x14ac:dyDescent="0.25">
      <c r="B11" s="55">
        <f>'Target Energy Burden'!G3/$C$6/2</f>
        <v>136.04604166666667</v>
      </c>
      <c r="C11" s="90">
        <f>'Target Energy Burden'!G3/$E$6/2</f>
        <v>136.04604166666667</v>
      </c>
      <c r="D11" s="13" t="s">
        <v>44</v>
      </c>
      <c r="E11" s="12">
        <f>'Utility Data'!F76</f>
        <v>78.419000000000011</v>
      </c>
      <c r="F11" s="54">
        <f>MAX($C$2/E11,((((E11)-(C12)))/E11))</f>
        <v>3.8256034889503812E-2</v>
      </c>
      <c r="G11" s="12">
        <f t="shared" ref="G11:G13" si="1">E11-H11</f>
        <v>75.419000000000011</v>
      </c>
      <c r="H11" s="55">
        <f t="shared" si="0"/>
        <v>3</v>
      </c>
      <c r="I11" s="12"/>
      <c r="J11" s="91">
        <v>150.63717398481347</v>
      </c>
      <c r="K11" s="57"/>
      <c r="L11" s="3">
        <f>H11*12*J11</f>
        <v>5422.9382634532849</v>
      </c>
      <c r="N11" s="3">
        <f>E11*J11*12</f>
        <v>141753.79856058108</v>
      </c>
      <c r="O11" s="3"/>
      <c r="R11" s="13"/>
      <c r="S11" s="13" t="s">
        <v>56</v>
      </c>
      <c r="T11" s="56">
        <f>T7*0.005</f>
        <v>5437573.21</v>
      </c>
      <c r="U11" s="62"/>
      <c r="V11" s="13"/>
      <c r="W11" s="13"/>
      <c r="X11" s="13"/>
      <c r="Y11" s="13"/>
      <c r="Z11" s="13"/>
      <c r="AA11" s="13"/>
    </row>
    <row r="12" spans="1:27" x14ac:dyDescent="0.25">
      <c r="B12" s="55">
        <f>'Target Energy Burden'!G4/$C$6/2</f>
        <v>121.46270833333332</v>
      </c>
      <c r="C12" s="90">
        <f>'Target Energy Burden'!G4/$E$6/2</f>
        <v>121.46270833333332</v>
      </c>
      <c r="D12" s="13" t="s">
        <v>45</v>
      </c>
      <c r="E12" s="12">
        <f>'Utility Data'!F77</f>
        <v>178.21100000000001</v>
      </c>
      <c r="F12" s="54">
        <f>MAX($C$2/E12,(1-((B11*2)/E12)),(H13/E12))</f>
        <v>0.14048118054815187</v>
      </c>
      <c r="G12" s="12">
        <f t="shared" si="1"/>
        <v>153.17570833333332</v>
      </c>
      <c r="H12" s="55">
        <f t="shared" si="0"/>
        <v>25.035291666666694</v>
      </c>
      <c r="I12" s="12"/>
      <c r="J12" s="13"/>
      <c r="K12" s="91">
        <v>126.53522614724332</v>
      </c>
      <c r="M12" s="3">
        <f>H12*12*K12</f>
        <v>38014.155512446399</v>
      </c>
      <c r="O12" s="3">
        <f>E12*K12*12</f>
        <v>270599.63024311658</v>
      </c>
      <c r="R12" s="13"/>
      <c r="S12" s="13"/>
      <c r="U12" s="13"/>
      <c r="V12" s="13"/>
      <c r="W12" s="13"/>
      <c r="X12" s="13"/>
      <c r="Y12" s="13"/>
      <c r="Z12" s="13"/>
      <c r="AA12" s="13"/>
    </row>
    <row r="13" spans="1:27" x14ac:dyDescent="0.25">
      <c r="B13" s="13"/>
      <c r="C13" s="90"/>
      <c r="D13" s="13" t="s">
        <v>46</v>
      </c>
      <c r="E13" s="12">
        <f>'Utility Data'!F78</f>
        <v>146.49800000000002</v>
      </c>
      <c r="F13" s="54">
        <f>MAX($C$2/E13,((((E13)-(B12))/E13)))</f>
        <v>0.17089169590483619</v>
      </c>
      <c r="G13" s="12">
        <f t="shared" si="1"/>
        <v>121.46270833333332</v>
      </c>
      <c r="H13" s="55">
        <f t="shared" si="0"/>
        <v>25.035291666666694</v>
      </c>
      <c r="I13" s="12"/>
      <c r="J13" s="13"/>
      <c r="K13" s="91">
        <v>3017.7647188290966</v>
      </c>
      <c r="M13" s="3">
        <f>H13*12*K13</f>
        <v>906607.43900715408</v>
      </c>
      <c r="O13" s="3">
        <f>E13*K13*12</f>
        <v>5305157.9493483007</v>
      </c>
      <c r="R13" s="13"/>
      <c r="S13" s="13" t="s">
        <v>57</v>
      </c>
      <c r="T13" s="56">
        <f>T9*0.005</f>
        <v>2078921.98</v>
      </c>
      <c r="U13" s="13"/>
      <c r="V13" s="13"/>
      <c r="W13" s="13"/>
      <c r="X13" s="13"/>
      <c r="Y13" s="13"/>
      <c r="Z13" s="13"/>
      <c r="AA13" s="13"/>
    </row>
    <row r="14" spans="1:27" ht="15" customHeight="1" x14ac:dyDescent="0.25">
      <c r="R14" s="13"/>
      <c r="S14" s="13"/>
      <c r="U14" s="13"/>
      <c r="V14" s="13"/>
      <c r="W14" s="13"/>
      <c r="X14" s="13"/>
      <c r="Y14" s="13"/>
      <c r="Z14" s="13"/>
      <c r="AA14" s="13"/>
    </row>
    <row r="15" spans="1:27" x14ac:dyDescent="0.25">
      <c r="E15" s="13" t="s">
        <v>32</v>
      </c>
      <c r="F15" s="13" t="s">
        <v>33</v>
      </c>
      <c r="G15" t="s">
        <v>34</v>
      </c>
      <c r="H15" s="87" t="s">
        <v>35</v>
      </c>
      <c r="J15" s="57"/>
      <c r="K15" s="13"/>
      <c r="L15" s="3"/>
      <c r="N15" s="3"/>
      <c r="O15" s="3"/>
      <c r="R15" s="13"/>
      <c r="S15" s="65"/>
      <c r="T15" s="63"/>
      <c r="U15" s="64"/>
      <c r="V15" s="57"/>
      <c r="W15" s="13"/>
      <c r="X15" s="57"/>
      <c r="Y15" s="13"/>
      <c r="Z15" s="13"/>
      <c r="AA15" s="13"/>
    </row>
    <row r="16" spans="1:27" x14ac:dyDescent="0.25">
      <c r="A16" s="123" t="s">
        <v>58</v>
      </c>
      <c r="B16" s="5" t="s">
        <v>40</v>
      </c>
      <c r="C16" s="5" t="s">
        <v>41</v>
      </c>
      <c r="D16" t="s">
        <v>42</v>
      </c>
      <c r="E16" s="2">
        <f>'Utility Data'!F75</f>
        <v>99.296999999999997</v>
      </c>
      <c r="F16" s="54">
        <f>MAX($C$2/E16,((((E16)-(C17)))/E16))</f>
        <v>3.0212393123659326E-2</v>
      </c>
      <c r="G16" s="12">
        <f>E16-H16</f>
        <v>96.296999999999997</v>
      </c>
      <c r="H16" s="55">
        <f>E16*F16</f>
        <v>3</v>
      </c>
      <c r="I16" s="56"/>
      <c r="J16" s="91">
        <v>13030</v>
      </c>
      <c r="K16" s="57"/>
      <c r="L16" s="3">
        <f>H16*12*J16</f>
        <v>469080</v>
      </c>
      <c r="N16" s="3">
        <f>E16*J16*12</f>
        <v>15526078.919999998</v>
      </c>
      <c r="O16" s="3"/>
      <c r="R16" s="13"/>
      <c r="S16" s="13"/>
      <c r="U16" s="13"/>
      <c r="V16" s="57"/>
      <c r="W16" s="61"/>
      <c r="X16" s="13"/>
      <c r="Y16" s="12"/>
      <c r="Z16" s="13"/>
      <c r="AA16" s="13"/>
    </row>
    <row r="17" spans="1:27" x14ac:dyDescent="0.25">
      <c r="A17" s="123"/>
      <c r="B17" s="14">
        <f>'Target Energy Burden'!E31/$C$6/2</f>
        <v>150.18499999999997</v>
      </c>
      <c r="C17" s="70">
        <f>'Target Energy Burden'!E31/$E$6/2</f>
        <v>150.18499999999997</v>
      </c>
      <c r="D17" t="s">
        <v>44</v>
      </c>
      <c r="E17" s="2">
        <f>'Utility Data'!F76</f>
        <v>78.419000000000011</v>
      </c>
      <c r="F17" s="54">
        <f>MAX($C$2/E17,((((E17)-(C17)))/E17))</f>
        <v>3.8256034889503812E-2</v>
      </c>
      <c r="G17" s="12">
        <f>E17-H17</f>
        <v>75.419000000000011</v>
      </c>
      <c r="H17" s="55">
        <f>E17*F17</f>
        <v>3</v>
      </c>
      <c r="I17" s="56"/>
      <c r="J17" s="91">
        <v>415</v>
      </c>
      <c r="K17" s="57"/>
      <c r="L17" s="3">
        <f>H17*12*J17</f>
        <v>14940</v>
      </c>
      <c r="N17" s="3">
        <f>E17*J17*12</f>
        <v>390526.62000000005</v>
      </c>
      <c r="O17" s="3"/>
      <c r="R17" s="13"/>
      <c r="S17" s="13"/>
      <c r="T17" s="56"/>
      <c r="U17" s="62"/>
      <c r="V17" s="57"/>
      <c r="W17" s="61"/>
      <c r="X17" s="57"/>
      <c r="Y17" s="12"/>
      <c r="Z17" s="12"/>
      <c r="AA17" s="13"/>
    </row>
    <row r="18" spans="1:27" x14ac:dyDescent="0.25">
      <c r="C18" s="72"/>
      <c r="D18" t="s">
        <v>45</v>
      </c>
      <c r="E18" s="2">
        <f>'Utility Data'!F77</f>
        <v>178.21100000000001</v>
      </c>
      <c r="F18" s="54">
        <f>MAX($C$2/E18,(1-((B17*2)/E18)),(H19/E18))</f>
        <v>1.683397770059087E-2</v>
      </c>
      <c r="G18" s="12">
        <f>E18-H18</f>
        <v>175.21100000000001</v>
      </c>
      <c r="H18" s="55">
        <f>E18*F18</f>
        <v>2.9999999999999996</v>
      </c>
      <c r="I18" s="56"/>
      <c r="J18" s="13"/>
      <c r="K18" s="91">
        <v>1360</v>
      </c>
      <c r="M18" s="3">
        <f>H18*12*K18</f>
        <v>48959.999999999993</v>
      </c>
      <c r="O18" s="3">
        <f>E18*K18*12</f>
        <v>2908403.5200000005</v>
      </c>
      <c r="R18" s="13"/>
      <c r="S18" s="13"/>
      <c r="U18" s="13"/>
      <c r="V18" s="13"/>
      <c r="W18" s="13"/>
      <c r="X18" s="13"/>
      <c r="Y18" s="13"/>
      <c r="Z18" s="13"/>
      <c r="AA18" s="13"/>
    </row>
    <row r="19" spans="1:27" x14ac:dyDescent="0.25">
      <c r="C19" s="70">
        <f>G16+G19</f>
        <v>239.79500000000002</v>
      </c>
      <c r="D19" t="s">
        <v>46</v>
      </c>
      <c r="E19" s="2">
        <f>'Utility Data'!F78</f>
        <v>146.49800000000002</v>
      </c>
      <c r="F19" s="54">
        <f>MAX($C$2/E19,((((E19)-(B17))/E19)))</f>
        <v>2.0478095264099164E-2</v>
      </c>
      <c r="G19" s="12">
        <f>E19-H19</f>
        <v>143.49800000000002</v>
      </c>
      <c r="H19" s="55">
        <f>E19*F19</f>
        <v>2.9999999999999996</v>
      </c>
      <c r="I19" s="56"/>
      <c r="J19" s="13"/>
      <c r="K19" s="91">
        <v>15335</v>
      </c>
      <c r="M19" s="3">
        <f>H19*12*K19</f>
        <v>552059.99999999988</v>
      </c>
      <c r="O19" s="3">
        <f>E19*K19*12</f>
        <v>26958561.960000001</v>
      </c>
      <c r="R19" s="13"/>
      <c r="S19" s="13"/>
      <c r="T19" s="65"/>
      <c r="U19" s="13"/>
      <c r="V19" s="13"/>
      <c r="W19" s="13"/>
      <c r="X19" s="13"/>
      <c r="Y19" s="13"/>
      <c r="Z19" s="13"/>
      <c r="AA19" s="13"/>
    </row>
    <row r="20" spans="1:27" x14ac:dyDescent="0.25">
      <c r="D20" s="13"/>
      <c r="E20" s="12"/>
      <c r="F20" s="12"/>
      <c r="G20" s="12"/>
      <c r="H20" s="14"/>
      <c r="J20" s="57"/>
      <c r="K20" s="13"/>
      <c r="L20" s="3"/>
      <c r="N20" s="3"/>
      <c r="O20" s="3"/>
      <c r="R20" s="13"/>
      <c r="S20" s="13"/>
      <c r="U20" s="13"/>
      <c r="V20" s="13"/>
      <c r="W20" s="13"/>
      <c r="X20" s="13"/>
      <c r="Y20" s="13"/>
      <c r="Z20" s="13"/>
      <c r="AA20" s="13"/>
    </row>
    <row r="21" spans="1:27" x14ac:dyDescent="0.25">
      <c r="D21" s="13"/>
      <c r="E21" s="12"/>
      <c r="F21" s="13" t="s">
        <v>33</v>
      </c>
      <c r="G21" s="13" t="s">
        <v>32</v>
      </c>
      <c r="H21" s="14" t="s">
        <v>35</v>
      </c>
      <c r="J21" s="57"/>
      <c r="K21" s="13"/>
      <c r="L21" s="3"/>
      <c r="N21" s="3"/>
      <c r="O21" s="3"/>
      <c r="R21" s="13"/>
      <c r="S21" s="13"/>
      <c r="T21" s="56"/>
      <c r="U21" s="13"/>
      <c r="V21" s="13"/>
      <c r="W21" s="13"/>
      <c r="X21" s="13"/>
      <c r="Y21" s="13"/>
      <c r="Z21" s="13"/>
      <c r="AA21" s="13"/>
    </row>
    <row r="22" spans="1:27" x14ac:dyDescent="0.25">
      <c r="A22" s="123" t="s">
        <v>59</v>
      </c>
      <c r="B22" s="5" t="s">
        <v>40</v>
      </c>
      <c r="C22" s="5" t="s">
        <v>41</v>
      </c>
      <c r="D22" t="s">
        <v>42</v>
      </c>
      <c r="E22" s="2">
        <f>E16</f>
        <v>99.296999999999997</v>
      </c>
      <c r="F22" s="54">
        <f>MAX($C$3/E22,((((E22)-(C23)))/E22))</f>
        <v>1.0070797707886442E-2</v>
      </c>
      <c r="G22" s="12">
        <f>E22-H22</f>
        <v>98.296999999999997</v>
      </c>
      <c r="H22" s="55">
        <f>E22*F22</f>
        <v>1</v>
      </c>
      <c r="I22" s="56"/>
      <c r="J22" s="91">
        <v>14032</v>
      </c>
      <c r="K22" s="57"/>
      <c r="L22" s="3">
        <f>H22*12*J22</f>
        <v>168384</v>
      </c>
      <c r="N22" s="3">
        <f>E22*J22*12</f>
        <v>16720026.048</v>
      </c>
      <c r="O22" s="3"/>
      <c r="R22" s="13"/>
      <c r="S22" s="13"/>
      <c r="U22" s="13"/>
      <c r="V22" s="13"/>
      <c r="W22" s="13"/>
      <c r="X22" s="13"/>
      <c r="Y22" s="13"/>
      <c r="Z22" s="13"/>
      <c r="AA22" s="13"/>
    </row>
    <row r="23" spans="1:27" x14ac:dyDescent="0.25">
      <c r="A23" s="123"/>
      <c r="B23" s="14">
        <f>'Target Energy Burden'!E32/$C$6/2</f>
        <v>193.095</v>
      </c>
      <c r="C23" s="70">
        <f>'Target Energy Burden'!E32/$E$6/2</f>
        <v>193.095</v>
      </c>
      <c r="D23" t="s">
        <v>44</v>
      </c>
      <c r="E23" s="2">
        <f>E17</f>
        <v>78.419000000000011</v>
      </c>
      <c r="F23" s="54">
        <f>MAX($C$3/E23,((((E23)-(C23)))/E23))</f>
        <v>1.2752011629834605E-2</v>
      </c>
      <c r="G23" s="12">
        <f>E23-H23</f>
        <v>77.419000000000011</v>
      </c>
      <c r="H23" s="55">
        <f>E23*F23</f>
        <v>1</v>
      </c>
      <c r="I23" s="56"/>
      <c r="J23" s="91">
        <v>447</v>
      </c>
      <c r="K23" s="57"/>
      <c r="L23" s="3">
        <f>H23*12*J23</f>
        <v>5364</v>
      </c>
      <c r="N23" s="3">
        <f>E23*J23*12</f>
        <v>420639.51600000006</v>
      </c>
      <c r="O23" s="3"/>
      <c r="R23" s="13"/>
      <c r="S23" s="13"/>
      <c r="U23" s="13"/>
      <c r="V23" s="13"/>
      <c r="W23" s="13"/>
      <c r="X23" s="13"/>
      <c r="Y23" s="13"/>
      <c r="Z23" s="13"/>
      <c r="AA23" s="13"/>
    </row>
    <row r="24" spans="1:27" x14ac:dyDescent="0.25">
      <c r="C24" s="71"/>
      <c r="D24" t="s">
        <v>45</v>
      </c>
      <c r="E24" s="2">
        <f>E18</f>
        <v>178.21100000000001</v>
      </c>
      <c r="F24" s="54">
        <f>MAX($C$3/E24,(1-((B23*2)/E24)),(H25/E24))</f>
        <v>5.6113259001969572E-3</v>
      </c>
      <c r="G24" s="12">
        <f>E24-H24</f>
        <v>177.21100000000001</v>
      </c>
      <c r="H24" s="55">
        <f t="shared" ref="H24" si="2">E24*F24</f>
        <v>1</v>
      </c>
      <c r="I24" s="56"/>
      <c r="J24" s="13"/>
      <c r="K24" s="91">
        <v>1465</v>
      </c>
      <c r="M24" s="3">
        <f>H24*12*K24</f>
        <v>17580</v>
      </c>
      <c r="O24" s="3">
        <f>E24*K24*12</f>
        <v>3132949.3800000004</v>
      </c>
      <c r="T24" s="66"/>
    </row>
    <row r="25" spans="1:27" x14ac:dyDescent="0.25">
      <c r="C25" s="70">
        <f>G22+G25</f>
        <v>243.79500000000002</v>
      </c>
      <c r="D25" t="s">
        <v>46</v>
      </c>
      <c r="E25" s="2">
        <f>E19</f>
        <v>146.49800000000002</v>
      </c>
      <c r="F25" s="54">
        <f>MAX($C$3/E25,((((E25)-(B23))/E25)))</f>
        <v>6.8260317546997218E-3</v>
      </c>
      <c r="G25" s="12">
        <f>E25-H25</f>
        <v>145.49800000000002</v>
      </c>
      <c r="H25" s="55">
        <f>E25*F25</f>
        <v>1</v>
      </c>
      <c r="I25" s="56"/>
      <c r="J25" s="13"/>
      <c r="K25" s="91">
        <v>16515</v>
      </c>
      <c r="M25" s="3">
        <f>H25*12*K25</f>
        <v>198180</v>
      </c>
      <c r="O25" s="3">
        <f>E25*K25*12</f>
        <v>29032973.640000001</v>
      </c>
      <c r="T25" s="66"/>
    </row>
    <row r="26" spans="1:27" x14ac:dyDescent="0.25">
      <c r="J26" s="1"/>
      <c r="K26" s="1"/>
      <c r="L26" s="3"/>
      <c r="N26" s="3"/>
      <c r="O26" s="3"/>
      <c r="S26" s="13"/>
      <c r="T26" s="66"/>
    </row>
    <row r="27" spans="1:27" x14ac:dyDescent="0.25">
      <c r="H27" t="s">
        <v>47</v>
      </c>
      <c r="J27" s="1">
        <f t="shared" ref="J27:O27" si="3">SUM(J10:J25)</f>
        <v>29342.500055023658</v>
      </c>
      <c r="K27" s="1">
        <f t="shared" si="3"/>
        <v>37819.299944976345</v>
      </c>
      <c r="L27" s="58">
        <f t="shared" si="3"/>
        <v>708834.00198085175</v>
      </c>
      <c r="M27" s="58">
        <f t="shared" si="3"/>
        <v>1761401.5945196003</v>
      </c>
      <c r="N27" s="3">
        <f t="shared" si="3"/>
        <v>34709764.668542758</v>
      </c>
      <c r="O27" s="3">
        <f t="shared" si="3"/>
        <v>67608646.079591423</v>
      </c>
    </row>
    <row r="28" spans="1:27" x14ac:dyDescent="0.25">
      <c r="H28" t="s">
        <v>48</v>
      </c>
      <c r="J28" s="2">
        <f>L27/J27</f>
        <v>24.157246337279773</v>
      </c>
      <c r="K28" s="68">
        <f>M27/K27</f>
        <v>46.574145927668681</v>
      </c>
      <c r="L28" s="3"/>
      <c r="M28" t="s">
        <v>49</v>
      </c>
      <c r="N28" s="11">
        <f>L27/N27</f>
        <v>2.042174612100622E-2</v>
      </c>
      <c r="O28" s="11">
        <f>M27/O27</f>
        <v>2.6052904423585301E-2</v>
      </c>
      <c r="P28" s="11">
        <f>(L27+M27)/(N27+O27)</f>
        <v>2.4142630621786686E-2</v>
      </c>
      <c r="T28" s="67"/>
    </row>
    <row r="29" spans="1:27" x14ac:dyDescent="0.25">
      <c r="H29" t="s">
        <v>50</v>
      </c>
      <c r="J29" s="2">
        <f>J28/12</f>
        <v>2.0131038614399812</v>
      </c>
      <c r="K29" s="2">
        <f>K28/12</f>
        <v>3.8811788273057233</v>
      </c>
    </row>
    <row r="30" spans="1:27" x14ac:dyDescent="0.25">
      <c r="H30" t="s">
        <v>51</v>
      </c>
      <c r="L30" s="3">
        <f>T11</f>
        <v>5437573.21</v>
      </c>
      <c r="M30" s="3">
        <f>T13</f>
        <v>2078921.98</v>
      </c>
      <c r="N30" s="11"/>
    </row>
    <row r="31" spans="1:27" x14ac:dyDescent="0.25">
      <c r="H31" t="s">
        <v>52</v>
      </c>
      <c r="L31" s="11">
        <f>(L27-L30)/L30</f>
        <v>-0.86964147890877752</v>
      </c>
      <c r="M31" s="11">
        <f>(M27-M30)/M30</f>
        <v>-0.15273318986237266</v>
      </c>
      <c r="N31" s="2">
        <f>((L27+M27)-(L30+M30))/(L30+M30)</f>
        <v>-0.67135805530922543</v>
      </c>
    </row>
    <row r="37" spans="1:1" x14ac:dyDescent="0.25">
      <c r="A37" s="98" t="s">
        <v>92</v>
      </c>
    </row>
  </sheetData>
  <mergeCells count="6">
    <mergeCell ref="A22:A23"/>
    <mergeCell ref="B4:C4"/>
    <mergeCell ref="D4:E4"/>
    <mergeCell ref="J7:J8"/>
    <mergeCell ref="K7:K8"/>
    <mergeCell ref="A16:A17"/>
  </mergeCells>
  <pageMargins left="0.7" right="0.7" top="0.75" bottom="0.75" header="0.3" footer="0.3"/>
  <pageSetup paperSize="5" scale="60" orientation="landscape" r:id="rId1"/>
  <headerFooter>
    <oddHeader>&amp;CConsolidated Edison Company of New York, Inc.</oddHeader>
    <oddFooter>&amp;C_x000D_&amp;1#&amp;"Calibri"&amp;12&amp;K008000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F96BCABC35F0478E20A50E7E519B96" ma:contentTypeVersion="8" ma:contentTypeDescription="Create a new document." ma:contentTypeScope="" ma:versionID="cb8dfd84a88ed2966b69423de8e2b67c">
  <xsd:schema xmlns:xsd="http://www.w3.org/2001/XMLSchema" xmlns:xs="http://www.w3.org/2001/XMLSchema" xmlns:p="http://schemas.microsoft.com/office/2006/metadata/properties" xmlns:ns2="cc542e81-7b2e-41b6-9b13-aa27ff9db5ce" targetNamespace="http://schemas.microsoft.com/office/2006/metadata/properties" ma:root="true" ma:fieldsID="f7bba4c86570ca5819bf87c617ec9f0c" ns2:_="">
    <xsd:import namespace="cc542e81-7b2e-41b6-9b13-aa27ff9db5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542e81-7b2e-41b6-9b13-aa27ff9db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33E20A-FDB2-40A6-9E18-C15BFA736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542e81-7b2e-41b6-9b13-aa27ff9db5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19EEAA-287D-48E5-B028-B161497EBC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C8A011-E08D-4FD7-A17E-5531DD9A52F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c542e81-7b2e-41b6-9b13-aa27ff9db5c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Target Energy Burden</vt:lpstr>
      <vt:lpstr>Utility Data</vt:lpstr>
      <vt:lpstr>NYSEG</vt:lpstr>
      <vt:lpstr>RGE</vt:lpstr>
      <vt:lpstr>NYSEG!Print_Area</vt:lpstr>
      <vt:lpstr>RGE!Print_Area</vt:lpstr>
      <vt:lpstr>'Target Energy Burden'!Print_Area</vt:lpstr>
      <vt:lpstr>'Utility Data'!Print_Area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Craig Carroll,CSC</dc:creator>
  <cp:keywords/>
  <dc:description/>
  <cp:lastModifiedBy>Nichols, Jeanette</cp:lastModifiedBy>
  <cp:revision/>
  <dcterms:created xsi:type="dcterms:W3CDTF">2019-12-31T19:13:09Z</dcterms:created>
  <dcterms:modified xsi:type="dcterms:W3CDTF">2025-12-09T00:36:08Z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0x010100C7F96BCABC35F0478E20A50E7E519B96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  <property fmtid="{D5CDD505-2E9C-101B-9397-08002B2CF9AE}" pid="7" name="MSIP_Label_e3c80e74-9bd4-4754-bdea-db9da1ede87d_Enabled">
    <vt:lpwstr>true</vt:lpwstr>
  </property>
  <property fmtid="{D5CDD505-2E9C-101B-9397-08002B2CF9AE}" pid="8" name="MSIP_Label_e3c80e74-9bd4-4754-bdea-db9da1ede87d_SetDate">
    <vt:lpwstr>2024-12-09T13:05:17Z</vt:lpwstr>
  </property>
  <property fmtid="{D5CDD505-2E9C-101B-9397-08002B2CF9AE}" pid="9" name="MSIP_Label_e3c80e74-9bd4-4754-bdea-db9da1ede87d_Method">
    <vt:lpwstr>Privileged</vt:lpwstr>
  </property>
  <property fmtid="{D5CDD505-2E9C-101B-9397-08002B2CF9AE}" pid="10" name="MSIP_Label_e3c80e74-9bd4-4754-bdea-db9da1ede87d_Name">
    <vt:lpwstr>Confidential - Privacy Testing</vt:lpwstr>
  </property>
  <property fmtid="{D5CDD505-2E9C-101B-9397-08002B2CF9AE}" pid="11" name="MSIP_Label_e3c80e74-9bd4-4754-bdea-db9da1ede87d_SiteId">
    <vt:lpwstr>e9aef9b7-25ca-4518-a881-33e546773136</vt:lpwstr>
  </property>
  <property fmtid="{D5CDD505-2E9C-101B-9397-08002B2CF9AE}" pid="12" name="MSIP_Label_e3c80e74-9bd4-4754-bdea-db9da1ede87d_ActionId">
    <vt:lpwstr>520987c0-9081-4491-ac6b-87efd9561285</vt:lpwstr>
  </property>
  <property fmtid="{D5CDD505-2E9C-101B-9397-08002B2CF9AE}" pid="13" name="MSIP_Label_e3c80e74-9bd4-4754-bdea-db9da1ede87d_ContentBits">
    <vt:lpwstr>2</vt:lpwstr>
  </property>
  <property fmtid="{D5CDD505-2E9C-101B-9397-08002B2CF9AE}" pid="14" name="MSIP_Label_019c027e-33b7-45fc-a572-8ffa5d09ec36_Enabled">
    <vt:lpwstr>true</vt:lpwstr>
  </property>
  <property fmtid="{D5CDD505-2E9C-101B-9397-08002B2CF9AE}" pid="15" name="MSIP_Label_019c027e-33b7-45fc-a572-8ffa5d09ec36_SetDate">
    <vt:lpwstr>2025-10-28T11:49:22Z</vt:lpwstr>
  </property>
  <property fmtid="{D5CDD505-2E9C-101B-9397-08002B2CF9AE}" pid="16" name="MSIP_Label_019c027e-33b7-45fc-a572-8ffa5d09ec36_Method">
    <vt:lpwstr>Standard</vt:lpwstr>
  </property>
  <property fmtid="{D5CDD505-2E9C-101B-9397-08002B2CF9AE}" pid="17" name="MSIP_Label_019c027e-33b7-45fc-a572-8ffa5d09ec36_Name">
    <vt:lpwstr>Internal Use</vt:lpwstr>
  </property>
  <property fmtid="{D5CDD505-2E9C-101B-9397-08002B2CF9AE}" pid="18" name="MSIP_Label_019c027e-33b7-45fc-a572-8ffa5d09ec36_SiteId">
    <vt:lpwstr>031a09bc-a2bf-44df-888e-4e09355b7a24</vt:lpwstr>
  </property>
  <property fmtid="{D5CDD505-2E9C-101B-9397-08002B2CF9AE}" pid="19" name="MSIP_Label_019c027e-33b7-45fc-a572-8ffa5d09ec36_ActionId">
    <vt:lpwstr>76ad9d50-b91d-44b6-94fe-95a5933084dc</vt:lpwstr>
  </property>
  <property fmtid="{D5CDD505-2E9C-101B-9397-08002B2CF9AE}" pid="20" name="MSIP_Label_019c027e-33b7-45fc-a572-8ffa5d09ec36_ContentBits">
    <vt:lpwstr>2</vt:lpwstr>
  </property>
  <property fmtid="{D5CDD505-2E9C-101B-9397-08002B2CF9AE}" pid="21" name="MSIP_Label_019c027e-33b7-45fc-a572-8ffa5d09ec36_Tag">
    <vt:lpwstr>10, 3, 0, 1</vt:lpwstr>
  </property>
</Properties>
</file>