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BCA\Avoided Costs\Capacity\Forecast\2025\"/>
    </mc:Choice>
  </mc:AlternateContent>
  <xr:revisionPtr revIDLastSave="0" documentId="8_{30D5D079-988A-4BAF-9E73-18B2A4ACB95A}" xr6:coauthVersionLast="47" xr6:coauthVersionMax="47" xr10:uidLastSave="{00000000-0000-0000-0000-000000000000}"/>
  <bookViews>
    <workbookView xWindow="14295" yWindow="0" windowWidth="14610" windowHeight="17385" firstSheet="1" activeTab="3" xr2:uid="{00000000-000D-0000-FFFF-FFFF00000000}"/>
  </bookViews>
  <sheets>
    <sheet name="AGCC Annual" sheetId="38" r:id="rId1"/>
    <sheet name="AGCC Summer" sheetId="37" r:id="rId2"/>
    <sheet name="AGCC Winter" sheetId="36" r:id="rId3"/>
    <sheet name="ICAP Prices" sheetId="34" r:id="rId4"/>
    <sheet name="Additions" sheetId="40" r:id="rId5"/>
    <sheet name="Deactivations" sheetId="41" r:id="rId6"/>
    <sheet name="DEC Peaker Rule" sheetId="42" r:id="rId7"/>
    <sheet name="DC Model" sheetId="33" r:id="rId8"/>
    <sheet name="Demand" sheetId="5" r:id="rId9"/>
    <sheet name="Supply" sheetId="30" r:id="rId10"/>
    <sheet name="ICAP 2025" sheetId="4" r:id="rId11"/>
  </sheets>
  <definedNames>
    <definedName name="additions">'ICAP Prices'!$O$28:$S$250</definedName>
    <definedName name="cap">'ICAP Prices'!$P$28:$P$250</definedName>
    <definedName name="Demand">Demand!$A$5:$Q$26</definedName>
    <definedName name="ImportsSummer">Supply!#REF!</definedName>
    <definedName name="ImportsWinter">Supply!#REF!</definedName>
    <definedName name="JD">Demand!$N$5:$N$26</definedName>
    <definedName name="KD">Demand!$O$5:$O$26</definedName>
    <definedName name="NCZD">Demand!$P$5:$P$26</definedName>
    <definedName name="NYCAD">Demand!$M$5:$M$26</definedName>
    <definedName name="_xlnm.Print_Area" localSheetId="3">'ICAP Prices'!$A$1:$V$61</definedName>
    <definedName name="Supply">Supply!$A$5:$P$26</definedName>
    <definedName name="UDRsSummer">'ICAP 2025'!$M$9</definedName>
    <definedName name="UDRsWinter">'ICAP 2025'!$M$15</definedName>
    <definedName name="wcap">'ICAP Prices'!$Q$28:$Q$250</definedName>
    <definedName name="YD">Demand!$A$5:$A$26</definedName>
    <definedName name="year">'ICAP Prices'!$O$28:$O$250</definedName>
    <definedName name="zone">'ICAP Prices'!$S$28:$S$250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9" i="34" l="1" a="1"/>
  <c r="Q139" i="34" s="1"/>
  <c r="Q140" i="34" a="1"/>
  <c r="Q140" i="34" s="1"/>
  <c r="Q141" i="34" a="1"/>
  <c r="Q141" i="34" s="1"/>
  <c r="Q142" i="34" a="1"/>
  <c r="Q142" i="34" s="1"/>
  <c r="Q143" i="34" a="1"/>
  <c r="Q143" i="34" s="1"/>
  <c r="Q144" i="34" a="1"/>
  <c r="Q144" i="34" s="1"/>
  <c r="Q145" i="34" a="1"/>
  <c r="Q145" i="34" s="1"/>
  <c r="Q146" i="34" a="1"/>
  <c r="Q146" i="34" s="1"/>
  <c r="Q147" i="34" a="1"/>
  <c r="Q147" i="34" s="1"/>
  <c r="Q148" i="34" a="1"/>
  <c r="Q148" i="34" s="1"/>
  <c r="Q149" i="34" a="1"/>
  <c r="Q149" i="34" s="1"/>
  <c r="Q150" i="34" a="1"/>
  <c r="Q150" i="34" s="1"/>
  <c r="Q151" i="34" a="1"/>
  <c r="Q151" i="34" s="1"/>
  <c r="Q152" i="34" a="1"/>
  <c r="Q152" i="34" s="1"/>
  <c r="Q153" i="34" a="1"/>
  <c r="Q153" i="34" s="1"/>
  <c r="Q154" i="34" a="1"/>
  <c r="Q154" i="34" s="1"/>
  <c r="Q155" i="34" a="1"/>
  <c r="Q155" i="34" s="1"/>
  <c r="Q156" i="34" a="1"/>
  <c r="Q156" i="34" s="1"/>
  <c r="Q157" i="34" a="1"/>
  <c r="Q157" i="34" s="1"/>
  <c r="Q158" i="34" a="1"/>
  <c r="Q158" i="34" s="1"/>
  <c r="Q159" i="34" a="1"/>
  <c r="Q159" i="34" s="1"/>
  <c r="Q160" i="34" a="1"/>
  <c r="Q160" i="34" s="1"/>
  <c r="Q161" i="34" a="1"/>
  <c r="Q161" i="34" s="1"/>
  <c r="Q162" i="34" a="1"/>
  <c r="Q162" i="34" s="1"/>
  <c r="Q163" i="34" a="1"/>
  <c r="Q163" i="34" s="1"/>
  <c r="Q164" i="34" a="1"/>
  <c r="Q164" i="34" s="1"/>
  <c r="Q165" i="34" a="1"/>
  <c r="Q165" i="34" s="1"/>
  <c r="Q166" i="34" a="1"/>
  <c r="Q166" i="34" s="1"/>
  <c r="Q167" i="34" a="1"/>
  <c r="Q167" i="34" s="1"/>
  <c r="Q168" i="34" a="1"/>
  <c r="Q168" i="34" s="1"/>
  <c r="Q169" i="34" a="1"/>
  <c r="Q169" i="34" s="1"/>
  <c r="Q170" i="34" a="1"/>
  <c r="Q170" i="34" s="1"/>
  <c r="Q171" i="34" a="1"/>
  <c r="Q171" i="34" s="1"/>
  <c r="Q172" i="34" a="1"/>
  <c r="Q172" i="34" s="1"/>
  <c r="Q173" i="34" a="1"/>
  <c r="Q173" i="34" s="1"/>
  <c r="Q174" i="34" a="1"/>
  <c r="Q174" i="34" s="1"/>
  <c r="Q175" i="34" a="1"/>
  <c r="Q175" i="34" s="1"/>
  <c r="Q176" i="34" a="1"/>
  <c r="Q176" i="34" s="1"/>
  <c r="Q177" i="34" a="1"/>
  <c r="Q177" i="34" s="1"/>
  <c r="Q178" i="34" a="1"/>
  <c r="Q178" i="34" s="1"/>
  <c r="Q179" i="34" a="1"/>
  <c r="Q179" i="34" s="1"/>
  <c r="Q180" i="34" a="1"/>
  <c r="Q180" i="34" s="1"/>
  <c r="Q181" i="34" a="1"/>
  <c r="Q181" i="34" s="1"/>
  <c r="Q182" i="34" a="1"/>
  <c r="Q182" i="34" s="1"/>
  <c r="Q183" i="34" a="1"/>
  <c r="Q183" i="34" s="1"/>
  <c r="Q184" i="34" a="1"/>
  <c r="Q184" i="34" s="1"/>
  <c r="Q185" i="34" a="1"/>
  <c r="Q185" i="34" s="1"/>
  <c r="Q186" i="34" a="1"/>
  <c r="Q186" i="34" s="1"/>
  <c r="Q187" i="34" a="1"/>
  <c r="Q187" i="34" s="1"/>
  <c r="Q188" i="34" a="1"/>
  <c r="Q188" i="34" s="1"/>
  <c r="Q189" i="34" a="1"/>
  <c r="Q189" i="34" s="1"/>
  <c r="Q190" i="34" a="1"/>
  <c r="Q190" i="34" s="1"/>
  <c r="Q191" i="34" a="1"/>
  <c r="Q191" i="34" s="1"/>
  <c r="Q192" i="34" a="1"/>
  <c r="Q192" i="34" s="1"/>
  <c r="Q193" i="34" a="1"/>
  <c r="Q193" i="34" s="1"/>
  <c r="Q194" i="34" a="1"/>
  <c r="Q194" i="34" s="1"/>
  <c r="Q195" i="34" a="1"/>
  <c r="Q195" i="34" s="1"/>
  <c r="Q196" i="34" a="1"/>
  <c r="Q196" i="34" s="1"/>
  <c r="Q197" i="34" a="1"/>
  <c r="Q197" i="34" s="1"/>
  <c r="Q198" i="34" a="1"/>
  <c r="Q198" i="34" s="1"/>
  <c r="Q199" i="34" a="1"/>
  <c r="Q199" i="34" s="1"/>
  <c r="Q200" i="34" a="1"/>
  <c r="Q200" i="34" s="1"/>
  <c r="Q201" i="34" a="1"/>
  <c r="Q201" i="34" s="1"/>
  <c r="Q202" i="34" a="1"/>
  <c r="Q202" i="34" s="1"/>
  <c r="Q203" i="34" a="1"/>
  <c r="Q203" i="34" s="1"/>
  <c r="Q204" i="34" a="1"/>
  <c r="Q204" i="34" s="1"/>
  <c r="Q205" i="34" a="1"/>
  <c r="Q205" i="34" s="1"/>
  <c r="Q206" i="34" a="1"/>
  <c r="Q206" i="34" s="1"/>
  <c r="Q207" i="34" a="1"/>
  <c r="Q207" i="34" s="1"/>
  <c r="Q208" i="34" a="1"/>
  <c r="Q208" i="34" s="1"/>
  <c r="Q209" i="34" a="1"/>
  <c r="Q209" i="34" s="1"/>
  <c r="Q210" i="34" a="1"/>
  <c r="Q210" i="34" s="1"/>
  <c r="Q211" i="34" a="1"/>
  <c r="Q211" i="34" s="1"/>
  <c r="Q212" i="34" a="1"/>
  <c r="Q212" i="34" s="1"/>
  <c r="Q213" i="34" a="1"/>
  <c r="Q213" i="34" s="1"/>
  <c r="Q214" i="34" a="1"/>
  <c r="Q214" i="34" s="1"/>
  <c r="Q215" i="34" a="1"/>
  <c r="Q215" i="34" s="1"/>
  <c r="Q216" i="34" a="1"/>
  <c r="Q216" i="34" s="1"/>
  <c r="Q217" i="34" a="1"/>
  <c r="Q217" i="34" s="1"/>
  <c r="Q218" i="34" a="1"/>
  <c r="Q218" i="34" s="1"/>
  <c r="Q219" i="34" a="1"/>
  <c r="Q219" i="34" s="1"/>
  <c r="Q220" i="34" a="1"/>
  <c r="Q220" i="34" s="1"/>
  <c r="Q221" i="34" a="1"/>
  <c r="Q221" i="34" s="1"/>
  <c r="Q222" i="34" a="1"/>
  <c r="Q222" i="34" s="1"/>
  <c r="Q223" i="34" a="1"/>
  <c r="Q223" i="34" s="1"/>
  <c r="Q224" i="34" a="1"/>
  <c r="Q224" i="34" s="1"/>
  <c r="Q225" i="34" a="1"/>
  <c r="Q225" i="34" s="1"/>
  <c r="Q226" i="34" a="1"/>
  <c r="Q226" i="34" s="1"/>
  <c r="Q227" i="34" a="1"/>
  <c r="Q227" i="34" s="1"/>
  <c r="Q228" i="34" a="1"/>
  <c r="Q228" i="34" s="1"/>
  <c r="Q229" i="34" a="1"/>
  <c r="Q229" i="34" s="1"/>
  <c r="Q230" i="34" a="1"/>
  <c r="Q230" i="34" s="1"/>
  <c r="Q231" i="34" a="1"/>
  <c r="Q231" i="34" s="1"/>
  <c r="Q232" i="34" a="1"/>
  <c r="Q232" i="34" s="1"/>
  <c r="Q233" i="34" a="1"/>
  <c r="Q233" i="34" s="1"/>
  <c r="Q234" i="34" a="1"/>
  <c r="Q234" i="34" s="1"/>
  <c r="Q235" i="34" a="1"/>
  <c r="Q235" i="34" s="1"/>
  <c r="Q236" i="34" a="1"/>
  <c r="Q236" i="34" s="1"/>
  <c r="P139" i="34" a="1"/>
  <c r="P139" i="34" s="1"/>
  <c r="P140" i="34" a="1"/>
  <c r="P140" i="34" s="1"/>
  <c r="P141" i="34" a="1"/>
  <c r="P141" i="34" s="1"/>
  <c r="P142" i="34" a="1"/>
  <c r="P142" i="34" s="1"/>
  <c r="P143" i="34" a="1"/>
  <c r="P143" i="34" s="1"/>
  <c r="P144" i="34" a="1"/>
  <c r="P144" i="34" s="1"/>
  <c r="P145" i="34" a="1"/>
  <c r="P145" i="34" s="1"/>
  <c r="P146" i="34" a="1"/>
  <c r="P146" i="34" s="1"/>
  <c r="P147" i="34" a="1"/>
  <c r="P147" i="34" s="1"/>
  <c r="P148" i="34" a="1"/>
  <c r="P148" i="34" s="1"/>
  <c r="P149" i="34" a="1"/>
  <c r="P149" i="34" s="1"/>
  <c r="P150" i="34" a="1"/>
  <c r="P150" i="34" s="1"/>
  <c r="P151" i="34" a="1"/>
  <c r="P151" i="34" s="1"/>
  <c r="P152" i="34" a="1"/>
  <c r="P152" i="34" s="1"/>
  <c r="P153" i="34" a="1"/>
  <c r="P153" i="34" s="1"/>
  <c r="P154" i="34" a="1"/>
  <c r="P154" i="34" s="1"/>
  <c r="P155" i="34" a="1"/>
  <c r="P155" i="34" s="1"/>
  <c r="P156" i="34" a="1"/>
  <c r="P156" i="34" s="1"/>
  <c r="P157" i="34" a="1"/>
  <c r="P157" i="34" s="1"/>
  <c r="P158" i="34" a="1"/>
  <c r="P158" i="34" s="1"/>
  <c r="P159" i="34" a="1"/>
  <c r="P159" i="34" s="1"/>
  <c r="P160" i="34" a="1"/>
  <c r="P160" i="34" s="1"/>
  <c r="P161" i="34" a="1"/>
  <c r="P161" i="34" s="1"/>
  <c r="P162" i="34" a="1"/>
  <c r="P162" i="34" s="1"/>
  <c r="P163" i="34" a="1"/>
  <c r="P163" i="34" s="1"/>
  <c r="P164" i="34" a="1"/>
  <c r="P164" i="34" s="1"/>
  <c r="P165" i="34" a="1"/>
  <c r="P165" i="34" s="1"/>
  <c r="P166" i="34" a="1"/>
  <c r="P166" i="34" s="1"/>
  <c r="P167" i="34" a="1"/>
  <c r="P167" i="34" s="1"/>
  <c r="P168" i="34" a="1"/>
  <c r="P168" i="34" s="1"/>
  <c r="P169" i="34" a="1"/>
  <c r="P169" i="34" s="1"/>
  <c r="P170" i="34" a="1"/>
  <c r="P170" i="34" s="1"/>
  <c r="P171" i="34" a="1"/>
  <c r="P171" i="34" s="1"/>
  <c r="P172" i="34" a="1"/>
  <c r="P172" i="34" s="1"/>
  <c r="P173" i="34" a="1"/>
  <c r="P173" i="34" s="1"/>
  <c r="P174" i="34" a="1"/>
  <c r="P174" i="34" s="1"/>
  <c r="P175" i="34" a="1"/>
  <c r="P175" i="34" s="1"/>
  <c r="P176" i="34" a="1"/>
  <c r="P176" i="34" s="1"/>
  <c r="P177" i="34" a="1"/>
  <c r="P177" i="34" s="1"/>
  <c r="P178" i="34" a="1"/>
  <c r="P178" i="34" s="1"/>
  <c r="P179" i="34" a="1"/>
  <c r="P179" i="34" s="1"/>
  <c r="P180" i="34" a="1"/>
  <c r="P180" i="34" s="1"/>
  <c r="P181" i="34" a="1"/>
  <c r="P181" i="34" s="1"/>
  <c r="P182" i="34" a="1"/>
  <c r="P182" i="34" s="1"/>
  <c r="P183" i="34" a="1"/>
  <c r="P183" i="34" s="1"/>
  <c r="P184" i="34" a="1"/>
  <c r="P184" i="34" s="1"/>
  <c r="P185" i="34" a="1"/>
  <c r="P185" i="34" s="1"/>
  <c r="P186" i="34" a="1"/>
  <c r="P186" i="34" s="1"/>
  <c r="P187" i="34" a="1"/>
  <c r="P187" i="34" s="1"/>
  <c r="P188" i="34" a="1"/>
  <c r="P188" i="34" s="1"/>
  <c r="P189" i="34" a="1"/>
  <c r="P189" i="34" s="1"/>
  <c r="P190" i="34" a="1"/>
  <c r="P190" i="34" s="1"/>
  <c r="P191" i="34" a="1"/>
  <c r="P191" i="34" s="1"/>
  <c r="P192" i="34" a="1"/>
  <c r="P192" i="34" s="1"/>
  <c r="P193" i="34" a="1"/>
  <c r="P193" i="34" s="1"/>
  <c r="P194" i="34" a="1"/>
  <c r="P194" i="34" s="1"/>
  <c r="P195" i="34" a="1"/>
  <c r="P195" i="34" s="1"/>
  <c r="P196" i="34" a="1"/>
  <c r="P196" i="34" s="1"/>
  <c r="P197" i="34" a="1"/>
  <c r="P197" i="34" s="1"/>
  <c r="P198" i="34" a="1"/>
  <c r="P198" i="34" s="1"/>
  <c r="P199" i="34" a="1"/>
  <c r="P199" i="34" s="1"/>
  <c r="P200" i="34" a="1"/>
  <c r="P200" i="34" s="1"/>
  <c r="P201" i="34" a="1"/>
  <c r="P201" i="34" s="1"/>
  <c r="P202" i="34" a="1"/>
  <c r="P202" i="34" s="1"/>
  <c r="P203" i="34" a="1"/>
  <c r="P203" i="34" s="1"/>
  <c r="P204" i="34" a="1"/>
  <c r="P204" i="34" s="1"/>
  <c r="P205" i="34" a="1"/>
  <c r="P205" i="34" s="1"/>
  <c r="P206" i="34" a="1"/>
  <c r="P206" i="34" s="1"/>
  <c r="P207" i="34" a="1"/>
  <c r="P207" i="34" s="1"/>
  <c r="P208" i="34" a="1"/>
  <c r="P208" i="34" s="1"/>
  <c r="P209" i="34" a="1"/>
  <c r="P209" i="34" s="1"/>
  <c r="P210" i="34" a="1"/>
  <c r="P210" i="34" s="1"/>
  <c r="P211" i="34" a="1"/>
  <c r="P211" i="34" s="1"/>
  <c r="P212" i="34" a="1"/>
  <c r="P212" i="34" s="1"/>
  <c r="P213" i="34" a="1"/>
  <c r="P213" i="34" s="1"/>
  <c r="P214" i="34" a="1"/>
  <c r="P214" i="34" s="1"/>
  <c r="P215" i="34" a="1"/>
  <c r="P215" i="34" s="1"/>
  <c r="P216" i="34" a="1"/>
  <c r="P216" i="34" s="1"/>
  <c r="P217" i="34" a="1"/>
  <c r="P217" i="34" s="1"/>
  <c r="P218" i="34" a="1"/>
  <c r="P218" i="34" s="1"/>
  <c r="P219" i="34" a="1"/>
  <c r="P219" i="34" s="1"/>
  <c r="P220" i="34" a="1"/>
  <c r="P220" i="34" s="1"/>
  <c r="P221" i="34" a="1"/>
  <c r="P221" i="34" s="1"/>
  <c r="P222" i="34" a="1"/>
  <c r="P222" i="34" s="1"/>
  <c r="P223" i="34" a="1"/>
  <c r="P223" i="34" s="1"/>
  <c r="P224" i="34" a="1"/>
  <c r="P224" i="34" s="1"/>
  <c r="P225" i="34" a="1"/>
  <c r="P225" i="34" s="1"/>
  <c r="P226" i="34" a="1"/>
  <c r="P226" i="34" s="1"/>
  <c r="P227" i="34" a="1"/>
  <c r="P227" i="34" s="1"/>
  <c r="P228" i="34" a="1"/>
  <c r="P228" i="34" s="1"/>
  <c r="P229" i="34" a="1"/>
  <c r="P229" i="34" s="1"/>
  <c r="P230" i="34" a="1"/>
  <c r="P230" i="34" s="1"/>
  <c r="P231" i="34" a="1"/>
  <c r="P231" i="34" s="1"/>
  <c r="P232" i="34" a="1"/>
  <c r="P232" i="34" s="1"/>
  <c r="P233" i="34" a="1"/>
  <c r="P233" i="34" s="1"/>
  <c r="P234" i="34" a="1"/>
  <c r="P234" i="34" s="1"/>
  <c r="P235" i="34" a="1"/>
  <c r="P235" i="34" s="1"/>
  <c r="P236" i="34" a="1"/>
  <c r="P236" i="34" s="1"/>
  <c r="Q138" i="34" a="1"/>
  <c r="Q138" i="34" s="1"/>
  <c r="P138" i="34" a="1"/>
  <c r="P138" i="34" s="1"/>
  <c r="Q95" i="34" a="1"/>
  <c r="Q95" i="34" s="1"/>
  <c r="Q96" i="34" a="1"/>
  <c r="Q96" i="34" s="1"/>
  <c r="Q97" i="34" a="1"/>
  <c r="Q97" i="34" s="1"/>
  <c r="Q98" i="34" a="1"/>
  <c r="Q98" i="34" s="1"/>
  <c r="Q99" i="34" a="1"/>
  <c r="Q99" i="34" s="1"/>
  <c r="Q100" i="34" a="1"/>
  <c r="Q100" i="34" s="1"/>
  <c r="Q101" i="34" a="1"/>
  <c r="Q101" i="34" s="1"/>
  <c r="Q102" i="34" a="1"/>
  <c r="Q102" i="34" s="1"/>
  <c r="Q103" i="34" a="1"/>
  <c r="Q103" i="34" s="1"/>
  <c r="Q104" i="34" a="1"/>
  <c r="Q104" i="34" s="1"/>
  <c r="Q105" i="34" a="1"/>
  <c r="Q105" i="34" s="1"/>
  <c r="Q106" i="34" a="1"/>
  <c r="Q106" i="34" s="1"/>
  <c r="Q107" i="34" a="1"/>
  <c r="Q107" i="34" s="1"/>
  <c r="Q108" i="34" a="1"/>
  <c r="Q108" i="34" s="1"/>
  <c r="Q109" i="34" a="1"/>
  <c r="Q109" i="34" s="1"/>
  <c r="Q110" i="34" a="1"/>
  <c r="Q110" i="34" s="1"/>
  <c r="Q111" i="34" a="1"/>
  <c r="Q111" i="34" s="1"/>
  <c r="Q112" i="34" a="1"/>
  <c r="Q112" i="34" s="1"/>
  <c r="Q113" i="34" a="1"/>
  <c r="Q113" i="34" s="1"/>
  <c r="Q114" i="34" a="1"/>
  <c r="Q114" i="34" s="1"/>
  <c r="Q115" i="34" a="1"/>
  <c r="Q115" i="34" s="1"/>
  <c r="Q116" i="34" a="1"/>
  <c r="Q116" i="34" s="1"/>
  <c r="Q117" i="34" a="1"/>
  <c r="Q117" i="34" s="1"/>
  <c r="Q118" i="34" a="1"/>
  <c r="Q118" i="34" s="1"/>
  <c r="Q119" i="34" a="1"/>
  <c r="Q119" i="34" s="1"/>
  <c r="Q120" i="34" a="1"/>
  <c r="Q120" i="34" s="1"/>
  <c r="Q121" i="34" a="1"/>
  <c r="Q121" i="34" s="1"/>
  <c r="Q122" i="34" a="1"/>
  <c r="Q122" i="34" s="1"/>
  <c r="Q123" i="34" a="1"/>
  <c r="Q123" i="34" s="1"/>
  <c r="Q124" i="34" a="1"/>
  <c r="Q124" i="34" s="1"/>
  <c r="Q125" i="34" a="1"/>
  <c r="Q125" i="34" s="1"/>
  <c r="Q126" i="34" a="1"/>
  <c r="Q126" i="34" s="1"/>
  <c r="Q127" i="34" a="1"/>
  <c r="Q127" i="34" s="1"/>
  <c r="Q128" i="34" a="1"/>
  <c r="Q128" i="34" s="1"/>
  <c r="Q129" i="34" a="1"/>
  <c r="Q129" i="34" s="1"/>
  <c r="Q130" i="34" a="1"/>
  <c r="Q130" i="34" s="1"/>
  <c r="Q131" i="34" a="1"/>
  <c r="Q131" i="34" s="1"/>
  <c r="Q132" i="34" a="1"/>
  <c r="Q132" i="34" s="1"/>
  <c r="Q133" i="34" a="1"/>
  <c r="Q133" i="34" s="1"/>
  <c r="Q134" i="34" a="1"/>
  <c r="Q134" i="34" s="1"/>
  <c r="Q135" i="34" a="1"/>
  <c r="Q135" i="34" s="1"/>
  <c r="Q136" i="34" a="1"/>
  <c r="Q136" i="34" s="1"/>
  <c r="P95" i="34" a="1"/>
  <c r="P95" i="34" s="1"/>
  <c r="P96" i="34" a="1"/>
  <c r="P96" i="34" s="1"/>
  <c r="P97" i="34" a="1"/>
  <c r="P97" i="34" s="1"/>
  <c r="P98" i="34" a="1"/>
  <c r="P98" i="34" s="1"/>
  <c r="P99" i="34" a="1"/>
  <c r="P99" i="34" s="1"/>
  <c r="P100" i="34" a="1"/>
  <c r="P100" i="34" s="1"/>
  <c r="P101" i="34" a="1"/>
  <c r="P101" i="34" s="1"/>
  <c r="P102" i="34" a="1"/>
  <c r="P102" i="34" s="1"/>
  <c r="P103" i="34" a="1"/>
  <c r="P103" i="34" s="1"/>
  <c r="P104" i="34" a="1"/>
  <c r="P104" i="34" s="1"/>
  <c r="P105" i="34" a="1"/>
  <c r="P105" i="34" s="1"/>
  <c r="P106" i="34" a="1"/>
  <c r="P106" i="34" s="1"/>
  <c r="P107" i="34" a="1"/>
  <c r="P107" i="34" s="1"/>
  <c r="P108" i="34" a="1"/>
  <c r="P108" i="34" s="1"/>
  <c r="P109" i="34" a="1"/>
  <c r="P109" i="34" s="1"/>
  <c r="P110" i="34" a="1"/>
  <c r="P110" i="34" s="1"/>
  <c r="P111" i="34" a="1"/>
  <c r="P111" i="34" s="1"/>
  <c r="P112" i="34" a="1"/>
  <c r="P112" i="34" s="1"/>
  <c r="P113" i="34" a="1"/>
  <c r="P113" i="34" s="1"/>
  <c r="P114" i="34" a="1"/>
  <c r="P114" i="34" s="1"/>
  <c r="P115" i="34" a="1"/>
  <c r="P115" i="34" s="1"/>
  <c r="P116" i="34" a="1"/>
  <c r="P116" i="34" s="1"/>
  <c r="P117" i="34" a="1"/>
  <c r="P117" i="34" s="1"/>
  <c r="P118" i="34" a="1"/>
  <c r="P118" i="34" s="1"/>
  <c r="P119" i="34" a="1"/>
  <c r="P119" i="34" s="1"/>
  <c r="P120" i="34" a="1"/>
  <c r="P120" i="34" s="1"/>
  <c r="P121" i="34" a="1"/>
  <c r="P121" i="34" s="1"/>
  <c r="P122" i="34" a="1"/>
  <c r="P122" i="34" s="1"/>
  <c r="P123" i="34" a="1"/>
  <c r="P123" i="34" s="1"/>
  <c r="P124" i="34" a="1"/>
  <c r="P124" i="34" s="1"/>
  <c r="P125" i="34" a="1"/>
  <c r="P125" i="34" s="1"/>
  <c r="P126" i="34" a="1"/>
  <c r="P126" i="34" s="1"/>
  <c r="P127" i="34" a="1"/>
  <c r="P127" i="34" s="1"/>
  <c r="P128" i="34" a="1"/>
  <c r="P128" i="34" s="1"/>
  <c r="P129" i="34" a="1"/>
  <c r="P129" i="34" s="1"/>
  <c r="P130" i="34" a="1"/>
  <c r="P130" i="34" s="1"/>
  <c r="P131" i="34" a="1"/>
  <c r="P131" i="34" s="1"/>
  <c r="P132" i="34" a="1"/>
  <c r="P132" i="34" s="1"/>
  <c r="P133" i="34" a="1"/>
  <c r="P133" i="34" s="1"/>
  <c r="P134" i="34" a="1"/>
  <c r="P134" i="34" s="1"/>
  <c r="P135" i="34" a="1"/>
  <c r="P135" i="34" s="1"/>
  <c r="P136" i="34" a="1"/>
  <c r="P136" i="34" s="1"/>
  <c r="Q94" i="34" a="1"/>
  <c r="Q94" i="34" s="1"/>
  <c r="P94" i="34" a="1"/>
  <c r="P94" i="34" s="1"/>
  <c r="Q90" i="34" a="1"/>
  <c r="Q90" i="34" s="1"/>
  <c r="Q89" i="34" a="1"/>
  <c r="Q89" i="34" s="1"/>
  <c r="Q88" i="34" a="1"/>
  <c r="Q88" i="34" s="1"/>
  <c r="Q87" i="34" a="1"/>
  <c r="Q87" i="34" s="1"/>
  <c r="Q86" i="34" a="1"/>
  <c r="Q86" i="34" s="1"/>
  <c r="Q85" i="34" a="1"/>
  <c r="Q85" i="34" s="1"/>
  <c r="Q84" i="34" a="1"/>
  <c r="Q84" i="34" s="1"/>
  <c r="Q83" i="34" a="1"/>
  <c r="Q83" i="34" s="1"/>
  <c r="Q82" i="34" a="1"/>
  <c r="Q82" i="34" s="1"/>
  <c r="Q81" i="34" a="1"/>
  <c r="Q81" i="34" s="1"/>
  <c r="Q80" i="34" a="1"/>
  <c r="Q80" i="34" s="1"/>
  <c r="Q79" i="34" a="1"/>
  <c r="Q79" i="34" s="1"/>
  <c r="Q78" i="34" a="1"/>
  <c r="Q78" i="34" s="1"/>
  <c r="Q77" i="34" a="1"/>
  <c r="Q77" i="34" s="1"/>
  <c r="Q76" i="34" a="1"/>
  <c r="Q76" i="34" s="1"/>
  <c r="Q75" i="34" a="1"/>
  <c r="Q75" i="34" s="1"/>
  <c r="P76" i="34" a="1"/>
  <c r="P76" i="34" s="1"/>
  <c r="P77" i="34" a="1"/>
  <c r="P77" i="34" s="1"/>
  <c r="P78" i="34" a="1"/>
  <c r="P78" i="34" s="1"/>
  <c r="P79" i="34" a="1"/>
  <c r="P79" i="34" s="1"/>
  <c r="P80" i="34" a="1"/>
  <c r="P80" i="34" s="1"/>
  <c r="P81" i="34" a="1"/>
  <c r="P81" i="34" s="1"/>
  <c r="P82" i="34" a="1"/>
  <c r="P82" i="34" s="1"/>
  <c r="P83" i="34" a="1"/>
  <c r="P83" i="34" s="1"/>
  <c r="P84" i="34" a="1"/>
  <c r="P84" i="34" s="1"/>
  <c r="P85" i="34" a="1"/>
  <c r="P85" i="34" s="1"/>
  <c r="P86" i="34" a="1"/>
  <c r="P86" i="34" s="1"/>
  <c r="P87" i="34" a="1"/>
  <c r="P87" i="34" s="1"/>
  <c r="P88" i="34" a="1"/>
  <c r="P88" i="34" s="1"/>
  <c r="P89" i="34" a="1"/>
  <c r="P89" i="34" s="1"/>
  <c r="P90" i="34" a="1"/>
  <c r="P90" i="34" s="1"/>
  <c r="P75" i="34" a="1"/>
  <c r="P75" i="34" s="1"/>
  <c r="D25" i="42" l="1"/>
  <c r="D7" i="42"/>
  <c r="C7" i="42"/>
  <c r="D10" i="41"/>
  <c r="C10" i="41"/>
  <c r="C162" i="40" l="1"/>
  <c r="C65" i="40"/>
  <c r="D170" i="40"/>
  <c r="C170" i="40"/>
  <c r="D162" i="40"/>
  <c r="D121" i="40"/>
  <c r="C121" i="40"/>
  <c r="D65" i="40"/>
  <c r="D20" i="40"/>
  <c r="C20" i="40"/>
  <c r="M14" i="4" l="1"/>
  <c r="Q48" i="34" l="1"/>
  <c r="P48" i="34"/>
  <c r="Q53" i="34"/>
  <c r="P53" i="34"/>
  <c r="Q43" i="34"/>
  <c r="P43" i="34"/>
  <c r="P68" i="34" l="1"/>
  <c r="P67" i="34"/>
  <c r="P66" i="34"/>
  <c r="Q60" i="34"/>
  <c r="Q59" i="34"/>
  <c r="Q58" i="34"/>
  <c r="Q57" i="34"/>
  <c r="P57" i="34"/>
  <c r="Q56" i="34"/>
  <c r="P56" i="34"/>
  <c r="Q55" i="34"/>
  <c r="P55" i="34"/>
  <c r="Q54" i="34"/>
  <c r="P54" i="34"/>
  <c r="Q52" i="34"/>
  <c r="P52" i="34"/>
  <c r="P34" i="34" l="1"/>
  <c r="D7" i="41" l="1"/>
  <c r="C7" i="41"/>
  <c r="C12" i="42"/>
  <c r="C38" i="42"/>
  <c r="Q64" i="34" l="1"/>
  <c r="P64" i="34"/>
  <c r="Q63" i="34"/>
  <c r="P63" i="34"/>
  <c r="Q62" i="34"/>
  <c r="P62" i="34"/>
  <c r="Q61" i="34"/>
  <c r="P61" i="34"/>
  <c r="D31" i="30" l="1"/>
  <c r="P51" i="34" l="1"/>
  <c r="Q49" i="34"/>
  <c r="Q44" i="34"/>
  <c r="Q45" i="34"/>
  <c r="Q46" i="34"/>
  <c r="Q47" i="34"/>
  <c r="P44" i="34"/>
  <c r="P45" i="34"/>
  <c r="P46" i="34"/>
  <c r="P47" i="34"/>
  <c r="Q35" i="34"/>
  <c r="P35" i="34"/>
  <c r="A6" i="38" l="1"/>
  <c r="Q34" i="34" l="1"/>
  <c r="M5" i="5" l="1"/>
  <c r="Q25" i="5" l="1"/>
  <c r="M25" i="5"/>
  <c r="Q24" i="5"/>
  <c r="M24" i="5"/>
  <c r="Q23" i="5"/>
  <c r="M23" i="5"/>
  <c r="Q22" i="5"/>
  <c r="M22" i="5"/>
  <c r="Q21" i="5"/>
  <c r="M21" i="5"/>
  <c r="Q20" i="5"/>
  <c r="M20" i="5"/>
  <c r="Q19" i="5"/>
  <c r="M19" i="5"/>
  <c r="Q18" i="5"/>
  <c r="M18" i="5"/>
  <c r="Q17" i="5"/>
  <c r="M17" i="5"/>
  <c r="Q16" i="5"/>
  <c r="M16" i="5"/>
  <c r="Q15" i="5"/>
  <c r="M15" i="5"/>
  <c r="Q14" i="5"/>
  <c r="M14" i="5"/>
  <c r="Q13" i="5"/>
  <c r="M13" i="5"/>
  <c r="Q12" i="5"/>
  <c r="M12" i="5"/>
  <c r="Q11" i="5"/>
  <c r="M11" i="5"/>
  <c r="Q10" i="5"/>
  <c r="M10" i="5"/>
  <c r="Q9" i="5"/>
  <c r="M9" i="5"/>
  <c r="Q8" i="5"/>
  <c r="M8" i="5"/>
  <c r="Q7" i="5"/>
  <c r="M7" i="5"/>
  <c r="Q6" i="5"/>
  <c r="M6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Q5" i="5"/>
  <c r="N7" i="4" l="1"/>
  <c r="M8" i="4" l="1"/>
  <c r="B33" i="34" l="1"/>
  <c r="N8" i="4" l="1"/>
  <c r="N13" i="4"/>
  <c r="E44" i="38" l="1"/>
  <c r="D44" i="38"/>
  <c r="C44" i="38"/>
  <c r="B44" i="38"/>
  <c r="E40" i="38"/>
  <c r="D40" i="38"/>
  <c r="C40" i="38"/>
  <c r="B40" i="38"/>
  <c r="E44" i="37"/>
  <c r="D44" i="37"/>
  <c r="C44" i="37"/>
  <c r="B44" i="37"/>
  <c r="E40" i="37"/>
  <c r="D40" i="37"/>
  <c r="C40" i="37"/>
  <c r="B40" i="37"/>
  <c r="E40" i="36"/>
  <c r="D40" i="36"/>
  <c r="C40" i="36"/>
  <c r="B40" i="36"/>
  <c r="E44" i="36"/>
  <c r="D44" i="36"/>
  <c r="C44" i="36"/>
  <c r="B44" i="36"/>
  <c r="L6" i="34" l="1"/>
  <c r="I6" i="34"/>
  <c r="F6" i="34"/>
  <c r="C6" i="34"/>
  <c r="B37" i="30" l="1"/>
  <c r="K53" i="34" l="1"/>
  <c r="H53" i="34"/>
  <c r="E53" i="34"/>
  <c r="B53" i="34"/>
  <c r="K52" i="34"/>
  <c r="H52" i="34"/>
  <c r="E52" i="34"/>
  <c r="B52" i="34"/>
  <c r="K51" i="34"/>
  <c r="H51" i="34"/>
  <c r="E51" i="34"/>
  <c r="B51" i="34"/>
  <c r="K50" i="34"/>
  <c r="H50" i="34"/>
  <c r="E50" i="34"/>
  <c r="B50" i="34"/>
  <c r="K49" i="34"/>
  <c r="H49" i="34"/>
  <c r="E49" i="34"/>
  <c r="B49" i="34"/>
  <c r="K48" i="34"/>
  <c r="H48" i="34"/>
  <c r="E48" i="34"/>
  <c r="B48" i="34"/>
  <c r="K47" i="34"/>
  <c r="H47" i="34"/>
  <c r="E47" i="34"/>
  <c r="B47" i="34"/>
  <c r="K46" i="34"/>
  <c r="H46" i="34"/>
  <c r="E46" i="34"/>
  <c r="B46" i="34"/>
  <c r="K45" i="34"/>
  <c r="H45" i="34"/>
  <c r="E45" i="34"/>
  <c r="B45" i="34"/>
  <c r="K44" i="34"/>
  <c r="H44" i="34"/>
  <c r="E44" i="34"/>
  <c r="B44" i="34"/>
  <c r="K43" i="34"/>
  <c r="H43" i="34"/>
  <c r="E43" i="34"/>
  <c r="B43" i="34"/>
  <c r="K42" i="34"/>
  <c r="H42" i="34"/>
  <c r="E42" i="34"/>
  <c r="B42" i="34"/>
  <c r="K41" i="34"/>
  <c r="H41" i="34"/>
  <c r="E41" i="34"/>
  <c r="B41" i="34"/>
  <c r="K40" i="34"/>
  <c r="H40" i="34"/>
  <c r="E40" i="34"/>
  <c r="B40" i="34"/>
  <c r="K39" i="34"/>
  <c r="H39" i="34"/>
  <c r="E39" i="34"/>
  <c r="B39" i="34"/>
  <c r="K38" i="34"/>
  <c r="H38" i="34"/>
  <c r="E38" i="34"/>
  <c r="B38" i="34"/>
  <c r="K37" i="34"/>
  <c r="H37" i="34"/>
  <c r="E37" i="34"/>
  <c r="B37" i="34"/>
  <c r="K36" i="34"/>
  <c r="H36" i="34"/>
  <c r="E36" i="34"/>
  <c r="B36" i="34"/>
  <c r="K35" i="34"/>
  <c r="H35" i="34"/>
  <c r="E35" i="34"/>
  <c r="B35" i="34"/>
  <c r="K34" i="34"/>
  <c r="H34" i="34"/>
  <c r="E34" i="34"/>
  <c r="B34" i="34"/>
  <c r="K33" i="34"/>
  <c r="H33" i="34"/>
  <c r="E33" i="34"/>
  <c r="A33" i="34"/>
  <c r="N26" i="36" l="1"/>
  <c r="M26" i="36"/>
  <c r="L26" i="36"/>
  <c r="K26" i="36"/>
  <c r="N25" i="36"/>
  <c r="M25" i="36"/>
  <c r="L25" i="36"/>
  <c r="K25" i="36"/>
  <c r="N24" i="36"/>
  <c r="M24" i="36"/>
  <c r="L24" i="36"/>
  <c r="K24" i="36"/>
  <c r="N23" i="36"/>
  <c r="M23" i="36"/>
  <c r="L23" i="36"/>
  <c r="K23" i="36"/>
  <c r="N22" i="36"/>
  <c r="M22" i="36"/>
  <c r="L22" i="36"/>
  <c r="K22" i="36"/>
  <c r="N21" i="36"/>
  <c r="M21" i="36"/>
  <c r="L21" i="36"/>
  <c r="K21" i="36"/>
  <c r="N20" i="36"/>
  <c r="M20" i="36"/>
  <c r="L20" i="36"/>
  <c r="K20" i="36"/>
  <c r="N19" i="36"/>
  <c r="M19" i="36"/>
  <c r="L19" i="36"/>
  <c r="K19" i="36"/>
  <c r="N18" i="36"/>
  <c r="M18" i="36"/>
  <c r="L18" i="36"/>
  <c r="K18" i="36"/>
  <c r="N17" i="36"/>
  <c r="M17" i="36"/>
  <c r="L17" i="36"/>
  <c r="K17" i="36"/>
  <c r="N16" i="36"/>
  <c r="M16" i="36"/>
  <c r="L16" i="36"/>
  <c r="K16" i="36"/>
  <c r="N15" i="36"/>
  <c r="M15" i="36"/>
  <c r="L15" i="36"/>
  <c r="K15" i="36"/>
  <c r="N14" i="36"/>
  <c r="M14" i="36"/>
  <c r="L14" i="36"/>
  <c r="K14" i="36"/>
  <c r="N13" i="36"/>
  <c r="M13" i="36"/>
  <c r="L13" i="36"/>
  <c r="K13" i="36"/>
  <c r="N12" i="36"/>
  <c r="M12" i="36"/>
  <c r="L12" i="36"/>
  <c r="K12" i="36"/>
  <c r="N11" i="36"/>
  <c r="M11" i="36"/>
  <c r="L11" i="36"/>
  <c r="K11" i="36"/>
  <c r="N10" i="36"/>
  <c r="M10" i="36"/>
  <c r="L10" i="36"/>
  <c r="K10" i="36"/>
  <c r="N9" i="36"/>
  <c r="M9" i="36"/>
  <c r="L9" i="36"/>
  <c r="K9" i="36"/>
  <c r="N8" i="36"/>
  <c r="M8" i="36"/>
  <c r="L8" i="36"/>
  <c r="K8" i="36"/>
  <c r="N7" i="36"/>
  <c r="M7" i="36"/>
  <c r="L7" i="36"/>
  <c r="K7" i="36"/>
  <c r="N6" i="36"/>
  <c r="R6" i="36" s="1"/>
  <c r="E6" i="36" s="1"/>
  <c r="I6" i="36" s="1"/>
  <c r="M6" i="36"/>
  <c r="Q6" i="36" s="1"/>
  <c r="L6" i="36"/>
  <c r="P6" i="36" s="1"/>
  <c r="K6" i="36"/>
  <c r="O6" i="36" s="1"/>
  <c r="N26" i="37"/>
  <c r="R26" i="37" s="1"/>
  <c r="E26" i="37" s="1"/>
  <c r="M26" i="37"/>
  <c r="L26" i="37"/>
  <c r="K26" i="37"/>
  <c r="N25" i="37"/>
  <c r="M25" i="37"/>
  <c r="Q25" i="37" s="1"/>
  <c r="L25" i="37"/>
  <c r="K25" i="37"/>
  <c r="N24" i="37"/>
  <c r="M24" i="37"/>
  <c r="L24" i="37"/>
  <c r="K24" i="37"/>
  <c r="N23" i="37"/>
  <c r="M23" i="37"/>
  <c r="L23" i="37"/>
  <c r="K23" i="37"/>
  <c r="N22" i="37"/>
  <c r="M22" i="37"/>
  <c r="L22" i="37"/>
  <c r="K22" i="37"/>
  <c r="N21" i="37"/>
  <c r="M21" i="37"/>
  <c r="L21" i="37"/>
  <c r="K21" i="37"/>
  <c r="N20" i="37"/>
  <c r="M20" i="37"/>
  <c r="L20" i="37"/>
  <c r="K20" i="37"/>
  <c r="N19" i="37"/>
  <c r="M19" i="37"/>
  <c r="L19" i="37"/>
  <c r="K19" i="37"/>
  <c r="N18" i="37"/>
  <c r="R18" i="37" s="1"/>
  <c r="E18" i="37" s="1"/>
  <c r="M18" i="37"/>
  <c r="L18" i="37"/>
  <c r="K18" i="37"/>
  <c r="N17" i="37"/>
  <c r="M17" i="37"/>
  <c r="L17" i="37"/>
  <c r="K17" i="37"/>
  <c r="N16" i="37"/>
  <c r="M16" i="37"/>
  <c r="L16" i="37"/>
  <c r="K16" i="37"/>
  <c r="N15" i="37"/>
  <c r="M15" i="37"/>
  <c r="L15" i="37"/>
  <c r="K15" i="37"/>
  <c r="N14" i="37"/>
  <c r="M14" i="37"/>
  <c r="L14" i="37"/>
  <c r="K14" i="37"/>
  <c r="N13" i="37"/>
  <c r="M13" i="37"/>
  <c r="L13" i="37"/>
  <c r="K13" i="37"/>
  <c r="N12" i="37"/>
  <c r="M12" i="37"/>
  <c r="L12" i="37"/>
  <c r="K12" i="37"/>
  <c r="N11" i="37"/>
  <c r="M11" i="37"/>
  <c r="L11" i="37"/>
  <c r="K11" i="37"/>
  <c r="N10" i="37"/>
  <c r="M10" i="37"/>
  <c r="L10" i="37"/>
  <c r="K10" i="37"/>
  <c r="N9" i="37"/>
  <c r="M9" i="37"/>
  <c r="L9" i="37"/>
  <c r="K9" i="37"/>
  <c r="N8" i="37"/>
  <c r="M8" i="37"/>
  <c r="L8" i="37"/>
  <c r="P8" i="37" s="1"/>
  <c r="K8" i="37"/>
  <c r="N7" i="37"/>
  <c r="M7" i="37"/>
  <c r="L7" i="37"/>
  <c r="K7" i="37"/>
  <c r="N6" i="37"/>
  <c r="M6" i="37"/>
  <c r="L6" i="37"/>
  <c r="K6" i="37"/>
  <c r="A6" i="37"/>
  <c r="A6" i="36"/>
  <c r="K10" i="38" l="1"/>
  <c r="K20" i="38"/>
  <c r="K16" i="38"/>
  <c r="K12" i="38"/>
  <c r="K26" i="38"/>
  <c r="M26" i="38"/>
  <c r="M24" i="38"/>
  <c r="L11" i="38"/>
  <c r="L19" i="38"/>
  <c r="L10" i="38"/>
  <c r="L14" i="38"/>
  <c r="L20" i="38"/>
  <c r="L22" i="38"/>
  <c r="M15" i="38"/>
  <c r="K7" i="38"/>
  <c r="K15" i="38"/>
  <c r="K21" i="38"/>
  <c r="K23" i="38"/>
  <c r="K25" i="38"/>
  <c r="K19" i="38"/>
  <c r="K9" i="38"/>
  <c r="N11" i="38"/>
  <c r="N13" i="38"/>
  <c r="N15" i="38"/>
  <c r="N21" i="38"/>
  <c r="L21" i="38"/>
  <c r="K6" i="38"/>
  <c r="M9" i="38"/>
  <c r="K24" i="38"/>
  <c r="K14" i="38"/>
  <c r="N20" i="38"/>
  <c r="N7" i="38"/>
  <c r="O20" i="37"/>
  <c r="K8" i="38"/>
  <c r="M7" i="38"/>
  <c r="M13" i="38"/>
  <c r="K18" i="38"/>
  <c r="K17" i="38"/>
  <c r="M8" i="38"/>
  <c r="M6" i="38"/>
  <c r="K13" i="38"/>
  <c r="N23" i="38"/>
  <c r="M12" i="38"/>
  <c r="M23" i="38"/>
  <c r="M14" i="38"/>
  <c r="M17" i="38"/>
  <c r="M16" i="38"/>
  <c r="L12" i="38"/>
  <c r="M19" i="38"/>
  <c r="K11" i="38"/>
  <c r="K22" i="38"/>
  <c r="N18" i="38"/>
  <c r="L7" i="38"/>
  <c r="M25" i="38"/>
  <c r="M10" i="38"/>
  <c r="L9" i="38"/>
  <c r="M18" i="38"/>
  <c r="M11" i="38"/>
  <c r="N26" i="38"/>
  <c r="M21" i="38"/>
  <c r="L8" i="38"/>
  <c r="L13" i="38"/>
  <c r="O24" i="37"/>
  <c r="M22" i="38"/>
  <c r="N9" i="38"/>
  <c r="Q16" i="36"/>
  <c r="Q19" i="36"/>
  <c r="Q25" i="36"/>
  <c r="Q6" i="37"/>
  <c r="Q20" i="37"/>
  <c r="Q7" i="36"/>
  <c r="Q21" i="37"/>
  <c r="M20" i="38"/>
  <c r="P26" i="36"/>
  <c r="O9" i="36"/>
  <c r="O15" i="36"/>
  <c r="O17" i="36"/>
  <c r="O18" i="36"/>
  <c r="O20" i="36"/>
  <c r="O7" i="37"/>
  <c r="C6" i="36"/>
  <c r="G6" i="36" s="1"/>
  <c r="O8" i="36"/>
  <c r="Q10" i="36"/>
  <c r="Q12" i="36"/>
  <c r="Q13" i="36"/>
  <c r="O7" i="36"/>
  <c r="Q9" i="36"/>
  <c r="O10" i="36"/>
  <c r="O11" i="36"/>
  <c r="Q11" i="36"/>
  <c r="O12" i="36"/>
  <c r="O14" i="36"/>
  <c r="Q15" i="36"/>
  <c r="O16" i="36"/>
  <c r="Q18" i="36"/>
  <c r="O19" i="36"/>
  <c r="O24" i="36"/>
  <c r="O25" i="36"/>
  <c r="O9" i="37"/>
  <c r="O11" i="37"/>
  <c r="Q14" i="36"/>
  <c r="Q17" i="36"/>
  <c r="O21" i="36"/>
  <c r="Q22" i="36"/>
  <c r="Q23" i="36"/>
  <c r="Q24" i="36"/>
  <c r="Q7" i="37"/>
  <c r="Q9" i="37"/>
  <c r="Q11" i="37"/>
  <c r="R26" i="36"/>
  <c r="E26" i="36" s="1"/>
  <c r="I26" i="36" s="1"/>
  <c r="O6" i="37"/>
  <c r="P7" i="37"/>
  <c r="R7" i="37"/>
  <c r="E7" i="37" s="1"/>
  <c r="I7" i="37" s="1"/>
  <c r="P11" i="37"/>
  <c r="R11" i="37"/>
  <c r="E11" i="37" s="1"/>
  <c r="I11" i="37" s="1"/>
  <c r="P12" i="37"/>
  <c r="Q8" i="36"/>
  <c r="Q20" i="36"/>
  <c r="Q21" i="36"/>
  <c r="O22" i="36"/>
  <c r="O23" i="36"/>
  <c r="O26" i="36"/>
  <c r="Q26" i="36"/>
  <c r="P19" i="37"/>
  <c r="O13" i="36"/>
  <c r="Q13" i="37"/>
  <c r="O16" i="37"/>
  <c r="Q17" i="37"/>
  <c r="Q24" i="37"/>
  <c r="Q16" i="37"/>
  <c r="O13" i="37"/>
  <c r="P7" i="36"/>
  <c r="R7" i="36"/>
  <c r="E7" i="36" s="1"/>
  <c r="I7" i="36" s="1"/>
  <c r="P9" i="36"/>
  <c r="R9" i="36"/>
  <c r="E9" i="36" s="1"/>
  <c r="I9" i="36" s="1"/>
  <c r="P11" i="36"/>
  <c r="R11" i="36"/>
  <c r="E11" i="36" s="1"/>
  <c r="I11" i="36" s="1"/>
  <c r="P13" i="36"/>
  <c r="R13" i="36"/>
  <c r="E13" i="36" s="1"/>
  <c r="I13" i="36" s="1"/>
  <c r="P15" i="36"/>
  <c r="R15" i="36"/>
  <c r="E15" i="36" s="1"/>
  <c r="I15" i="36" s="1"/>
  <c r="P17" i="36"/>
  <c r="R17" i="36"/>
  <c r="E17" i="36" s="1"/>
  <c r="I17" i="36" s="1"/>
  <c r="P19" i="36"/>
  <c r="R19" i="36"/>
  <c r="E19" i="36" s="1"/>
  <c r="I19" i="36" s="1"/>
  <c r="P21" i="36"/>
  <c r="R21" i="36"/>
  <c r="E21" i="36" s="1"/>
  <c r="I21" i="36" s="1"/>
  <c r="P23" i="36"/>
  <c r="R23" i="36"/>
  <c r="E23" i="36" s="1"/>
  <c r="I23" i="36" s="1"/>
  <c r="I18" i="37"/>
  <c r="I26" i="37"/>
  <c r="L6" i="38"/>
  <c r="P6" i="37"/>
  <c r="N6" i="38"/>
  <c r="R6" i="37"/>
  <c r="E6" i="37" s="1"/>
  <c r="N8" i="38"/>
  <c r="R8" i="37"/>
  <c r="E8" i="37" s="1"/>
  <c r="N10" i="38"/>
  <c r="R10" i="37"/>
  <c r="E10" i="37" s="1"/>
  <c r="N12" i="38"/>
  <c r="R12" i="37"/>
  <c r="E12" i="37" s="1"/>
  <c r="N14" i="38"/>
  <c r="R14" i="37"/>
  <c r="E14" i="37" s="1"/>
  <c r="L15" i="38"/>
  <c r="P15" i="37"/>
  <c r="L16" i="38"/>
  <c r="P16" i="37"/>
  <c r="N16" i="38"/>
  <c r="R16" i="37"/>
  <c r="E16" i="37" s="1"/>
  <c r="L17" i="38"/>
  <c r="P17" i="37"/>
  <c r="N17" i="38"/>
  <c r="R17" i="37"/>
  <c r="E17" i="37" s="1"/>
  <c r="L18" i="38"/>
  <c r="P18" i="37"/>
  <c r="C18" i="37" s="1"/>
  <c r="N19" i="38"/>
  <c r="R19" i="37"/>
  <c r="E19" i="37" s="1"/>
  <c r="N22" i="38"/>
  <c r="R22" i="37"/>
  <c r="E22" i="37" s="1"/>
  <c r="L23" i="38"/>
  <c r="P23" i="37"/>
  <c r="L24" i="38"/>
  <c r="P24" i="37"/>
  <c r="N24" i="38"/>
  <c r="R24" i="37"/>
  <c r="E24" i="37" s="1"/>
  <c r="L25" i="38"/>
  <c r="P25" i="37"/>
  <c r="N25" i="38"/>
  <c r="R25" i="37"/>
  <c r="E25" i="37" s="1"/>
  <c r="L26" i="38"/>
  <c r="P26" i="37"/>
  <c r="C26" i="37" s="1"/>
  <c r="P8" i="36"/>
  <c r="R8" i="36"/>
  <c r="E8" i="36" s="1"/>
  <c r="I8" i="36" s="1"/>
  <c r="P10" i="36"/>
  <c r="R10" i="36"/>
  <c r="E10" i="36" s="1"/>
  <c r="I10" i="36" s="1"/>
  <c r="P12" i="36"/>
  <c r="R12" i="36"/>
  <c r="E12" i="36" s="1"/>
  <c r="I12" i="36" s="1"/>
  <c r="P14" i="36"/>
  <c r="R14" i="36"/>
  <c r="E14" i="36" s="1"/>
  <c r="I14" i="36" s="1"/>
  <c r="P16" i="36"/>
  <c r="R16" i="36"/>
  <c r="E16" i="36" s="1"/>
  <c r="I16" i="36" s="1"/>
  <c r="P18" i="36"/>
  <c r="R18" i="36"/>
  <c r="E18" i="36" s="1"/>
  <c r="I18" i="36" s="1"/>
  <c r="P20" i="36"/>
  <c r="R20" i="36"/>
  <c r="E20" i="36" s="1"/>
  <c r="I20" i="36" s="1"/>
  <c r="P22" i="36"/>
  <c r="R22" i="36"/>
  <c r="E22" i="36" s="1"/>
  <c r="I22" i="36" s="1"/>
  <c r="P24" i="36"/>
  <c r="R24" i="36"/>
  <c r="E24" i="36" s="1"/>
  <c r="I24" i="36" s="1"/>
  <c r="R25" i="36"/>
  <c r="E25" i="36" s="1"/>
  <c r="I25" i="36" s="1"/>
  <c r="P9" i="37"/>
  <c r="R9" i="37"/>
  <c r="E9" i="37" s="1"/>
  <c r="P10" i="37"/>
  <c r="P13" i="37"/>
  <c r="R13" i="37"/>
  <c r="E13" i="37" s="1"/>
  <c r="P14" i="37"/>
  <c r="R15" i="37"/>
  <c r="E15" i="37" s="1"/>
  <c r="P20" i="37"/>
  <c r="R20" i="37"/>
  <c r="E20" i="37" s="1"/>
  <c r="P21" i="37"/>
  <c r="R21" i="37"/>
  <c r="E21" i="37" s="1"/>
  <c r="P22" i="37"/>
  <c r="R23" i="37"/>
  <c r="E23" i="37" s="1"/>
  <c r="O8" i="37"/>
  <c r="Q8" i="37"/>
  <c r="O10" i="37"/>
  <c r="Q10" i="37"/>
  <c r="O12" i="37"/>
  <c r="Q12" i="37"/>
  <c r="O14" i="37"/>
  <c r="Q14" i="37"/>
  <c r="Q15" i="37"/>
  <c r="O18" i="37"/>
  <c r="Q18" i="37"/>
  <c r="D18" i="37" s="1"/>
  <c r="Q19" i="37"/>
  <c r="O22" i="37"/>
  <c r="Q22" i="37"/>
  <c r="Q23" i="37"/>
  <c r="O26" i="37"/>
  <c r="Q26" i="37"/>
  <c r="D26" i="37" s="1"/>
  <c r="P25" i="36"/>
  <c r="D6" i="36"/>
  <c r="H6" i="36" s="1"/>
  <c r="O15" i="37"/>
  <c r="O17" i="37"/>
  <c r="O19" i="37"/>
  <c r="O21" i="37"/>
  <c r="O23" i="37"/>
  <c r="O25" i="37"/>
  <c r="B6" i="36"/>
  <c r="F6" i="36" s="1"/>
  <c r="B26" i="37" l="1"/>
  <c r="F26" i="37" s="1"/>
  <c r="I26" i="38"/>
  <c r="D26" i="36"/>
  <c r="H26" i="36" s="1"/>
  <c r="C26" i="36"/>
  <c r="G26" i="36" s="1"/>
  <c r="D19" i="36"/>
  <c r="H19" i="36" s="1"/>
  <c r="C10" i="37"/>
  <c r="G10" i="37" s="1"/>
  <c r="D17" i="36"/>
  <c r="H17" i="36" s="1"/>
  <c r="B17" i="37"/>
  <c r="F17" i="37" s="1"/>
  <c r="B11" i="37"/>
  <c r="F11" i="37" s="1"/>
  <c r="E26" i="38"/>
  <c r="B26" i="36"/>
  <c r="F26" i="36" s="1"/>
  <c r="B13" i="36"/>
  <c r="F13" i="36" s="1"/>
  <c r="B11" i="36"/>
  <c r="F11" i="36" s="1"/>
  <c r="D21" i="37"/>
  <c r="H21" i="37" s="1"/>
  <c r="D21" i="36"/>
  <c r="H21" i="36" s="1"/>
  <c r="D13" i="36"/>
  <c r="H13" i="36" s="1"/>
  <c r="D23" i="36"/>
  <c r="H23" i="36" s="1"/>
  <c r="D7" i="37"/>
  <c r="H7" i="37" s="1"/>
  <c r="D25" i="36"/>
  <c r="H25" i="36" s="1"/>
  <c r="D7" i="36"/>
  <c r="H7" i="36" s="1"/>
  <c r="B7" i="37"/>
  <c r="F7" i="37" s="1"/>
  <c r="B19" i="36"/>
  <c r="F19" i="36" s="1"/>
  <c r="D11" i="36"/>
  <c r="H11" i="36" s="1"/>
  <c r="D11" i="37"/>
  <c r="H11" i="37" s="1"/>
  <c r="C11" i="37"/>
  <c r="G11" i="37" s="1"/>
  <c r="C7" i="37"/>
  <c r="G7" i="37" s="1"/>
  <c r="B21" i="36"/>
  <c r="F21" i="36" s="1"/>
  <c r="D9" i="36"/>
  <c r="H9" i="36" s="1"/>
  <c r="D15" i="36"/>
  <c r="H15" i="36" s="1"/>
  <c r="B19" i="37"/>
  <c r="B14" i="36"/>
  <c r="F14" i="36" s="1"/>
  <c r="C19" i="37"/>
  <c r="G19" i="37" s="1"/>
  <c r="D9" i="37"/>
  <c r="H9" i="37" s="1"/>
  <c r="B17" i="36"/>
  <c r="F17" i="36" s="1"/>
  <c r="B23" i="36"/>
  <c r="F23" i="36" s="1"/>
  <c r="B9" i="36"/>
  <c r="F9" i="36" s="1"/>
  <c r="B25" i="36"/>
  <c r="F25" i="36" s="1"/>
  <c r="B25" i="37"/>
  <c r="F25" i="37" s="1"/>
  <c r="C25" i="36"/>
  <c r="G25" i="36" s="1"/>
  <c r="B21" i="37"/>
  <c r="F21" i="37" s="1"/>
  <c r="B15" i="37"/>
  <c r="F15" i="37" s="1"/>
  <c r="B15" i="36"/>
  <c r="F15" i="36" s="1"/>
  <c r="B7" i="36"/>
  <c r="F7" i="36" s="1"/>
  <c r="B22" i="36"/>
  <c r="F22" i="36" s="1"/>
  <c r="E11" i="38"/>
  <c r="C9" i="37"/>
  <c r="G9" i="37" s="1"/>
  <c r="E7" i="38"/>
  <c r="D22" i="37"/>
  <c r="H22" i="37" s="1"/>
  <c r="B18" i="36"/>
  <c r="F18" i="36" s="1"/>
  <c r="B10" i="36"/>
  <c r="F10" i="36" s="1"/>
  <c r="I11" i="38"/>
  <c r="I7" i="38"/>
  <c r="C23" i="36"/>
  <c r="G23" i="36" s="1"/>
  <c r="C21" i="36"/>
  <c r="G21" i="36" s="1"/>
  <c r="C19" i="36"/>
  <c r="G19" i="36" s="1"/>
  <c r="C17" i="36"/>
  <c r="G17" i="36" s="1"/>
  <c r="C15" i="36"/>
  <c r="G15" i="36" s="1"/>
  <c r="C13" i="36"/>
  <c r="G13" i="36" s="1"/>
  <c r="C11" i="36"/>
  <c r="C9" i="36"/>
  <c r="G9" i="36" s="1"/>
  <c r="C7" i="36"/>
  <c r="D20" i="37"/>
  <c r="H20" i="37" s="1"/>
  <c r="B6" i="37"/>
  <c r="B6" i="38" s="1"/>
  <c r="C23" i="37"/>
  <c r="G23" i="37" s="1"/>
  <c r="B23" i="37"/>
  <c r="F23" i="37" s="1"/>
  <c r="B13" i="37"/>
  <c r="B9" i="37"/>
  <c r="F9" i="37" s="1"/>
  <c r="D23" i="37"/>
  <c r="H23" i="37" s="1"/>
  <c r="B22" i="37"/>
  <c r="F22" i="37" s="1"/>
  <c r="D15" i="37"/>
  <c r="H15" i="37" s="1"/>
  <c r="B14" i="37"/>
  <c r="F14" i="37" s="1"/>
  <c r="B12" i="37"/>
  <c r="F12" i="37" s="1"/>
  <c r="B10" i="37"/>
  <c r="F10" i="37" s="1"/>
  <c r="B8" i="37"/>
  <c r="F8" i="37" s="1"/>
  <c r="B20" i="37"/>
  <c r="F20" i="37" s="1"/>
  <c r="C22" i="37"/>
  <c r="G22" i="37" s="1"/>
  <c r="C21" i="37"/>
  <c r="G21" i="37" s="1"/>
  <c r="C20" i="37"/>
  <c r="G20" i="37" s="1"/>
  <c r="C12" i="37"/>
  <c r="G12" i="37" s="1"/>
  <c r="H26" i="37"/>
  <c r="H18" i="37"/>
  <c r="I15" i="37"/>
  <c r="I15" i="38" s="1"/>
  <c r="E15" i="38"/>
  <c r="I13" i="37"/>
  <c r="I13" i="38" s="1"/>
  <c r="E13" i="38"/>
  <c r="G26" i="37"/>
  <c r="I25" i="37"/>
  <c r="I25" i="38" s="1"/>
  <c r="E25" i="38"/>
  <c r="I24" i="37"/>
  <c r="I24" i="38" s="1"/>
  <c r="E24" i="38"/>
  <c r="I22" i="37"/>
  <c r="I22" i="38" s="1"/>
  <c r="E22" i="38"/>
  <c r="I19" i="37"/>
  <c r="I19" i="38" s="1"/>
  <c r="E19" i="38"/>
  <c r="G18" i="37"/>
  <c r="I17" i="37"/>
  <c r="I17" i="38" s="1"/>
  <c r="E17" i="38"/>
  <c r="I16" i="37"/>
  <c r="I16" i="38" s="1"/>
  <c r="E16" i="38"/>
  <c r="I14" i="37"/>
  <c r="I14" i="38" s="1"/>
  <c r="E14" i="38"/>
  <c r="I12" i="37"/>
  <c r="I12" i="38" s="1"/>
  <c r="E12" i="38"/>
  <c r="I10" i="37"/>
  <c r="I10" i="38" s="1"/>
  <c r="E10" i="38"/>
  <c r="I8" i="37"/>
  <c r="I8" i="38" s="1"/>
  <c r="E8" i="38"/>
  <c r="I6" i="37"/>
  <c r="I6" i="38" s="1"/>
  <c r="E6" i="38"/>
  <c r="I23" i="37"/>
  <c r="I23" i="38" s="1"/>
  <c r="E23" i="38"/>
  <c r="I21" i="37"/>
  <c r="I21" i="38" s="1"/>
  <c r="E21" i="38"/>
  <c r="I20" i="37"/>
  <c r="I20" i="38" s="1"/>
  <c r="E20" i="38"/>
  <c r="I9" i="37"/>
  <c r="I9" i="38" s="1"/>
  <c r="E9" i="38"/>
  <c r="D22" i="36"/>
  <c r="H22" i="36" s="1"/>
  <c r="D18" i="36"/>
  <c r="H18" i="36" s="1"/>
  <c r="D14" i="36"/>
  <c r="H14" i="36" s="1"/>
  <c r="D10" i="36"/>
  <c r="H10" i="36" s="1"/>
  <c r="C25" i="37"/>
  <c r="C24" i="37"/>
  <c r="C17" i="37"/>
  <c r="C16" i="37"/>
  <c r="C15" i="37"/>
  <c r="C6" i="37"/>
  <c r="E18" i="38"/>
  <c r="D25" i="37"/>
  <c r="D19" i="37"/>
  <c r="D17" i="37"/>
  <c r="D13" i="37"/>
  <c r="D6" i="37"/>
  <c r="B24" i="37"/>
  <c r="D24" i="37"/>
  <c r="B24" i="36"/>
  <c r="F24" i="36" s="1"/>
  <c r="B20" i="36"/>
  <c r="F20" i="36" s="1"/>
  <c r="B16" i="36"/>
  <c r="F16" i="36" s="1"/>
  <c r="B12" i="36"/>
  <c r="F12" i="36" s="1"/>
  <c r="B8" i="36"/>
  <c r="F8" i="36" s="1"/>
  <c r="D24" i="36"/>
  <c r="H24" i="36" s="1"/>
  <c r="B18" i="37"/>
  <c r="D14" i="37"/>
  <c r="D12" i="37"/>
  <c r="D10" i="37"/>
  <c r="D8" i="37"/>
  <c r="B16" i="37"/>
  <c r="C14" i="37"/>
  <c r="C13" i="37"/>
  <c r="C24" i="36"/>
  <c r="G24" i="36" s="1"/>
  <c r="C22" i="36"/>
  <c r="G22" i="36" s="1"/>
  <c r="C20" i="36"/>
  <c r="G20" i="36" s="1"/>
  <c r="C18" i="36"/>
  <c r="G18" i="36" s="1"/>
  <c r="C16" i="36"/>
  <c r="G16" i="36" s="1"/>
  <c r="C14" i="36"/>
  <c r="G14" i="36" s="1"/>
  <c r="C12" i="36"/>
  <c r="G12" i="36" s="1"/>
  <c r="C10" i="36"/>
  <c r="G10" i="36" s="1"/>
  <c r="C8" i="36"/>
  <c r="G8" i="36" s="1"/>
  <c r="D16" i="37"/>
  <c r="C8" i="37"/>
  <c r="D20" i="36"/>
  <c r="H20" i="36" s="1"/>
  <c r="D16" i="36"/>
  <c r="H16" i="36" s="1"/>
  <c r="D12" i="36"/>
  <c r="H12" i="36" s="1"/>
  <c r="D8" i="36"/>
  <c r="H8" i="36" s="1"/>
  <c r="I18" i="38"/>
  <c r="A10" i="34"/>
  <c r="A7" i="30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L37" i="30"/>
  <c r="K37" i="30"/>
  <c r="I37" i="30"/>
  <c r="A34" i="34" l="1"/>
  <c r="A7" i="38"/>
  <c r="F11" i="38"/>
  <c r="B26" i="38"/>
  <c r="B19" i="38"/>
  <c r="C26" i="38"/>
  <c r="D26" i="38"/>
  <c r="F14" i="38"/>
  <c r="H26" i="38"/>
  <c r="G26" i="38"/>
  <c r="A7" i="36"/>
  <c r="A7" i="37"/>
  <c r="B13" i="38"/>
  <c r="F23" i="38"/>
  <c r="D21" i="38"/>
  <c r="F17" i="38"/>
  <c r="F26" i="38"/>
  <c r="B11" i="38"/>
  <c r="H21" i="38"/>
  <c r="F19" i="37"/>
  <c r="F19" i="38" s="1"/>
  <c r="D7" i="38"/>
  <c r="C21" i="38"/>
  <c r="B21" i="38"/>
  <c r="D11" i="38"/>
  <c r="C9" i="38"/>
  <c r="H23" i="38"/>
  <c r="D23" i="38"/>
  <c r="F25" i="38"/>
  <c r="B7" i="38"/>
  <c r="H7" i="38"/>
  <c r="H11" i="38"/>
  <c r="G21" i="38"/>
  <c r="F10" i="38"/>
  <c r="F21" i="38"/>
  <c r="H9" i="38"/>
  <c r="D9" i="38"/>
  <c r="H15" i="38"/>
  <c r="D15" i="38"/>
  <c r="C19" i="38"/>
  <c r="F22" i="38"/>
  <c r="B22" i="38"/>
  <c r="F13" i="37"/>
  <c r="F13" i="38" s="1"/>
  <c r="B9" i="38"/>
  <c r="F7" i="38"/>
  <c r="F6" i="37"/>
  <c r="F6" i="38" s="1"/>
  <c r="B17" i="38"/>
  <c r="B23" i="38"/>
  <c r="B15" i="38"/>
  <c r="F15" i="38"/>
  <c r="B14" i="38"/>
  <c r="G9" i="38"/>
  <c r="B25" i="38"/>
  <c r="F9" i="38"/>
  <c r="B10" i="38"/>
  <c r="G7" i="36"/>
  <c r="G7" i="38" s="1"/>
  <c r="C7" i="38"/>
  <c r="G11" i="36"/>
  <c r="G11" i="38" s="1"/>
  <c r="C11" i="38"/>
  <c r="C12" i="38"/>
  <c r="C23" i="38"/>
  <c r="G19" i="38"/>
  <c r="D22" i="38"/>
  <c r="C20" i="38"/>
  <c r="B8" i="38"/>
  <c r="G23" i="38"/>
  <c r="H16" i="37"/>
  <c r="H16" i="38" s="1"/>
  <c r="D16" i="38"/>
  <c r="G13" i="37"/>
  <c r="G13" i="38" s="1"/>
  <c r="C13" i="38"/>
  <c r="F16" i="37"/>
  <c r="F16" i="38" s="1"/>
  <c r="B16" i="38"/>
  <c r="H10" i="37"/>
  <c r="H10" i="38" s="1"/>
  <c r="D10" i="38"/>
  <c r="H14" i="37"/>
  <c r="H14" i="38" s="1"/>
  <c r="D14" i="38"/>
  <c r="H24" i="37"/>
  <c r="H24" i="38" s="1"/>
  <c r="D24" i="38"/>
  <c r="H6" i="37"/>
  <c r="H6" i="38" s="1"/>
  <c r="D6" i="38"/>
  <c r="H17" i="37"/>
  <c r="H17" i="38" s="1"/>
  <c r="D17" i="38"/>
  <c r="H25" i="37"/>
  <c r="H25" i="38" s="1"/>
  <c r="D25" i="38"/>
  <c r="G6" i="37"/>
  <c r="G6" i="38" s="1"/>
  <c r="C6" i="38"/>
  <c r="G16" i="37"/>
  <c r="G16" i="38" s="1"/>
  <c r="C16" i="38"/>
  <c r="G24" i="37"/>
  <c r="G24" i="38" s="1"/>
  <c r="C24" i="38"/>
  <c r="G8" i="37"/>
  <c r="G8" i="38" s="1"/>
  <c r="C8" i="38"/>
  <c r="G14" i="37"/>
  <c r="G14" i="38" s="1"/>
  <c r="C14" i="38"/>
  <c r="H8" i="37"/>
  <c r="H8" i="38" s="1"/>
  <c r="D8" i="38"/>
  <c r="H12" i="37"/>
  <c r="H12" i="38" s="1"/>
  <c r="D12" i="38"/>
  <c r="F18" i="37"/>
  <c r="F18" i="38" s="1"/>
  <c r="B18" i="38"/>
  <c r="F24" i="37"/>
  <c r="F24" i="38" s="1"/>
  <c r="B24" i="38"/>
  <c r="H13" i="37"/>
  <c r="H13" i="38" s="1"/>
  <c r="D13" i="38"/>
  <c r="H19" i="37"/>
  <c r="H19" i="38" s="1"/>
  <c r="D19" i="38"/>
  <c r="G15" i="37"/>
  <c r="G15" i="38" s="1"/>
  <c r="C15" i="38"/>
  <c r="G17" i="37"/>
  <c r="G17" i="38" s="1"/>
  <c r="C17" i="38"/>
  <c r="G25" i="37"/>
  <c r="G25" i="38" s="1"/>
  <c r="C25" i="38"/>
  <c r="D20" i="38"/>
  <c r="C18" i="38"/>
  <c r="C10" i="38"/>
  <c r="C22" i="38"/>
  <c r="B20" i="38"/>
  <c r="B12" i="38"/>
  <c r="D18" i="38"/>
  <c r="H20" i="38"/>
  <c r="G18" i="38"/>
  <c r="G12" i="38"/>
  <c r="G10" i="38"/>
  <c r="G20" i="38"/>
  <c r="G22" i="38"/>
  <c r="F20" i="38"/>
  <c r="F8" i="38"/>
  <c r="F12" i="38"/>
  <c r="H18" i="38"/>
  <c r="H22" i="38"/>
  <c r="A11" i="34"/>
  <c r="A35" i="34" l="1"/>
  <c r="A8" i="38"/>
  <c r="A8" i="37"/>
  <c r="A8" i="36"/>
  <c r="A12" i="34"/>
  <c r="A36" i="34" l="1"/>
  <c r="A9" i="38"/>
  <c r="A9" i="37"/>
  <c r="A9" i="36"/>
  <c r="A13" i="34"/>
  <c r="A37" i="34" l="1"/>
  <c r="A10" i="38"/>
  <c r="A10" i="37"/>
  <c r="A10" i="36"/>
  <c r="A14" i="34"/>
  <c r="A38" i="34" l="1"/>
  <c r="A11" i="38"/>
  <c r="A11" i="37"/>
  <c r="A11" i="36"/>
  <c r="A15" i="34"/>
  <c r="A39" i="34" l="1"/>
  <c r="A12" i="38"/>
  <c r="A12" i="37"/>
  <c r="A12" i="36"/>
  <c r="A16" i="34"/>
  <c r="A40" i="34" l="1"/>
  <c r="A13" i="38"/>
  <c r="A13" i="37"/>
  <c r="A13" i="36"/>
  <c r="A17" i="34"/>
  <c r="A41" i="34" l="1"/>
  <c r="A14" i="38"/>
  <c r="A14" i="37"/>
  <c r="A14" i="36"/>
  <c r="A18" i="34"/>
  <c r="A42" i="34" l="1"/>
  <c r="A15" i="38"/>
  <c r="A15" i="37"/>
  <c r="A15" i="36"/>
  <c r="A19" i="34"/>
  <c r="E37" i="30"/>
  <c r="D37" i="30"/>
  <c r="A38" i="30"/>
  <c r="J37" i="30"/>
  <c r="C37" i="30"/>
  <c r="A43" i="34" l="1"/>
  <c r="A16" i="38"/>
  <c r="A16" i="37"/>
  <c r="A16" i="36"/>
  <c r="A20" i="34"/>
  <c r="M37" i="30"/>
  <c r="F37" i="30"/>
  <c r="E38" i="30"/>
  <c r="K38" i="30"/>
  <c r="L38" i="30"/>
  <c r="J38" i="30"/>
  <c r="C38" i="30"/>
  <c r="D38" i="30"/>
  <c r="A44" i="34" l="1"/>
  <c r="A17" i="38"/>
  <c r="A17" i="36"/>
  <c r="A17" i="37"/>
  <c r="A21" i="34"/>
  <c r="M38" i="30"/>
  <c r="N37" i="30"/>
  <c r="G37" i="30"/>
  <c r="F38" i="30"/>
  <c r="A45" i="34" l="1"/>
  <c r="A18" i="38"/>
  <c r="A18" i="37"/>
  <c r="A18" i="36"/>
  <c r="A22" i="34"/>
  <c r="I38" i="30"/>
  <c r="A39" i="30"/>
  <c r="A46" i="34" l="1"/>
  <c r="A19" i="38"/>
  <c r="A19" i="37"/>
  <c r="A19" i="36"/>
  <c r="A23" i="34"/>
  <c r="B38" i="30"/>
  <c r="N38" i="30"/>
  <c r="A40" i="30"/>
  <c r="K39" i="30"/>
  <c r="I39" i="30"/>
  <c r="L39" i="30"/>
  <c r="J39" i="30"/>
  <c r="D39" i="30"/>
  <c r="B39" i="30"/>
  <c r="E39" i="30"/>
  <c r="C39" i="30"/>
  <c r="A47" i="34" l="1"/>
  <c r="A20" i="38"/>
  <c r="G13" i="33"/>
  <c r="G14" i="33" s="1"/>
  <c r="G15" i="33" s="1"/>
  <c r="G16" i="33" s="1"/>
  <c r="M13" i="33"/>
  <c r="M14" i="33" s="1"/>
  <c r="M15" i="33" s="1"/>
  <c r="M16" i="33" s="1"/>
  <c r="D13" i="33"/>
  <c r="D14" i="33" s="1"/>
  <c r="J13" i="33"/>
  <c r="J14" i="33" s="1"/>
  <c r="J15" i="33" s="1"/>
  <c r="J16" i="33" s="1"/>
  <c r="G38" i="30"/>
  <c r="A20" i="36"/>
  <c r="A20" i="37"/>
  <c r="A24" i="34"/>
  <c r="A41" i="30"/>
  <c r="K40" i="30"/>
  <c r="I40" i="30"/>
  <c r="D40" i="30"/>
  <c r="B40" i="30"/>
  <c r="L40" i="30"/>
  <c r="J40" i="30"/>
  <c r="E40" i="30"/>
  <c r="C40" i="30"/>
  <c r="F39" i="30"/>
  <c r="M39" i="30"/>
  <c r="M6" i="34" l="1"/>
  <c r="A48" i="34"/>
  <c r="A21" i="38"/>
  <c r="J12" i="33"/>
  <c r="A21" i="37"/>
  <c r="A21" i="36"/>
  <c r="A25" i="34"/>
  <c r="G39" i="30"/>
  <c r="N39" i="30"/>
  <c r="F40" i="30"/>
  <c r="M40" i="30"/>
  <c r="N40" i="30" s="1"/>
  <c r="A42" i="30"/>
  <c r="K41" i="30"/>
  <c r="I41" i="30"/>
  <c r="D41" i="30"/>
  <c r="B41" i="30"/>
  <c r="L41" i="30"/>
  <c r="J41" i="30"/>
  <c r="E41" i="30"/>
  <c r="C41" i="30"/>
  <c r="M12" i="33" l="1"/>
  <c r="K6" i="34" s="1"/>
  <c r="J6" i="34"/>
  <c r="H6" i="34"/>
  <c r="G6" i="34"/>
  <c r="G12" i="33"/>
  <c r="E6" i="34" s="1"/>
  <c r="A49" i="34"/>
  <c r="A22" i="38"/>
  <c r="A22" i="36"/>
  <c r="A22" i="37"/>
  <c r="A26" i="34"/>
  <c r="G40" i="30"/>
  <c r="F41" i="30"/>
  <c r="M41" i="30"/>
  <c r="N41" i="30" s="1"/>
  <c r="A43" i="30"/>
  <c r="K42" i="30"/>
  <c r="I42" i="30"/>
  <c r="D42" i="30"/>
  <c r="B42" i="30"/>
  <c r="L42" i="30"/>
  <c r="J42" i="30"/>
  <c r="E42" i="30"/>
  <c r="C42" i="30"/>
  <c r="A50" i="34" l="1"/>
  <c r="A23" i="38"/>
  <c r="A23" i="37"/>
  <c r="A23" i="36"/>
  <c r="A27" i="34"/>
  <c r="G41" i="30"/>
  <c r="A44" i="30"/>
  <c r="K43" i="30"/>
  <c r="I43" i="30"/>
  <c r="D43" i="30"/>
  <c r="B43" i="30"/>
  <c r="L43" i="30"/>
  <c r="J43" i="30"/>
  <c r="E43" i="30"/>
  <c r="C43" i="30"/>
  <c r="F42" i="30"/>
  <c r="M42" i="30"/>
  <c r="A51" i="34" l="1"/>
  <c r="A24" i="38"/>
  <c r="A24" i="36"/>
  <c r="A24" i="37"/>
  <c r="A28" i="34"/>
  <c r="N42" i="30"/>
  <c r="G42" i="30"/>
  <c r="A45" i="30"/>
  <c r="K44" i="30"/>
  <c r="I44" i="30"/>
  <c r="D44" i="30"/>
  <c r="B44" i="30"/>
  <c r="L44" i="30"/>
  <c r="J44" i="30"/>
  <c r="E44" i="30"/>
  <c r="C44" i="30"/>
  <c r="F43" i="30"/>
  <c r="G43" i="30" s="1"/>
  <c r="M43" i="30"/>
  <c r="N43" i="30" s="1"/>
  <c r="A52" i="34" l="1"/>
  <c r="A25" i="38"/>
  <c r="A25" i="37"/>
  <c r="A25" i="36"/>
  <c r="A29" i="34"/>
  <c r="F44" i="30"/>
  <c r="M44" i="30"/>
  <c r="N44" i="30" s="1"/>
  <c r="A46" i="30"/>
  <c r="A47" i="30" s="1"/>
  <c r="K45" i="30"/>
  <c r="I45" i="30"/>
  <c r="D45" i="30"/>
  <c r="B45" i="30"/>
  <c r="L45" i="30"/>
  <c r="J45" i="30"/>
  <c r="E45" i="30"/>
  <c r="C45" i="30"/>
  <c r="A53" i="34" l="1"/>
  <c r="A26" i="38"/>
  <c r="A26" i="37"/>
  <c r="A26" i="36"/>
  <c r="K47" i="30"/>
  <c r="A48" i="30"/>
  <c r="J47" i="30"/>
  <c r="E47" i="30"/>
  <c r="L47" i="30"/>
  <c r="D47" i="30"/>
  <c r="C47" i="30"/>
  <c r="B47" i="30"/>
  <c r="I47" i="30"/>
  <c r="G44" i="30"/>
  <c r="K46" i="30"/>
  <c r="I46" i="30"/>
  <c r="D46" i="30"/>
  <c r="B46" i="30"/>
  <c r="L46" i="30"/>
  <c r="J46" i="30"/>
  <c r="E46" i="30"/>
  <c r="C46" i="30"/>
  <c r="F45" i="30"/>
  <c r="M45" i="30"/>
  <c r="M7" i="4"/>
  <c r="O7" i="4" s="1"/>
  <c r="M47" i="30" l="1"/>
  <c r="N47" i="30" s="1"/>
  <c r="F47" i="30"/>
  <c r="G47" i="30" s="1"/>
  <c r="L48" i="30"/>
  <c r="D48" i="30"/>
  <c r="K48" i="30"/>
  <c r="C48" i="30"/>
  <c r="J48" i="30"/>
  <c r="B48" i="30"/>
  <c r="I48" i="30"/>
  <c r="A49" i="30"/>
  <c r="E48" i="30"/>
  <c r="N45" i="30"/>
  <c r="G45" i="30"/>
  <c r="F46" i="30"/>
  <c r="G46" i="30" s="1"/>
  <c r="M46" i="30"/>
  <c r="N46" i="30" s="1"/>
  <c r="N15" i="4"/>
  <c r="M9" i="4"/>
  <c r="M15" i="4"/>
  <c r="M13" i="4"/>
  <c r="B16" i="4" l="1"/>
  <c r="F48" i="30"/>
  <c r="G48" i="30" s="1"/>
  <c r="M48" i="30"/>
  <c r="N48" i="30" s="1"/>
  <c r="A50" i="30"/>
  <c r="I49" i="30"/>
  <c r="B49" i="30"/>
  <c r="J49" i="30"/>
  <c r="C49" i="30"/>
  <c r="K49" i="30"/>
  <c r="D49" i="30"/>
  <c r="L49" i="30"/>
  <c r="E49" i="30"/>
  <c r="K10" i="4"/>
  <c r="D5" i="30" s="1"/>
  <c r="I10" i="4"/>
  <c r="G10" i="4"/>
  <c r="E10" i="4"/>
  <c r="C10" i="4"/>
  <c r="L10" i="4"/>
  <c r="E5" i="30" s="1"/>
  <c r="J10" i="4"/>
  <c r="H10" i="4"/>
  <c r="F10" i="4"/>
  <c r="B10" i="4"/>
  <c r="O13" i="4"/>
  <c r="L16" i="4"/>
  <c r="M5" i="30" s="1"/>
  <c r="O15" i="4"/>
  <c r="I16" i="4"/>
  <c r="C16" i="4"/>
  <c r="G16" i="4"/>
  <c r="K16" i="4"/>
  <c r="E16" i="4"/>
  <c r="D10" i="4"/>
  <c r="D16" i="4"/>
  <c r="F16" i="4"/>
  <c r="H16" i="4"/>
  <c r="J16" i="4"/>
  <c r="L5" i="30" l="1"/>
  <c r="L7" i="30" s="1"/>
  <c r="M16" i="4"/>
  <c r="M10" i="4"/>
  <c r="K5" i="30"/>
  <c r="M6" i="30"/>
  <c r="M7" i="30"/>
  <c r="M8" i="30"/>
  <c r="M9" i="30"/>
  <c r="M10" i="30"/>
  <c r="M11" i="30"/>
  <c r="M12" i="30"/>
  <c r="M13" i="30"/>
  <c r="M14" i="30"/>
  <c r="M17" i="30"/>
  <c r="M16" i="30"/>
  <c r="M15" i="30"/>
  <c r="L6" i="30"/>
  <c r="E7" i="30"/>
  <c r="E6" i="30"/>
  <c r="E8" i="30"/>
  <c r="E9" i="30"/>
  <c r="E10" i="30"/>
  <c r="E11" i="30"/>
  <c r="E12" i="30"/>
  <c r="E13" i="30"/>
  <c r="E14" i="30"/>
  <c r="E16" i="30"/>
  <c r="E15" i="30"/>
  <c r="E17" i="30"/>
  <c r="D6" i="30"/>
  <c r="D7" i="30"/>
  <c r="D8" i="30"/>
  <c r="D9" i="30"/>
  <c r="D10" i="30"/>
  <c r="D11" i="30"/>
  <c r="D12" i="30"/>
  <c r="D13" i="30"/>
  <c r="D14" i="30"/>
  <c r="D17" i="30"/>
  <c r="D15" i="30"/>
  <c r="D16" i="30"/>
  <c r="C5" i="30"/>
  <c r="M18" i="30"/>
  <c r="M49" i="30"/>
  <c r="N49" i="30" s="1"/>
  <c r="E18" i="30"/>
  <c r="D18" i="30"/>
  <c r="F49" i="30"/>
  <c r="G49" i="30" s="1"/>
  <c r="L50" i="30"/>
  <c r="E50" i="30"/>
  <c r="E19" i="30" s="1"/>
  <c r="A51" i="30"/>
  <c r="I50" i="30"/>
  <c r="B50" i="30"/>
  <c r="J50" i="30"/>
  <c r="C50" i="30"/>
  <c r="K50" i="30"/>
  <c r="D50" i="30"/>
  <c r="N9" i="4"/>
  <c r="O9" i="4" s="1"/>
  <c r="N16" i="4"/>
  <c r="N10" i="4"/>
  <c r="N14" i="4"/>
  <c r="O14" i="4" s="1"/>
  <c r="O8" i="4"/>
  <c r="K19" i="30" l="1"/>
  <c r="K6" i="30"/>
  <c r="N6" i="30" s="1"/>
  <c r="K7" i="30"/>
  <c r="N7" i="30" s="1"/>
  <c r="K8" i="30"/>
  <c r="K9" i="30"/>
  <c r="K10" i="30"/>
  <c r="K11" i="30"/>
  <c r="K12" i="30"/>
  <c r="K13" i="30"/>
  <c r="K14" i="30"/>
  <c r="K15" i="30"/>
  <c r="K16" i="30"/>
  <c r="K17" i="30"/>
  <c r="K18" i="30"/>
  <c r="C19" i="30"/>
  <c r="C6" i="30"/>
  <c r="F6" i="30" s="1"/>
  <c r="C7" i="30"/>
  <c r="F7" i="30" s="1"/>
  <c r="C8" i="30"/>
  <c r="F8" i="30" s="1"/>
  <c r="C9" i="30"/>
  <c r="F9" i="30" s="1"/>
  <c r="C10" i="30"/>
  <c r="F10" i="30" s="1"/>
  <c r="C11" i="30"/>
  <c r="F11" i="30" s="1"/>
  <c r="C12" i="30"/>
  <c r="F12" i="30" s="1"/>
  <c r="C13" i="30"/>
  <c r="F13" i="30" s="1"/>
  <c r="C14" i="30"/>
  <c r="F14" i="30" s="1"/>
  <c r="C15" i="30"/>
  <c r="F15" i="30" s="1"/>
  <c r="C16" i="30"/>
  <c r="F16" i="30" s="1"/>
  <c r="C17" i="30"/>
  <c r="F17" i="30" s="1"/>
  <c r="C18" i="30"/>
  <c r="F18" i="30" s="1"/>
  <c r="L14" i="30"/>
  <c r="L19" i="30"/>
  <c r="L18" i="30"/>
  <c r="L10" i="30"/>
  <c r="L15" i="30"/>
  <c r="L12" i="30"/>
  <c r="L8" i="30"/>
  <c r="L16" i="30"/>
  <c r="L17" i="30"/>
  <c r="L13" i="30"/>
  <c r="L11" i="30"/>
  <c r="L9" i="30"/>
  <c r="N5" i="30"/>
  <c r="F5" i="30"/>
  <c r="M50" i="30"/>
  <c r="N50" i="30" s="1"/>
  <c r="F50" i="30"/>
  <c r="G50" i="30" s="1"/>
  <c r="M19" i="30"/>
  <c r="D19" i="30"/>
  <c r="K51" i="30"/>
  <c r="D51" i="30"/>
  <c r="D20" i="30" s="1"/>
  <c r="L51" i="30"/>
  <c r="E51" i="30"/>
  <c r="A52" i="30"/>
  <c r="I51" i="30"/>
  <c r="B51" i="30"/>
  <c r="J51" i="30"/>
  <c r="K20" i="30" s="1"/>
  <c r="C51" i="30"/>
  <c r="C20" i="30" s="1"/>
  <c r="O16" i="4"/>
  <c r="J5" i="30" s="1"/>
  <c r="O10" i="4"/>
  <c r="B5" i="30" s="1"/>
  <c r="H5" i="30" s="1"/>
  <c r="N13" i="30" l="1"/>
  <c r="N9" i="30"/>
  <c r="N17" i="30"/>
  <c r="N19" i="30"/>
  <c r="F19" i="30"/>
  <c r="N12" i="30"/>
  <c r="N15" i="30"/>
  <c r="N10" i="30"/>
  <c r="N16" i="30"/>
  <c r="N11" i="30"/>
  <c r="N8" i="30"/>
  <c r="N14" i="30"/>
  <c r="N18" i="30"/>
  <c r="P5" i="30"/>
  <c r="J6" i="30"/>
  <c r="P6" i="30" s="1"/>
  <c r="J7" i="30"/>
  <c r="P7" i="30" s="1"/>
  <c r="J8" i="30"/>
  <c r="P8" i="30" s="1"/>
  <c r="J9" i="30"/>
  <c r="P9" i="30" s="1"/>
  <c r="J10" i="30"/>
  <c r="P10" i="30" s="1"/>
  <c r="J11" i="30"/>
  <c r="P11" i="30" s="1"/>
  <c r="J12" i="30"/>
  <c r="P12" i="30" s="1"/>
  <c r="J13" i="30"/>
  <c r="P13" i="30" s="1"/>
  <c r="J14" i="30"/>
  <c r="P14" i="30" s="1"/>
  <c r="J15" i="30"/>
  <c r="P15" i="30" s="1"/>
  <c r="J16" i="30"/>
  <c r="P16" i="30" s="1"/>
  <c r="J17" i="30"/>
  <c r="P17" i="30" s="1"/>
  <c r="J18" i="30"/>
  <c r="P18" i="30" s="1"/>
  <c r="J20" i="30"/>
  <c r="J19" i="30"/>
  <c r="P19" i="30" s="1"/>
  <c r="B6" i="30"/>
  <c r="H6" i="30" s="1"/>
  <c r="B8" i="30"/>
  <c r="H8" i="30" s="1"/>
  <c r="B7" i="30"/>
  <c r="H7" i="30" s="1"/>
  <c r="B9" i="30"/>
  <c r="H9" i="30" s="1"/>
  <c r="B10" i="30"/>
  <c r="H10" i="30" s="1"/>
  <c r="B11" i="30"/>
  <c r="H11" i="30" s="1"/>
  <c r="B12" i="30"/>
  <c r="H12" i="30" s="1"/>
  <c r="B13" i="30"/>
  <c r="H13" i="30" s="1"/>
  <c r="B14" i="30"/>
  <c r="H14" i="30" s="1"/>
  <c r="B16" i="30"/>
  <c r="H16" i="30" s="1"/>
  <c r="B15" i="30"/>
  <c r="H15" i="30" s="1"/>
  <c r="B17" i="30"/>
  <c r="H17" i="30" s="1"/>
  <c r="B18" i="30"/>
  <c r="H18" i="30" s="1"/>
  <c r="B20" i="30"/>
  <c r="B19" i="30"/>
  <c r="H19" i="30" s="1"/>
  <c r="F20" i="30"/>
  <c r="F51" i="30"/>
  <c r="G51" i="30" s="1"/>
  <c r="J52" i="30"/>
  <c r="K21" i="30" s="1"/>
  <c r="C52" i="30"/>
  <c r="C21" i="30" s="1"/>
  <c r="K52" i="30"/>
  <c r="L21" i="30" s="1"/>
  <c r="D52" i="30"/>
  <c r="D21" i="30" s="1"/>
  <c r="L52" i="30"/>
  <c r="M21" i="30" s="1"/>
  <c r="E52" i="30"/>
  <c r="E21" i="30" s="1"/>
  <c r="A53" i="30"/>
  <c r="I52" i="30"/>
  <c r="J21" i="30" s="1"/>
  <c r="B52" i="30"/>
  <c r="B21" i="30" s="1"/>
  <c r="M20" i="30"/>
  <c r="E20" i="30"/>
  <c r="L20" i="30"/>
  <c r="N20" i="30" s="1"/>
  <c r="M51" i="30"/>
  <c r="H20" i="30" l="1"/>
  <c r="H21" i="30"/>
  <c r="N21" i="30"/>
  <c r="F21" i="30"/>
  <c r="P20" i="30"/>
  <c r="P21" i="30"/>
  <c r="K53" i="30"/>
  <c r="L22" i="30" s="1"/>
  <c r="D53" i="30"/>
  <c r="L53" i="30"/>
  <c r="E53" i="30"/>
  <c r="A54" i="30"/>
  <c r="I53" i="30"/>
  <c r="J22" i="30" s="1"/>
  <c r="B53" i="30"/>
  <c r="B22" i="30" s="1"/>
  <c r="J53" i="30"/>
  <c r="K22" i="30" s="1"/>
  <c r="C53" i="30"/>
  <c r="C22" i="30" s="1"/>
  <c r="M52" i="30"/>
  <c r="N52" i="30" s="1"/>
  <c r="F52" i="30"/>
  <c r="N51" i="30"/>
  <c r="N22" i="30" l="1"/>
  <c r="G52" i="30"/>
  <c r="F53" i="30"/>
  <c r="G53" i="30" s="1"/>
  <c r="J54" i="30"/>
  <c r="K23" i="30" s="1"/>
  <c r="C54" i="30"/>
  <c r="C23" i="30" s="1"/>
  <c r="K54" i="30"/>
  <c r="L23" i="30" s="1"/>
  <c r="D54" i="30"/>
  <c r="D23" i="30" s="1"/>
  <c r="L54" i="30"/>
  <c r="M23" i="30" s="1"/>
  <c r="E54" i="30"/>
  <c r="E23" i="30" s="1"/>
  <c r="A55" i="30"/>
  <c r="I54" i="30"/>
  <c r="B54" i="30"/>
  <c r="B23" i="30" s="1"/>
  <c r="M53" i="30"/>
  <c r="E22" i="30"/>
  <c r="D22" i="30"/>
  <c r="F22" i="30" s="1"/>
  <c r="M22" i="30"/>
  <c r="P22" i="30" s="1"/>
  <c r="J23" i="30" l="1"/>
  <c r="P23" i="30" s="1"/>
  <c r="H23" i="30"/>
  <c r="N23" i="30"/>
  <c r="H22" i="30"/>
  <c r="F23" i="30"/>
  <c r="N53" i="30"/>
  <c r="A56" i="30"/>
  <c r="I55" i="30"/>
  <c r="J24" i="30" s="1"/>
  <c r="B55" i="30"/>
  <c r="B24" i="30" s="1"/>
  <c r="J55" i="30"/>
  <c r="K24" i="30" s="1"/>
  <c r="C55" i="30"/>
  <c r="C24" i="30" s="1"/>
  <c r="K55" i="30"/>
  <c r="L24" i="30" s="1"/>
  <c r="D55" i="30"/>
  <c r="L55" i="30"/>
  <c r="E55" i="30"/>
  <c r="M54" i="30"/>
  <c r="N54" i="30" s="1"/>
  <c r="F54" i="30"/>
  <c r="G54" i="30" s="1"/>
  <c r="N24" i="30" l="1"/>
  <c r="M24" i="30"/>
  <c r="P24" i="30" s="1"/>
  <c r="M55" i="30"/>
  <c r="N55" i="30" s="1"/>
  <c r="E24" i="30"/>
  <c r="D24" i="30"/>
  <c r="F24" i="30" s="1"/>
  <c r="L56" i="30"/>
  <c r="M25" i="30" s="1"/>
  <c r="D56" i="30"/>
  <c r="D25" i="30" s="1"/>
  <c r="K56" i="30"/>
  <c r="C56" i="30"/>
  <c r="C25" i="30" s="1"/>
  <c r="J56" i="30"/>
  <c r="K25" i="30" s="1"/>
  <c r="B56" i="30"/>
  <c r="B25" i="30" s="1"/>
  <c r="I56" i="30"/>
  <c r="J25" i="30" s="1"/>
  <c r="A57" i="30"/>
  <c r="E56" i="30"/>
  <c r="E25" i="30" s="1"/>
  <c r="F55" i="30"/>
  <c r="F25" i="30" l="1"/>
  <c r="H24" i="30"/>
  <c r="H25" i="30"/>
  <c r="K57" i="30"/>
  <c r="L26" i="30" s="1"/>
  <c r="D57" i="30"/>
  <c r="D26" i="30" s="1"/>
  <c r="E17" i="33" s="1"/>
  <c r="L57" i="30"/>
  <c r="M26" i="30" s="1"/>
  <c r="E57" i="30"/>
  <c r="E26" i="30" s="1"/>
  <c r="K17" i="33" s="1"/>
  <c r="I57" i="30"/>
  <c r="J26" i="30" s="1"/>
  <c r="B57" i="30"/>
  <c r="B26" i="30" s="1"/>
  <c r="J57" i="30"/>
  <c r="K26" i="30" s="1"/>
  <c r="C57" i="30"/>
  <c r="C26" i="30" s="1"/>
  <c r="M56" i="30"/>
  <c r="G55" i="30"/>
  <c r="L25" i="30"/>
  <c r="N25" i="30" s="1"/>
  <c r="F56" i="30"/>
  <c r="F17" i="33" l="1"/>
  <c r="N26" i="30"/>
  <c r="I17" i="33" s="1"/>
  <c r="F26" i="30"/>
  <c r="H26" i="30"/>
  <c r="N17" i="33" s="1"/>
  <c r="P25" i="30"/>
  <c r="P26" i="30"/>
  <c r="L17" i="33"/>
  <c r="L18" i="33" s="1"/>
  <c r="K18" i="33"/>
  <c r="K19" i="33" s="1"/>
  <c r="L19" i="33" s="1"/>
  <c r="E18" i="33"/>
  <c r="E19" i="33" s="1"/>
  <c r="F19" i="33" s="1"/>
  <c r="M57" i="30"/>
  <c r="N57" i="30" s="1"/>
  <c r="G56" i="30"/>
  <c r="N56" i="30"/>
  <c r="F57" i="30"/>
  <c r="I26" i="33" l="1"/>
  <c r="O17" i="33"/>
  <c r="O26" i="33" s="1"/>
  <c r="L20" i="33"/>
  <c r="L21" i="33" s="1"/>
  <c r="L22" i="33" s="1"/>
  <c r="F18" i="33"/>
  <c r="H17" i="33"/>
  <c r="N26" i="33" s="1"/>
  <c r="G57" i="30"/>
  <c r="N18" i="33" s="1"/>
  <c r="E20" i="33"/>
  <c r="E21" i="33" s="1"/>
  <c r="K20" i="33"/>
  <c r="K21" i="33" s="1"/>
  <c r="K22" i="33" s="1"/>
  <c r="I18" i="33"/>
  <c r="H18" i="33" l="1"/>
  <c r="H19" i="33" s="1"/>
  <c r="I19" i="33" s="1"/>
  <c r="I20" i="33" s="1"/>
  <c r="I21" i="33" s="1"/>
  <c r="I22" i="33" s="1"/>
  <c r="H26" i="33"/>
  <c r="J22" i="33"/>
  <c r="K23" i="33" s="1"/>
  <c r="F20" i="33"/>
  <c r="F21" i="33" s="1"/>
  <c r="O18" i="33"/>
  <c r="N19" i="33" l="1"/>
  <c r="O19" i="33" s="1"/>
  <c r="O20" i="33" s="1"/>
  <c r="O21" i="33" s="1"/>
  <c r="O22" i="33" s="1"/>
  <c r="H20" i="33"/>
  <c r="H21" i="33" s="1"/>
  <c r="H22" i="33" s="1"/>
  <c r="G22" i="33" s="1"/>
  <c r="I23" i="33" s="1"/>
  <c r="L23" i="33"/>
  <c r="J23" i="33" s="1"/>
  <c r="N20" i="33" l="1"/>
  <c r="N21" i="33" s="1"/>
  <c r="N22" i="33" s="1"/>
  <c r="H23" i="33"/>
  <c r="G23" i="33" s="1"/>
  <c r="M22" i="33" l="1"/>
  <c r="O23" i="33" l="1"/>
  <c r="N23" i="33"/>
  <c r="H24" i="33" s="1"/>
  <c r="N24" i="33" l="1"/>
  <c r="M23" i="33"/>
  <c r="K24" i="33"/>
  <c r="I24" i="33"/>
  <c r="G24" i="33" s="1"/>
  <c r="L24" i="33"/>
  <c r="O24" i="33"/>
  <c r="M24" i="33" l="1"/>
  <c r="J24" i="33"/>
  <c r="D15" i="33"/>
  <c r="D16" i="33" s="1"/>
  <c r="E22" i="33" l="1"/>
  <c r="F22" i="33"/>
  <c r="D22" i="33" l="1"/>
  <c r="D12" i="33"/>
  <c r="B6" i="34" s="1"/>
  <c r="D6" i="34"/>
  <c r="E23" i="33" l="1"/>
  <c r="E24" i="33" s="1"/>
  <c r="F23" i="33"/>
  <c r="F24" i="33" s="1"/>
  <c r="D24" i="33" l="1"/>
  <c r="D23" i="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<sst xmlns="http://schemas.openxmlformats.org/spreadsheetml/2006/main" count="1541" uniqueCount="304">
  <si>
    <t>DC Length %</t>
  </si>
  <si>
    <t>DC Length MW</t>
  </si>
  <si>
    <t>J</t>
  </si>
  <si>
    <t>Summer</t>
  </si>
  <si>
    <t>Winter</t>
  </si>
  <si>
    <t>NYC</t>
  </si>
  <si>
    <t>NYCA</t>
  </si>
  <si>
    <t>IRM/LCR %</t>
  </si>
  <si>
    <t>ICAP LCR</t>
  </si>
  <si>
    <t>NCZ (G-J)</t>
  </si>
  <si>
    <t>S</t>
  </si>
  <si>
    <t>W</t>
  </si>
  <si>
    <t xml:space="preserve">Zone </t>
  </si>
  <si>
    <t>A</t>
  </si>
  <si>
    <t>C</t>
  </si>
  <si>
    <t>K</t>
  </si>
  <si>
    <t>ROS</t>
  </si>
  <si>
    <t xml:space="preserve">Load  </t>
  </si>
  <si>
    <t>ROS (A-F)</t>
  </si>
  <si>
    <t>Gen from Table III-3a</t>
  </si>
  <si>
    <t>Gen from Table III-3b</t>
  </si>
  <si>
    <t>Zone</t>
  </si>
  <si>
    <t>B</t>
  </si>
  <si>
    <t>D</t>
  </si>
  <si>
    <t>E</t>
  </si>
  <si>
    <t>F</t>
  </si>
  <si>
    <t>G</t>
  </si>
  <si>
    <t>H</t>
  </si>
  <si>
    <t>I</t>
  </si>
  <si>
    <t>Total Supply</t>
  </si>
  <si>
    <t>Excess Supply</t>
  </si>
  <si>
    <t>Average</t>
  </si>
  <si>
    <t>Slope</t>
  </si>
  <si>
    <t>DC Price</t>
  </si>
  <si>
    <t>Peak Load</t>
  </si>
  <si>
    <t>Ref Price (S/W &amp; average)</t>
  </si>
  <si>
    <t>LHV</t>
  </si>
  <si>
    <t>LI</t>
  </si>
  <si>
    <t>Augmented Supply</t>
  </si>
  <si>
    <t>Augmented Excess</t>
  </si>
  <si>
    <t>J NC Peak</t>
  </si>
  <si>
    <t>GHI</t>
  </si>
  <si>
    <t>Year</t>
  </si>
  <si>
    <t>ICAP</t>
  </si>
  <si>
    <t>Annual Capacity Changes by Region</t>
  </si>
  <si>
    <t>END OF TABLE</t>
  </si>
  <si>
    <t>Net CONE</t>
  </si>
  <si>
    <t>Capacity Obligation at Forecasted Price</t>
  </si>
  <si>
    <t>LHV = Lower Hudson Valley (Load Zones GHI)</t>
  </si>
  <si>
    <t>ROS = Rest of State (Upstate Load Zones A-F)</t>
  </si>
  <si>
    <t>ICAP Demand Curve Model*</t>
  </si>
  <si>
    <t>ICAP Price Forecast</t>
  </si>
  <si>
    <t>Regional Reliability Additions***</t>
  </si>
  <si>
    <t>START OF TABLE</t>
  </si>
  <si>
    <t>Cap DC Price at net CONE</t>
  </si>
  <si>
    <t>G-J NC Peak</t>
  </si>
  <si>
    <t>G-J</t>
  </si>
  <si>
    <t>NYC (J)</t>
  </si>
  <si>
    <t>LI (K)</t>
  </si>
  <si>
    <t>***G-J regional supplies are Lower Hudson Valley only (GHI supply); NYCA regional supplies are ROS only.</t>
  </si>
  <si>
    <t>Avoided GCC at Transmission Level</t>
  </si>
  <si>
    <t>Avoided GCC at Distribution Level</t>
  </si>
  <si>
    <t>AGCC at Transmission Level</t>
  </si>
  <si>
    <t>NYC = New York City Load Zone J)</t>
  </si>
  <si>
    <t>LI = Long Island (Load Zone K)</t>
  </si>
  <si>
    <t>Assumed Distribution Losses:</t>
  </si>
  <si>
    <t>AGCC at Distribution Level**</t>
  </si>
  <si>
    <t>**AGCC at Distribution Level = AGCC at Transmission Level / (1-Distribution Losses)</t>
  </si>
  <si>
    <t>Generator ICAP Prices by Region</t>
  </si>
  <si>
    <t>NYC = New York City (Load Zone J)</t>
  </si>
  <si>
    <t>NYCA Supply (exc. ROS imports)</t>
  </si>
  <si>
    <t>Forecasted Capacity Changes</t>
  </si>
  <si>
    <t>Summer Month Avoided Generation Capacity Costs (AGCC) due to 1 kW reduction in Peak Load*</t>
  </si>
  <si>
    <t>Winter Month Avoided Generation Capacity Costs (AGCC) due to 1 kW reduction in Peak Load*</t>
  </si>
  <si>
    <t>Annual Avoided Generation Capacity Costs (AGCC) due to 1 kW reduction in Peak Load*</t>
  </si>
  <si>
    <t>Lower Hudson Valley</t>
  </si>
  <si>
    <t>Long Island</t>
  </si>
  <si>
    <t>Supply Forecast*</t>
  </si>
  <si>
    <t xml:space="preserve">**NYCA total includes Net Imports (from Table V-1) - UDR imports (already counted as Generation Supply).  </t>
  </si>
  <si>
    <t>NYCA**</t>
  </si>
  <si>
    <t>GHI to ISONE</t>
  </si>
  <si>
    <t>Exports from</t>
  </si>
  <si>
    <t>IP 2</t>
  </si>
  <si>
    <t>IP 3</t>
  </si>
  <si>
    <t>Imports</t>
  </si>
  <si>
    <t>UDRs*</t>
  </si>
  <si>
    <t>LHV (G-J)</t>
  </si>
  <si>
    <t>G-J(LHV)</t>
  </si>
  <si>
    <t>ROS (NYCA)</t>
  </si>
  <si>
    <t>Rest-of-State</t>
  </si>
  <si>
    <t>NYCA (ROS)</t>
  </si>
  <si>
    <t>NYCA=NY Control Area (Statewide)</t>
  </si>
  <si>
    <t>G-J***</t>
  </si>
  <si>
    <t>NYCA  (ROS)</t>
  </si>
  <si>
    <t>NYCA (IRM)</t>
  </si>
  <si>
    <t>Summer Peak Demand (Load) Forecast*</t>
  </si>
  <si>
    <t>Somerset</t>
  </si>
  <si>
    <t>Albany LFGE</t>
  </si>
  <si>
    <t>West Babylon 4</t>
  </si>
  <si>
    <t>Retirements per DEC Peaker Rule</t>
  </si>
  <si>
    <t>Summer Mothballs per DEC Peaker Rule</t>
  </si>
  <si>
    <t>DER (former BTM Gen)</t>
  </si>
  <si>
    <t>GHI export to ISONE Impact:</t>
  </si>
  <si>
    <t>***G-J to ISONE Locality Exchange Factor (fraction coming from ROS):</t>
  </si>
  <si>
    <t>ICAP (W)</t>
  </si>
  <si>
    <t>Unit</t>
  </si>
  <si>
    <t>Ball Hill Wind</t>
  </si>
  <si>
    <t>Number 3 Wind Energy</t>
  </si>
  <si>
    <t>Bluestone Wind</t>
  </si>
  <si>
    <t>High River Solar</t>
  </si>
  <si>
    <t>East Point Solar</t>
  </si>
  <si>
    <t>Excelsior Energy Center</t>
  </si>
  <si>
    <t>Mohawk Solar</t>
  </si>
  <si>
    <t>Canisteo Wind</t>
  </si>
  <si>
    <t>Highview Solar</t>
  </si>
  <si>
    <t>South Fork Wind Farm</t>
  </si>
  <si>
    <t>Watkins Glen Solar</t>
  </si>
  <si>
    <t>Flint Mine Solar</t>
  </si>
  <si>
    <t>KCE NY 2</t>
  </si>
  <si>
    <t>Bear Ridge Solar</t>
  </si>
  <si>
    <t>High Bridge Wind</t>
  </si>
  <si>
    <t>Alle Catt II Wind</t>
  </si>
  <si>
    <t>Baron Winds</t>
  </si>
  <si>
    <t>Homer Solar Energy Center</t>
  </si>
  <si>
    <t>North Side Solar</t>
  </si>
  <si>
    <t>Columbia County 1</t>
  </si>
  <si>
    <t>Gowanus 1-8</t>
  </si>
  <si>
    <t>Glenwood GT 01</t>
  </si>
  <si>
    <t>From Table IV-1</t>
  </si>
  <si>
    <t>Compare Tables IV-4 &amp; IV-5 with III-2</t>
  </si>
  <si>
    <t>ICAP (S)</t>
  </si>
  <si>
    <t>Trelina Solar Energy Center</t>
  </si>
  <si>
    <t>2025 Total</t>
  </si>
  <si>
    <t>2026 Total</t>
  </si>
  <si>
    <t>2027 Total</t>
  </si>
  <si>
    <t>Dog Corners Solar</t>
  </si>
  <si>
    <t>ELP Stillwater Solar</t>
  </si>
  <si>
    <t>Tayandenega Solar</t>
  </si>
  <si>
    <t>Rock District Solar</t>
  </si>
  <si>
    <t>Darby Solar</t>
  </si>
  <si>
    <t>Scipio Solar</t>
  </si>
  <si>
    <t>Niagara Solar</t>
  </si>
  <si>
    <t>Sky High Solar</t>
  </si>
  <si>
    <t>Watkins Rd Solar</t>
  </si>
  <si>
    <t>Hilltop Solar</t>
  </si>
  <si>
    <t>Hills Solar</t>
  </si>
  <si>
    <t>Fairway Solar</t>
  </si>
  <si>
    <t>Allegheny Cogen</t>
  </si>
  <si>
    <t>Sithe Batavia</t>
  </si>
  <si>
    <t>Sithe Sterling</t>
  </si>
  <si>
    <t>Nassau Energy Corporation</t>
  </si>
  <si>
    <t>Gowanus 1-1 through 1-7; 4-1 through 4-8</t>
  </si>
  <si>
    <t>Table IV-6</t>
  </si>
  <si>
    <t>Coxsackie GT</t>
  </si>
  <si>
    <t>South Cairo</t>
  </si>
  <si>
    <t>74 St. GT 1 &amp; 2</t>
  </si>
  <si>
    <t>Astoria GT 01</t>
  </si>
  <si>
    <t>Ravenswood 10</t>
  </si>
  <si>
    <t>Shoreham 1</t>
  </si>
  <si>
    <t>Shoreham 2</t>
  </si>
  <si>
    <t>Glenwood GT 03</t>
  </si>
  <si>
    <t>Arthur Kill GT 1</t>
  </si>
  <si>
    <t>Gowanus 2-1 through 2-8</t>
  </si>
  <si>
    <t>Gowanus 3-1 through 3-8</t>
  </si>
  <si>
    <t>Narrows 1-1 through 2-8</t>
  </si>
  <si>
    <t>K NC Peak</t>
  </si>
  <si>
    <t>Bull Run II Wind</t>
  </si>
  <si>
    <t>Heritage Wind</t>
  </si>
  <si>
    <t>Horseshoe Solar</t>
  </si>
  <si>
    <t>Morris Ridge Solar Energy Center</t>
  </si>
  <si>
    <t>Prattsburgh Wind Farm</t>
  </si>
  <si>
    <t>Oxbow Hill Solar</t>
  </si>
  <si>
    <t>Cider Solar</t>
  </si>
  <si>
    <t>Bayonne Energy Center III</t>
  </si>
  <si>
    <t>NY38 Solar</t>
  </si>
  <si>
    <t>Garnet Energy Center</t>
  </si>
  <si>
    <t>Harlem River Yard</t>
  </si>
  <si>
    <t>Astoria Energy Storage</t>
  </si>
  <si>
    <t>Albany County</t>
  </si>
  <si>
    <t>Albany County II</t>
  </si>
  <si>
    <t>Pattersonville</t>
  </si>
  <si>
    <t>KCE NY 6</t>
  </si>
  <si>
    <t>NY 13 Solar</t>
  </si>
  <si>
    <t>Astoria GT 2-1 through 2-4</t>
  </si>
  <si>
    <t>Astoria GT 3-1 through 3-4</t>
  </si>
  <si>
    <t>Astoria GT 4-1 through 4-4</t>
  </si>
  <si>
    <t>*Assumes UDRs (import delivery rights) for full capacity of Neptune controllable line from PJM and Cross Sound Cable from ISO-NE</t>
  </si>
  <si>
    <t>Riverhead Solar 2</t>
  </si>
  <si>
    <t>Sunrise Wind</t>
  </si>
  <si>
    <t>Luyster Creek Energy Storage 1</t>
  </si>
  <si>
    <t>Holtsville 138kV Energy Storage</t>
  </si>
  <si>
    <t>Sunrise Wind II</t>
  </si>
  <si>
    <t>Ticonderoga Solar</t>
  </si>
  <si>
    <t>Magruder Solar</t>
  </si>
  <si>
    <t>Arthur Kill Energy Storage 1</t>
  </si>
  <si>
    <t>Valley Solar</t>
  </si>
  <si>
    <t>CS Hawthorn Solar</t>
  </si>
  <si>
    <t>Dolan Solar</t>
  </si>
  <si>
    <t>Flat Hill Solar</t>
  </si>
  <si>
    <t>Grassy Knoll Solar</t>
  </si>
  <si>
    <t>Clear View Solar</t>
  </si>
  <si>
    <t>Little Pond Solar</t>
  </si>
  <si>
    <t>KCE NY 10</t>
  </si>
  <si>
    <t>Type</t>
  </si>
  <si>
    <t>ES</t>
  </si>
  <si>
    <t>Cassadaga Wind</t>
  </si>
  <si>
    <t>Roaring Brook Wind</t>
  </si>
  <si>
    <t>North Country Energy Storage</t>
  </si>
  <si>
    <t>Janis Solar</t>
  </si>
  <si>
    <t>Puckett Solar</t>
  </si>
  <si>
    <t>Grissom Solar</t>
  </si>
  <si>
    <t>Regan Solar</t>
  </si>
  <si>
    <t>Calverton Solar Energy Center</t>
  </si>
  <si>
    <t>Eight Point Wind Energy Center</t>
  </si>
  <si>
    <t>Gowanus 5</t>
  </si>
  <si>
    <t>Gowanus 6</t>
  </si>
  <si>
    <t>Kent</t>
  </si>
  <si>
    <t>Pouch</t>
  </si>
  <si>
    <t>Hellgate 1</t>
  </si>
  <si>
    <t>Hellgate 2</t>
  </si>
  <si>
    <t>Harlem River 1</t>
  </si>
  <si>
    <t>Harlem River 2</t>
  </si>
  <si>
    <t>Vernon Blvd 2</t>
  </si>
  <si>
    <t>Vernon Blvd 3</t>
  </si>
  <si>
    <t>Brentwood</t>
  </si>
  <si>
    <t>2030 Total</t>
  </si>
  <si>
    <t>Offshore Wind</t>
  </si>
  <si>
    <t>Land-Based Wind</t>
  </si>
  <si>
    <t>Solar</t>
  </si>
  <si>
    <t>Energy Storage (2hr)</t>
  </si>
  <si>
    <t>Energy Storage (4hr)</t>
  </si>
  <si>
    <t>Energy Storage (6hr)</t>
  </si>
  <si>
    <t>Energy Storage (8hr)</t>
  </si>
  <si>
    <t>ES2</t>
  </si>
  <si>
    <t>ES4</t>
  </si>
  <si>
    <t>ES6</t>
  </si>
  <si>
    <t>ES8</t>
  </si>
  <si>
    <t>CAPACITY ACCREDITATION FACTORS</t>
  </si>
  <si>
    <t>All Prices in 2025 Dollars</t>
  </si>
  <si>
    <t>*Based on 2025 Gold Book</t>
  </si>
  <si>
    <t>2025 ICAP Demand Curve Reference Prices:</t>
  </si>
  <si>
    <t>2025 Minimum Locational ICAP Requirements (LCRs):</t>
  </si>
  <si>
    <t>ICAP Monthly Price Forecasts, based on 2025 Gold Book</t>
  </si>
  <si>
    <t>(All Prices in 2025 Dollars)</t>
  </si>
  <si>
    <t>Annual Capacity Prices ($/kW-year, 2025 $)</t>
  </si>
  <si>
    <t>Input Year (2025-2045)**</t>
  </si>
  <si>
    <t>**Input any year (2025-2045)</t>
  </si>
  <si>
    <t>*From 2025 Gold Book Tables I-3a,I-4a, and I-5</t>
  </si>
  <si>
    <t>2025 Gold Book</t>
  </si>
  <si>
    <t>*Generation, SCRs and UDRs from Tab "ICAP 2025"; Net Imports from Table V-1</t>
  </si>
  <si>
    <t>ICAP Zonal Supply by Capability Period, from 2025 Gold Book Table III-3</t>
  </si>
  <si>
    <t xml:space="preserve">Note:  Beginning in 2039, NYCA winter peak forecast (not shown here) exceeds summer peak forecast </t>
  </si>
  <si>
    <t>SCRs from Table I-17</t>
  </si>
  <si>
    <t>Mohawk Solar LLC</t>
  </si>
  <si>
    <t>2028 Total</t>
  </si>
  <si>
    <t>NYC Energy</t>
  </si>
  <si>
    <t>Greene County 1</t>
  </si>
  <si>
    <t>SunEast Skyline Solar</t>
  </si>
  <si>
    <t>Moraine Solar Energy Center</t>
  </si>
  <si>
    <t>Empire Wind 1</t>
  </si>
  <si>
    <t>Tracy Solar Energy Centre</t>
  </si>
  <si>
    <t>2029 Total</t>
  </si>
  <si>
    <t>White Creek Solar</t>
  </si>
  <si>
    <t>South Ripley Solar and BESS</t>
  </si>
  <si>
    <t>Levy Grid</t>
  </si>
  <si>
    <t>Rich Road Solar Energy Center (S+ES4)</t>
  </si>
  <si>
    <t>Luyster Creek Energy Storage 2</t>
  </si>
  <si>
    <t>Highbanks Solar</t>
  </si>
  <si>
    <t>Brookside Solar</t>
  </si>
  <si>
    <t>Riverside Solar</t>
  </si>
  <si>
    <t>Astoria BES to 27kV North Queens</t>
  </si>
  <si>
    <t>Hatchery Solar</t>
  </si>
  <si>
    <t>Hemlock Ridge Solar</t>
  </si>
  <si>
    <t>Sugar Maple Solar</t>
  </si>
  <si>
    <t>KCE NY 5</t>
  </si>
  <si>
    <t>East Setauket Energy Storage</t>
  </si>
  <si>
    <t>Alabama Solar Park</t>
  </si>
  <si>
    <t>SunEast Flat Stone Solar</t>
  </si>
  <si>
    <t>NYC Energy - Phase 2</t>
  </si>
  <si>
    <t>Yellow Barn Solar</t>
  </si>
  <si>
    <t>Mill Point Solar</t>
  </si>
  <si>
    <t>Morris Solar</t>
  </si>
  <si>
    <t>Millers Grove Solar</t>
  </si>
  <si>
    <t>Transit Solar</t>
  </si>
  <si>
    <t>Somerset Solar</t>
  </si>
  <si>
    <t>Mineral Basin Solar Power</t>
  </si>
  <si>
    <t>Flat Creek Solar</t>
  </si>
  <si>
    <t>CLIES 20 MW</t>
  </si>
  <si>
    <t>Flat Creek Solar 2</t>
  </si>
  <si>
    <t>CLIES 70 MW</t>
  </si>
  <si>
    <t>East Fishkill</t>
  </si>
  <si>
    <t>KCE NY 29</t>
  </si>
  <si>
    <t>Hoffman Falls Wind</t>
  </si>
  <si>
    <t>Agricola Wind</t>
  </si>
  <si>
    <t>York Run Solar</t>
  </si>
  <si>
    <t>Fort Covington Solar</t>
  </si>
  <si>
    <t>Two Rivers Solar</t>
  </si>
  <si>
    <t>North Seneca Solar Project</t>
  </si>
  <si>
    <t>Barrett Hempstead Battery Storage</t>
  </si>
  <si>
    <t>Holtsville Brookhaven Battery Storage</t>
  </si>
  <si>
    <t>Edwards Calverton Battery Storage</t>
  </si>
  <si>
    <t>ELP Granby Solar II</t>
  </si>
  <si>
    <t>Madison Windpower</t>
  </si>
  <si>
    <t>Greene County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</si>
</sst>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&quot;$&quot;#,##0.00"/>
    <numFmt numFmtId="165" formatCode="&quot;$&quot;#,##0"/>
    <numFmt numFmtId="166" formatCode="0.0"/>
    <numFmt numFmtId="167" formatCode="0.0%"/>
    <numFmt numFmtId="168" formatCode="0.000"/>
    <numFmt numFmtId="169" formatCode="_(* #,##0.0_);_(* \(#,##0.0\);_(* &quot;-&quot;??_);_(@_)"/>
    <numFmt numFmtId="170" formatCode="#,##0.0"/>
  </numFmts>
  <fonts count="2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9" fontId="21" fillId="0" borderId="0" applyFont="0" applyFill="0" applyBorder="0" applyAlignment="0" applyProtection="0"/>
  </cellStyleXfs>
  <cellXfs count="118">
    <xf numFmtId="0" fontId="0" fillId="0" borderId="0" xfId="0"/>
    <xf numFmtId="164" fontId="0" fillId="0" borderId="0" xfId="0" applyNumberFormat="1"/>
    <xf numFmtId="10" fontId="0" fillId="0" borderId="0" xfId="0" applyNumberFormat="1"/>
    <xf numFmtId="0" fontId="0" fillId="0" borderId="0" xfId="0" applyNumberFormat="1"/>
    <xf numFmtId="0" fontId="0" fillId="0" borderId="0" xfId="0" applyFill="1"/>
    <xf numFmtId="164" fontId="0" fillId="0" borderId="0" xfId="0" applyNumberFormat="1" applyFill="1"/>
    <xf numFmtId="10" fontId="0" fillId="0" borderId="0" xfId="0" applyNumberFormat="1" applyFill="1"/>
    <xf numFmtId="164" fontId="0" fillId="24" borderId="0" xfId="0" applyNumberFormat="1" applyFill="1"/>
    <xf numFmtId="165" fontId="0" fillId="0" borderId="0" xfId="0" applyNumberFormat="1"/>
    <xf numFmtId="1" fontId="0" fillId="0" borderId="0" xfId="0" applyNumberFormat="1"/>
    <xf numFmtId="1" fontId="0" fillId="0" borderId="0" xfId="0" applyNumberFormat="1" applyFill="1"/>
    <xf numFmtId="0" fontId="0" fillId="0" borderId="0" xfId="0" applyBorder="1"/>
    <xf numFmtId="164" fontId="0" fillId="0" borderId="0" xfId="0" applyNumberFormat="1" applyBorder="1"/>
    <xf numFmtId="164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right"/>
    </xf>
    <xf numFmtId="0" fontId="0" fillId="0" borderId="13" xfId="0" applyBorder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14" xfId="0" applyBorder="1"/>
    <xf numFmtId="0" fontId="0" fillId="0" borderId="15" xfId="0" applyBorder="1"/>
    <xf numFmtId="168" fontId="0" fillId="0" borderId="0" xfId="0" applyNumberFormat="1" applyBorder="1"/>
    <xf numFmtId="168" fontId="0" fillId="0" borderId="15" xfId="0" applyNumberFormat="1" applyBorder="1"/>
    <xf numFmtId="168" fontId="0" fillId="0" borderId="10" xfId="0" applyNumberFormat="1" applyBorder="1"/>
    <xf numFmtId="168" fontId="0" fillId="0" borderId="17" xfId="0" applyNumberFormat="1" applyBorder="1"/>
    <xf numFmtId="164" fontId="0" fillId="0" borderId="13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0" fontId="0" fillId="24" borderId="11" xfId="0" applyFill="1" applyBorder="1"/>
    <xf numFmtId="0" fontId="0" fillId="24" borderId="12" xfId="0" applyFill="1" applyBorder="1"/>
    <xf numFmtId="0" fontId="0" fillId="24" borderId="14" xfId="0" applyFill="1" applyBorder="1"/>
    <xf numFmtId="164" fontId="0" fillId="24" borderId="13" xfId="0" applyNumberFormat="1" applyFill="1" applyBorder="1"/>
    <xf numFmtId="164" fontId="0" fillId="24" borderId="0" xfId="0" applyNumberFormat="1" applyFill="1" applyBorder="1"/>
    <xf numFmtId="164" fontId="0" fillId="24" borderId="15" xfId="0" applyNumberFormat="1" applyFill="1" applyBorder="1"/>
    <xf numFmtId="164" fontId="0" fillId="24" borderId="16" xfId="0" applyNumberFormat="1" applyFill="1" applyBorder="1"/>
    <xf numFmtId="164" fontId="0" fillId="24" borderId="10" xfId="0" applyNumberFormat="1" applyFill="1" applyBorder="1"/>
    <xf numFmtId="164" fontId="0" fillId="24" borderId="17" xfId="0" applyNumberFormat="1" applyFill="1" applyBorder="1"/>
    <xf numFmtId="0" fontId="0" fillId="24" borderId="0" xfId="0" applyFill="1"/>
    <xf numFmtId="0" fontId="0" fillId="0" borderId="16" xfId="0" applyBorder="1"/>
    <xf numFmtId="0" fontId="0" fillId="0" borderId="10" xfId="0" applyBorder="1"/>
    <xf numFmtId="0" fontId="0" fillId="0" borderId="17" xfId="0" applyBorder="1"/>
    <xf numFmtId="0" fontId="19" fillId="0" borderId="0" xfId="0" applyFont="1" applyBorder="1"/>
    <xf numFmtId="0" fontId="0" fillId="24" borderId="18" xfId="0" applyFill="1" applyBorder="1"/>
    <xf numFmtId="168" fontId="0" fillId="0" borderId="13" xfId="0" applyNumberFormat="1" applyBorder="1"/>
    <xf numFmtId="168" fontId="0" fillId="0" borderId="16" xfId="0" applyNumberFormat="1" applyBorder="1"/>
    <xf numFmtId="0" fontId="0" fillId="24" borderId="16" xfId="0" applyFill="1" applyBorder="1"/>
    <xf numFmtId="0" fontId="0" fillId="24" borderId="10" xfId="0" applyFill="1" applyBorder="1"/>
    <xf numFmtId="0" fontId="0" fillId="24" borderId="17" xfId="0" applyFill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164" fontId="0" fillId="24" borderId="11" xfId="0" applyNumberFormat="1" applyFill="1" applyBorder="1"/>
    <xf numFmtId="0" fontId="0" fillId="24" borderId="13" xfId="0" applyFill="1" applyBorder="1"/>
    <xf numFmtId="0" fontId="0" fillId="24" borderId="0" xfId="0" applyFill="1" applyBorder="1"/>
    <xf numFmtId="0" fontId="0" fillId="24" borderId="15" xfId="0" applyFill="1" applyBorder="1"/>
    <xf numFmtId="164" fontId="0" fillId="24" borderId="12" xfId="0" applyNumberFormat="1" applyFill="1" applyBorder="1"/>
    <xf numFmtId="164" fontId="0" fillId="24" borderId="14" xfId="0" applyNumberFormat="1" applyFill="1" applyBorder="1"/>
    <xf numFmtId="0" fontId="0" fillId="0" borderId="0" xfId="0" applyFill="1" applyBorder="1"/>
    <xf numFmtId="166" fontId="0" fillId="0" borderId="0" xfId="0" applyNumberFormat="1" applyFill="1"/>
    <xf numFmtId="0" fontId="0" fillId="0" borderId="13" xfId="0" applyFill="1" applyBorder="1"/>
    <xf numFmtId="2" fontId="0" fillId="0" borderId="0" xfId="0" applyNumberFormat="1"/>
    <xf numFmtId="0" fontId="0" fillId="0" borderId="0" xfId="0" quotePrefix="1"/>
    <xf numFmtId="10" fontId="0" fillId="25" borderId="0" xfId="0" applyNumberFormat="1" applyFill="1"/>
    <xf numFmtId="164" fontId="0" fillId="25" borderId="0" xfId="0" applyNumberFormat="1" applyFill="1"/>
    <xf numFmtId="3" fontId="0" fillId="0" borderId="0" xfId="0" applyNumberFormat="1"/>
    <xf numFmtId="3" fontId="0" fillId="0" borderId="0" xfId="0" applyNumberFormat="1" applyFill="1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horizontal="right"/>
    </xf>
    <xf numFmtId="0" fontId="0" fillId="0" borderId="15" xfId="0" applyFill="1" applyBorder="1"/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169" fontId="0" fillId="0" borderId="0" xfId="43" applyNumberFormat="1" applyFont="1" applyBorder="1"/>
    <xf numFmtId="169" fontId="0" fillId="0" borderId="0" xfId="43" applyNumberFormat="1" applyFont="1" applyBorder="1" applyAlignment="1"/>
    <xf numFmtId="0" fontId="0" fillId="0" borderId="15" xfId="0" applyFont="1" applyBorder="1"/>
    <xf numFmtId="0" fontId="0" fillId="0" borderId="15" xfId="0" applyFont="1" applyFill="1" applyBorder="1"/>
    <xf numFmtId="166" fontId="22" fillId="0" borderId="0" xfId="0" applyNumberFormat="1" applyFont="1"/>
    <xf numFmtId="0" fontId="0" fillId="0" borderId="0" xfId="0" applyFont="1" applyAlignment="1"/>
    <xf numFmtId="0" fontId="0" fillId="0" borderId="0" xfId="0" applyFont="1" applyFill="1" applyAlignment="1">
      <alignment horizontal="left"/>
    </xf>
    <xf numFmtId="169" fontId="21" fillId="0" borderId="0" xfId="43" applyNumberFormat="1" applyFont="1" applyFill="1"/>
    <xf numFmtId="166" fontId="0" fillId="0" borderId="0" xfId="0" applyNumberFormat="1" applyFont="1" applyBorder="1"/>
    <xf numFmtId="0" fontId="22" fillId="0" borderId="0" xfId="0" applyFont="1" applyFill="1"/>
    <xf numFmtId="0" fontId="22" fillId="0" borderId="0" xfId="0" applyFont="1" applyFill="1" applyBorder="1"/>
    <xf numFmtId="0" fontId="0" fillId="0" borderId="0" xfId="0" applyFont="1" applyFill="1"/>
    <xf numFmtId="0" fontId="22" fillId="0" borderId="0" xfId="0" applyFont="1" applyFill="1" applyAlignment="1">
      <alignment horizontal="right"/>
    </xf>
    <xf numFmtId="2" fontId="0" fillId="0" borderId="0" xfId="0" applyNumberFormat="1" applyBorder="1"/>
    <xf numFmtId="2" fontId="0" fillId="0" borderId="0" xfId="0" applyNumberFormat="1" applyFill="1" applyBorder="1"/>
    <xf numFmtId="0" fontId="0" fillId="0" borderId="19" xfId="0" applyBorder="1"/>
    <xf numFmtId="2" fontId="0" fillId="0" borderId="19" xfId="0" applyNumberFormat="1" applyFill="1" applyBorder="1"/>
    <xf numFmtId="166" fontId="22" fillId="0" borderId="0" xfId="0" applyNumberFormat="1" applyFont="1" applyFill="1" applyBorder="1"/>
    <xf numFmtId="166" fontId="0" fillId="0" borderId="0" xfId="0" applyNumberFormat="1" applyFont="1" applyFill="1" applyBorder="1"/>
    <xf numFmtId="0" fontId="0" fillId="0" borderId="0" xfId="0"/>
    <xf numFmtId="0" fontId="0" fillId="24" borderId="0" xfId="0" applyFont="1" applyFill="1" applyBorder="1"/>
    <xf numFmtId="0" fontId="0" fillId="0" borderId="21" xfId="0" applyFill="1" applyBorder="1"/>
    <xf numFmtId="169" fontId="0" fillId="0" borderId="0" xfId="43" applyNumberFormat="1" applyFont="1" applyFill="1" applyBorder="1"/>
    <xf numFmtId="166" fontId="0" fillId="0" borderId="0" xfId="0" applyNumberFormat="1" applyFill="1" applyBorder="1"/>
    <xf numFmtId="0" fontId="0" fillId="0" borderId="11" xfId="0" applyFill="1" applyBorder="1"/>
    <xf numFmtId="0" fontId="0" fillId="0" borderId="12" xfId="0" applyFill="1" applyBorder="1"/>
    <xf numFmtId="166" fontId="0" fillId="0" borderId="0" xfId="0" applyNumberFormat="1" applyBorder="1"/>
    <xf numFmtId="0" fontId="0" fillId="0" borderId="13" xfId="0" applyFont="1" applyBorder="1"/>
    <xf numFmtId="0" fontId="0" fillId="0" borderId="13" xfId="0" applyFont="1" applyFill="1" applyBorder="1"/>
    <xf numFmtId="0" fontId="0" fillId="0" borderId="13" xfId="0" applyFont="1" applyFill="1" applyBorder="1" applyAlignment="1">
      <alignment horizontal="left"/>
    </xf>
    <xf numFmtId="169" fontId="21" fillId="0" borderId="0" xfId="43" applyNumberFormat="1" applyFont="1" applyFill="1" applyBorder="1"/>
    <xf numFmtId="0" fontId="0" fillId="0" borderId="20" xfId="0" applyBorder="1"/>
    <xf numFmtId="2" fontId="0" fillId="0" borderId="22" xfId="0" applyNumberFormat="1" applyBorder="1"/>
    <xf numFmtId="0" fontId="0" fillId="0" borderId="0" xfId="0"/>
    <xf numFmtId="2" fontId="0" fillId="24" borderId="0" xfId="0" applyNumberFormat="1" applyFill="1"/>
    <xf numFmtId="2" fontId="0" fillId="24" borderId="0" xfId="0" applyNumberFormat="1" applyFill="1" applyBorder="1"/>
    <xf numFmtId="170" fontId="0" fillId="0" borderId="0" xfId="0" applyNumberFormat="1" applyFill="1"/>
    <xf numFmtId="170" fontId="22" fillId="0" borderId="0" xfId="0" applyNumberFormat="1" applyFont="1" applyFill="1" applyBorder="1"/>
    <xf numFmtId="170" fontId="21" fillId="0" borderId="0" xfId="43" applyNumberFormat="1" applyFont="1" applyFill="1"/>
    <xf numFmtId="170" fontId="22" fillId="0" borderId="0" xfId="43" applyNumberFormat="1" applyFont="1" applyFill="1"/>
    <xf numFmtId="170" fontId="22" fillId="0" borderId="0" xfId="0" applyNumberFormat="1" applyFont="1" applyFill="1"/>
  </cellXfs>
  <cellStyles count="4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" xfId="43" builtinId="3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" xfId="0" builtinId="0"/>
    <cellStyle name="Normal 12" xfId="44" xr:uid="{00000000-0005-0000-0000-000026000000}"/>
    <cellStyle name="Normal 2" xfId="1" xr:uid="{00000000-0005-0000-0000-000027000000}"/>
    <cellStyle name="Normal 2 2" xfId="46" xr:uid="{00000000-0005-0000-0000-000028000000}"/>
    <cellStyle name="Normal 2 3" xfId="45" xr:uid="{00000000-0005-0000-0000-000029000000}"/>
    <cellStyle name="Note 2" xfId="38" xr:uid="{00000000-0005-0000-0000-00002A000000}"/>
    <cellStyle name="Output 2" xfId="39" xr:uid="{00000000-0005-0000-0000-00002B000000}"/>
    <cellStyle name="Percent 2" xfId="47" xr:uid="{3DBA1C72-72F4-4543-95F9-95C771336D43}"/>
    <cellStyle name="Title 2" xfId="40" xr:uid="{00000000-0005-0000-0000-00002C000000}"/>
    <cellStyle name="Total 2" xfId="41" xr:uid="{00000000-0005-0000-0000-00002D000000}"/>
    <cellStyle name="Warning Text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67454068241471"/>
          <c:y val="6.3499079189686919E-2"/>
          <c:w val="0.58584470691163559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v>NYC</c:v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x"/>
            <c:size val="8"/>
            <c:spPr>
              <a:noFill/>
              <a:ln w="9525" cap="flat" cmpd="sng" algn="ctr">
                <a:solidFill>
                  <a:srgbClr val="FF0000"/>
                </a:solidFill>
                <a:prstDash val="solid"/>
                <a:round/>
              </a:ln>
              <a:effectLst/>
            </c:spPr>
          </c:marker>
          <c:cat>
            <c:numRef>
              <c:f>'ICAP Prices'!$A$9:$A$29</c:f>
              <c:numCache>
                <c:formatCode>General</c:formatCode>
                <c:ptCount val="2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</c:numCache>
            </c:numRef>
          </c:cat>
          <c:val>
            <c:numRef>
              <c:f>'ICAP Prices'!$B$9:$B$29</c:f>
              <c:numCache>
                <c:formatCode>"$"#,##0.00</c:formatCode>
                <c:ptCount val="21"/>
                <c:pt idx="0">
                  <c:v>8.9557530450837426</c:v>
                </c:pt>
                <c:pt idx="1">
                  <c:v>9.587557945036993</c:v>
                </c:pt>
                <c:pt idx="2">
                  <c:v>6.3011888454537317</c:v>
                </c:pt>
                <c:pt idx="3">
                  <c:v>4.7250080710064575</c:v>
                </c:pt>
                <c:pt idx="4">
                  <c:v>4.8190891375451779</c:v>
                </c:pt>
                <c:pt idx="5">
                  <c:v>6.4035839939513375</c:v>
                </c:pt>
                <c:pt idx="6">
                  <c:v>9.1363311531684666</c:v>
                </c:pt>
                <c:pt idx="7">
                  <c:v>9.9734563926191591</c:v>
                </c:pt>
                <c:pt idx="8">
                  <c:v>10.615359133353207</c:v>
                </c:pt>
                <c:pt idx="9">
                  <c:v>11.429099735629753</c:v>
                </c:pt>
                <c:pt idx="10">
                  <c:v>11.872354031193586</c:v>
                </c:pt>
                <c:pt idx="11">
                  <c:v>11.882448132763269</c:v>
                </c:pt>
                <c:pt idx="12">
                  <c:v>11.891289962187336</c:v>
                </c:pt>
                <c:pt idx="13">
                  <c:v>11.900011392232022</c:v>
                </c:pt>
                <c:pt idx="14">
                  <c:v>11.907545800230647</c:v>
                </c:pt>
                <c:pt idx="15">
                  <c:v>11.913933195178975</c:v>
                </c:pt>
                <c:pt idx="16">
                  <c:v>11.921304088596342</c:v>
                </c:pt>
                <c:pt idx="17">
                  <c:v>11.92651636322719</c:v>
                </c:pt>
                <c:pt idx="18">
                  <c:v>11.93271404301213</c:v>
                </c:pt>
                <c:pt idx="19">
                  <c:v>11.93885035963088</c:v>
                </c:pt>
                <c:pt idx="20">
                  <c:v>11.943917736953679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F-42CF-AABC-2063EFB76D18}"/>
            </c:ext>
          </c:extLst>
        </c:ser>
        <c:ser>
          <c:idx val="3"/>
          <c:order val="1"/>
          <c:tx>
            <c:v>LHV</c:v>
          </c:tx>
          <c:spPr>
            <a:ln w="28575" cap="rnd" cmpd="sng" algn="ctr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diamond"/>
            <c:size val="6"/>
            <c:spPr>
              <a:solidFill>
                <a:srgbClr val="00B050"/>
              </a:solidFill>
              <a:ln w="9525" cap="flat" cmpd="sng" algn="ctr">
                <a:solidFill>
                  <a:srgbClr val="00B050"/>
                </a:solidFill>
                <a:prstDash val="solid"/>
                <a:round/>
              </a:ln>
              <a:effectLst/>
            </c:spPr>
          </c:marker>
          <c:cat>
            <c:numRef>
              <c:f>'ICAP Prices'!$A$9:$A$29</c:f>
              <c:numCache>
                <c:formatCode>General</c:formatCode>
                <c:ptCount val="2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</c:numCache>
            </c:numRef>
          </c:cat>
          <c:val>
            <c:numRef>
              <c:f>'ICAP Prices'!$E$9:$E$29</c:f>
              <c:numCache>
                <c:formatCode>"$"#,##0.00</c:formatCode>
                <c:ptCount val="21"/>
                <c:pt idx="0">
                  <c:v>2.8234891983442889</c:v>
                </c:pt>
                <c:pt idx="1">
                  <c:v>1.8887341069372214</c:v>
                </c:pt>
                <c:pt idx="2">
                  <c:v>0.81359622337571125</c:v>
                </c:pt>
                <c:pt idx="3">
                  <c:v>1.628248711164126E-2</c:v>
                </c:pt>
                <c:pt idx="4">
                  <c:v>0.01</c:v>
                </c:pt>
                <c:pt idx="5">
                  <c:v>0.47948800896790056</c:v>
                </c:pt>
                <c:pt idx="6">
                  <c:v>1.1880104223078765</c:v>
                </c:pt>
                <c:pt idx="7">
                  <c:v>1.7018993411813332</c:v>
                </c:pt>
                <c:pt idx="8">
                  <c:v>2.2359905299596008</c:v>
                </c:pt>
                <c:pt idx="9">
                  <c:v>2.6850746049087464</c:v>
                </c:pt>
                <c:pt idx="10">
                  <c:v>3.1420579788837562</c:v>
                </c:pt>
                <c:pt idx="11">
                  <c:v>3.5656086080768699</c:v>
                </c:pt>
                <c:pt idx="12">
                  <c:v>3.9615708136458738</c:v>
                </c:pt>
                <c:pt idx="13">
                  <c:v>4.350173541443116</c:v>
                </c:pt>
                <c:pt idx="14">
                  <c:v>4.6996240864327019</c:v>
                </c:pt>
                <c:pt idx="15">
                  <c:v>5.0250000000000004</c:v>
                </c:pt>
                <c:pt idx="16">
                  <c:v>5.0250000000000004</c:v>
                </c:pt>
                <c:pt idx="17">
                  <c:v>5.0250000000000004</c:v>
                </c:pt>
                <c:pt idx="18">
                  <c:v>5.0250000000000004</c:v>
                </c:pt>
                <c:pt idx="19">
                  <c:v>5.0250000000000004</c:v>
                </c:pt>
                <c:pt idx="20">
                  <c:v>5.0250000000000004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F-42CF-AABC-2063EFB76D18}"/>
            </c:ext>
          </c:extLst>
        </c:ser>
        <c:ser>
          <c:idx val="6"/>
          <c:order val="2"/>
          <c:tx>
            <c:v>LI</c:v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solidFill>
                  <a:schemeClr val="accent1">
                    <a:lumMod val="6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numRef>
              <c:f>'ICAP Prices'!$A$9:$A$29</c:f>
              <c:numCache>
                <c:formatCode>General</c:formatCode>
                <c:ptCount val="2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</c:numCache>
            </c:numRef>
          </c:cat>
          <c:val>
            <c:numRef>
              <c:f>'ICAP Prices'!$H$9:$H$29</c:f>
              <c:numCache>
                <c:formatCode>"$"#,##0.00</c:formatCode>
                <c:ptCount val="21"/>
                <c:pt idx="0">
                  <c:v>3.1183289029442784</c:v>
                </c:pt>
                <c:pt idx="1">
                  <c:v>1.8887341069372214</c:v>
                </c:pt>
                <c:pt idx="2">
                  <c:v>0.81359622337571125</c:v>
                </c:pt>
                <c:pt idx="3">
                  <c:v>1.628248711164126E-2</c:v>
                </c:pt>
                <c:pt idx="4">
                  <c:v>0.01</c:v>
                </c:pt>
                <c:pt idx="5">
                  <c:v>0.55394308932075687</c:v>
                </c:pt>
                <c:pt idx="6">
                  <c:v>1.2264210205599606</c:v>
                </c:pt>
                <c:pt idx="7">
                  <c:v>1.7256164328811989</c:v>
                </c:pt>
                <c:pt idx="8">
                  <c:v>2.2451560396992631</c:v>
                </c:pt>
                <c:pt idx="9">
                  <c:v>2.6850746049087464</c:v>
                </c:pt>
                <c:pt idx="10">
                  <c:v>3.1664477295367632</c:v>
                </c:pt>
                <c:pt idx="11">
                  <c:v>3.5978548558297501</c:v>
                </c:pt>
                <c:pt idx="12">
                  <c:v>3.9931385986283483</c:v>
                </c:pt>
                <c:pt idx="13">
                  <c:v>4.3669341184799784</c:v>
                </c:pt>
                <c:pt idx="14">
                  <c:v>4.7008742663440595</c:v>
                </c:pt>
                <c:pt idx="15">
                  <c:v>5.0250000000000004</c:v>
                </c:pt>
                <c:pt idx="16">
                  <c:v>5.0250000000000004</c:v>
                </c:pt>
                <c:pt idx="17">
                  <c:v>5.0250000000000004</c:v>
                </c:pt>
                <c:pt idx="18">
                  <c:v>5.089769113897292</c:v>
                </c:pt>
                <c:pt idx="19">
                  <c:v>5.2101846486325361</c:v>
                </c:pt>
                <c:pt idx="20">
                  <c:v>5.3259169160313355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F-42CF-AABC-2063EFB76D18}"/>
            </c:ext>
          </c:extLst>
        </c:ser>
        <c:ser>
          <c:idx val="9"/>
          <c:order val="3"/>
          <c:tx>
            <c:v>NYCA</c:v>
          </c:tx>
          <c:spPr>
            <a:ln w="28575" cap="rnd" cmpd="sng" algn="ctr">
              <a:solidFill>
                <a:schemeClr val="accent4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'ICAP Prices'!$A$9:$A$29</c:f>
              <c:numCache>
                <c:formatCode>General</c:formatCode>
                <c:ptCount val="21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</c:numCache>
            </c:numRef>
          </c:cat>
          <c:val>
            <c:numRef>
              <c:f>'ICAP Prices'!$K$9:$K$29</c:f>
              <c:numCache>
                <c:formatCode>"$"#,##0.00</c:formatCode>
                <c:ptCount val="21"/>
                <c:pt idx="0">
                  <c:v>2.8234891983442889</c:v>
                </c:pt>
                <c:pt idx="1">
                  <c:v>1.8887341069372214</c:v>
                </c:pt>
                <c:pt idx="2">
                  <c:v>0.81359622337571125</c:v>
                </c:pt>
                <c:pt idx="3">
                  <c:v>1.628248711164126E-2</c:v>
                </c:pt>
                <c:pt idx="4">
                  <c:v>0.01</c:v>
                </c:pt>
                <c:pt idx="5">
                  <c:v>0.47948800896790056</c:v>
                </c:pt>
                <c:pt idx="6">
                  <c:v>1.1880104223078765</c:v>
                </c:pt>
                <c:pt idx="7">
                  <c:v>1.7018993411813332</c:v>
                </c:pt>
                <c:pt idx="8">
                  <c:v>2.2359905299596008</c:v>
                </c:pt>
                <c:pt idx="9">
                  <c:v>2.6850746049087464</c:v>
                </c:pt>
                <c:pt idx="10">
                  <c:v>3.1420579788837562</c:v>
                </c:pt>
                <c:pt idx="11">
                  <c:v>3.5656086080768699</c:v>
                </c:pt>
                <c:pt idx="12">
                  <c:v>3.9615708136458738</c:v>
                </c:pt>
                <c:pt idx="13">
                  <c:v>4.350173541443116</c:v>
                </c:pt>
                <c:pt idx="14">
                  <c:v>4.6996240864327019</c:v>
                </c:pt>
                <c:pt idx="15">
                  <c:v>5.0250000000000004</c:v>
                </c:pt>
                <c:pt idx="16">
                  <c:v>5.0250000000000004</c:v>
                </c:pt>
                <c:pt idx="17">
                  <c:v>5.0250000000000004</c:v>
                </c:pt>
                <c:pt idx="18">
                  <c:v>5.0250000000000004</c:v>
                </c:pt>
                <c:pt idx="19">
                  <c:v>5.0250000000000004</c:v>
                </c:pt>
                <c:pt idx="20">
                  <c:v>5.0250000000000004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0F-42CF-AABC-2063EFB76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028992"/>
        <c:axId val="180029384"/>
      </c:lineChart>
      <c:catAx>
        <c:axId val="18002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29384"/>
        <c:crosses val="autoZero"/>
        <c:auto val="1"/>
        <c:lblAlgn val="ctr"/>
        <c:lblOffset val="100"/>
        <c:tickLblSkip val="5"/>
        <c:noMultiLvlLbl val="0"/>
      </c:catAx>
      <c:valAx>
        <c:axId val="180029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&quot;$&quot;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02899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</xdr:rowOff>
    </xdr:from>
    <xdr:to>
      <xdr:col>19</xdr:col>
      <xdr:colOff>19050</xdr:colOff>
      <xdr:row>23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457200</xdr:colOff>
          <xdr:row>1</xdr:row>
          <xdr:rowOff>123825</xdr:rowOff>
        </xdr:from>
        <xdr:to>
          <xdr:col>13</xdr:col>
          <xdr:colOff>1076325</xdr:colOff>
          <xdr:row>2</xdr:row>
          <xdr:rowOff>171450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Forecast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49"/>
  <sheetViews>
    <sheetView zoomScale="80" zoomScaleNormal="80" workbookViewId="0"/>
  </sheetViews>
  <sheetFormatPr defaultColWidth="8.85546875" defaultRowHeight="15" x14ac:dyDescent="0.25"/>
  <sheetData>
    <row r="1" spans="1:19" x14ac:dyDescent="0.25">
      <c r="A1" t="s">
        <v>74</v>
      </c>
    </row>
    <row r="2" spans="1:19" x14ac:dyDescent="0.25">
      <c r="A2" t="s">
        <v>238</v>
      </c>
      <c r="O2" s="11"/>
      <c r="P2" s="11"/>
      <c r="Q2" s="11"/>
      <c r="R2" s="11"/>
      <c r="S2" s="11"/>
    </row>
    <row r="3" spans="1:19" ht="15.75" thickBot="1" x14ac:dyDescent="0.3">
      <c r="O3" s="11"/>
      <c r="P3" s="11"/>
      <c r="Q3" s="11"/>
      <c r="R3" s="11"/>
      <c r="S3" s="11"/>
    </row>
    <row r="4" spans="1:19" x14ac:dyDescent="0.25">
      <c r="A4" s="40" t="s">
        <v>42</v>
      </c>
      <c r="B4" s="31" t="s">
        <v>62</v>
      </c>
      <c r="C4" s="32"/>
      <c r="D4" s="32"/>
      <c r="E4" s="33"/>
      <c r="F4" s="31" t="s">
        <v>66</v>
      </c>
      <c r="G4" s="32"/>
      <c r="H4" s="32"/>
      <c r="I4" s="33"/>
      <c r="K4" s="14" t="s">
        <v>68</v>
      </c>
      <c r="L4" s="15"/>
      <c r="M4" s="15"/>
      <c r="N4" s="21"/>
      <c r="O4" s="11"/>
      <c r="P4" s="11"/>
      <c r="Q4" s="11"/>
      <c r="R4" s="11"/>
      <c r="S4" s="11"/>
    </row>
    <row r="5" spans="1:19" ht="15.75" thickBot="1" x14ac:dyDescent="0.3">
      <c r="A5" s="40"/>
      <c r="B5" s="55" t="s">
        <v>5</v>
      </c>
      <c r="C5" s="56" t="s">
        <v>36</v>
      </c>
      <c r="D5" s="56" t="s">
        <v>37</v>
      </c>
      <c r="E5" s="57" t="s">
        <v>16</v>
      </c>
      <c r="F5" s="55" t="s">
        <v>5</v>
      </c>
      <c r="G5" s="56" t="s">
        <v>36</v>
      </c>
      <c r="H5" s="56" t="s">
        <v>37</v>
      </c>
      <c r="I5" s="57" t="s">
        <v>16</v>
      </c>
      <c r="K5" s="41" t="s">
        <v>5</v>
      </c>
      <c r="L5" s="42" t="s">
        <v>36</v>
      </c>
      <c r="M5" s="42" t="s">
        <v>37</v>
      </c>
      <c r="N5" s="43" t="s">
        <v>16</v>
      </c>
      <c r="O5" s="11"/>
      <c r="P5" s="11"/>
      <c r="Q5" s="11"/>
      <c r="R5" s="11"/>
      <c r="S5" s="11"/>
    </row>
    <row r="6" spans="1:19" x14ac:dyDescent="0.25">
      <c r="A6" s="40">
        <f>'ICAP Prices'!A9</f>
        <v>2025</v>
      </c>
      <c r="B6" s="54">
        <f>6*'AGCC Summer'!B6+6*'AGCC Winter'!B6</f>
        <v>106.82593199531539</v>
      </c>
      <c r="C6" s="58">
        <f>6*'AGCC Summer'!C6+6*'AGCC Winter'!C6</f>
        <v>44.472461013186482</v>
      </c>
      <c r="D6" s="58">
        <f>6*'AGCC Summer'!D6+6*'AGCC Winter'!D6</f>
        <v>48.491406571954869</v>
      </c>
      <c r="E6" s="58">
        <f>6*'AGCC Summer'!E6+6*'AGCC Winter'!E6</f>
        <v>44.472461013186482</v>
      </c>
      <c r="F6" s="54">
        <f>6*'AGCC Summer'!F6+6*'AGCC Winter'!F6</f>
        <v>115.11415085702089</v>
      </c>
      <c r="G6" s="58">
        <f>6*'AGCC Summer'!G6+6*'AGCC Winter'!G6</f>
        <v>47.9229105745544</v>
      </c>
      <c r="H6" s="58">
        <f>6*'AGCC Summer'!H6+6*'AGCC Winter'!H6</f>
        <v>52.253670874951368</v>
      </c>
      <c r="I6" s="59">
        <f>6*'AGCC Summer'!I6+6*'AGCC Winter'!I6</f>
        <v>47.9229105745544</v>
      </c>
      <c r="K6" s="51">
        <f>6*'AGCC Summer'!K6+6*'AGCC Winter'!K6</f>
        <v>107.46903654100493</v>
      </c>
      <c r="L6" s="52">
        <f>6*'AGCC Summer'!L6+6*'AGCC Winter'!L6</f>
        <v>33.881870380131467</v>
      </c>
      <c r="M6" s="52">
        <f>6*'AGCC Summer'!M6+6*'AGCC Winter'!M6</f>
        <v>37.419946835331345</v>
      </c>
      <c r="N6" s="53">
        <f>6*'AGCC Summer'!N6+6*'AGCC Winter'!N6</f>
        <v>33.881870380131467</v>
      </c>
      <c r="O6" s="23"/>
      <c r="P6" s="23"/>
      <c r="Q6" s="23"/>
      <c r="R6" s="23"/>
      <c r="S6" s="11"/>
    </row>
    <row r="7" spans="1:19" x14ac:dyDescent="0.25">
      <c r="A7" s="40">
        <f>'ICAP Prices'!A10</f>
        <v>2026</v>
      </c>
      <c r="B7" s="34">
        <f>6*'AGCC Summer'!B7+6*'AGCC Winter'!B7</f>
        <v>103.54944743748327</v>
      </c>
      <c r="C7" s="35">
        <f>6*'AGCC Summer'!C7+6*'AGCC Winter'!C7</f>
        <v>30.355964626224822</v>
      </c>
      <c r="D7" s="35">
        <f>6*'AGCC Summer'!D7+6*'AGCC Winter'!D7</f>
        <v>30.355964626224818</v>
      </c>
      <c r="E7" s="35">
        <f>6*'AGCC Summer'!E7+6*'AGCC Winter'!E7</f>
        <v>30.355964626224822</v>
      </c>
      <c r="F7" s="34">
        <f>6*'AGCC Summer'!F7+6*'AGCC Winter'!F7</f>
        <v>111.58345629039144</v>
      </c>
      <c r="G7" s="35">
        <f>6*'AGCC Summer'!G7+6*'AGCC Winter'!G7</f>
        <v>32.711168778259506</v>
      </c>
      <c r="H7" s="35">
        <f>6*'AGCC Summer'!H7+6*'AGCC Winter'!H7</f>
        <v>32.711168778259498</v>
      </c>
      <c r="I7" s="36">
        <f>6*'AGCC Summer'!I7+6*'AGCC Winter'!I7</f>
        <v>32.711168778259506</v>
      </c>
      <c r="K7" s="27">
        <f>6*'AGCC Summer'!K7+6*'AGCC Winter'!K7</f>
        <v>115.05069534044392</v>
      </c>
      <c r="L7" s="12">
        <f>6*'AGCC Summer'!L7+6*'AGCC Winter'!L7</f>
        <v>22.664809283246655</v>
      </c>
      <c r="M7" s="12">
        <f>6*'AGCC Summer'!M7+6*'AGCC Winter'!M7</f>
        <v>22.664809283246655</v>
      </c>
      <c r="N7" s="28">
        <f>6*'AGCC Summer'!N7+6*'AGCC Winter'!N7</f>
        <v>22.664809283246655</v>
      </c>
      <c r="O7" s="23"/>
      <c r="P7" s="23"/>
      <c r="Q7" s="23"/>
      <c r="R7" s="23"/>
      <c r="S7" s="11"/>
    </row>
    <row r="8" spans="1:19" x14ac:dyDescent="0.25">
      <c r="A8" s="40">
        <f>'ICAP Prices'!A11</f>
        <v>2027</v>
      </c>
      <c r="B8" s="34">
        <f>6*'AGCC Summer'!B8+6*'AGCC Winter'!B8</f>
        <v>67.471710991944803</v>
      </c>
      <c r="C8" s="35">
        <f>6*'AGCC Summer'!C8+6*'AGCC Winter'!C8</f>
        <v>13.205781220623262</v>
      </c>
      <c r="D8" s="35">
        <f>6*'AGCC Summer'!D8+6*'AGCC Winter'!D8</f>
        <v>13.205781220623258</v>
      </c>
      <c r="E8" s="35">
        <f>6*'AGCC Summer'!E8+6*'AGCC Winter'!E8</f>
        <v>13.205781220623258</v>
      </c>
      <c r="F8" s="34">
        <f>6*'AGCC Summer'!F8+6*'AGCC Winter'!F8</f>
        <v>72.706585120630166</v>
      </c>
      <c r="G8" s="35">
        <f>6*'AGCC Summer'!G8+6*'AGCC Winter'!G8</f>
        <v>14.230367694637135</v>
      </c>
      <c r="H8" s="35">
        <f>6*'AGCC Summer'!H8+6*'AGCC Winter'!H8</f>
        <v>14.230367694637133</v>
      </c>
      <c r="I8" s="36">
        <f>6*'AGCC Summer'!I8+6*'AGCC Winter'!I8</f>
        <v>14.230367694637133</v>
      </c>
      <c r="K8" s="27">
        <f>6*'AGCC Summer'!K8+6*'AGCC Winter'!K8</f>
        <v>75.614266145444773</v>
      </c>
      <c r="L8" s="12">
        <f>6*'AGCC Summer'!L8+6*'AGCC Winter'!L8</f>
        <v>9.763154680508535</v>
      </c>
      <c r="M8" s="12">
        <f>6*'AGCC Summer'!M8+6*'AGCC Winter'!M8</f>
        <v>9.763154680508535</v>
      </c>
      <c r="N8" s="28">
        <f>6*'AGCC Summer'!N8+6*'AGCC Winter'!N8</f>
        <v>9.763154680508535</v>
      </c>
      <c r="O8" s="23"/>
      <c r="P8" s="23"/>
      <c r="Q8" s="23"/>
      <c r="R8" s="23"/>
      <c r="S8" s="11"/>
    </row>
    <row r="9" spans="1:19" x14ac:dyDescent="0.25">
      <c r="A9" s="40">
        <f>'ICAP Prices'!A12</f>
        <v>2028</v>
      </c>
      <c r="B9" s="34">
        <f>6*'AGCC Summer'!B9+6*'AGCC Winter'!B9</f>
        <v>48.273346989455149</v>
      </c>
      <c r="C9" s="35">
        <f>6*'AGCC Summer'!C9+6*'AGCC Winter'!C9</f>
        <v>0.27213737409840422</v>
      </c>
      <c r="D9" s="35">
        <f>6*'AGCC Summer'!D9+6*'AGCC Winter'!D9</f>
        <v>0.27213737409840422</v>
      </c>
      <c r="E9" s="35">
        <f>6*'AGCC Summer'!E9+6*'AGCC Winter'!E9</f>
        <v>0.27213737409840422</v>
      </c>
      <c r="F9" s="34">
        <f>6*'AGCC Summer'!F9+6*'AGCC Winter'!F9</f>
        <v>52.018692876568053</v>
      </c>
      <c r="G9" s="35">
        <f>6*'AGCC Summer'!G9+6*'AGCC Winter'!G9</f>
        <v>0.29325148070948726</v>
      </c>
      <c r="H9" s="35">
        <f>6*'AGCC Summer'!H9+6*'AGCC Winter'!H9</f>
        <v>0.29325148070948726</v>
      </c>
      <c r="I9" s="36">
        <f>6*'AGCC Summer'!I9+6*'AGCC Winter'!I9</f>
        <v>0.29325148070948726</v>
      </c>
      <c r="K9" s="27">
        <f>6*'AGCC Summer'!K9+6*'AGCC Winter'!K9</f>
        <v>56.700096852077493</v>
      </c>
      <c r="L9" s="12">
        <f>6*'AGCC Summer'!L9+6*'AGCC Winter'!L9</f>
        <v>0.19538984533969511</v>
      </c>
      <c r="M9" s="12">
        <f>6*'AGCC Summer'!M9+6*'AGCC Winter'!M9</f>
        <v>0.19538984533969511</v>
      </c>
      <c r="N9" s="28">
        <f>6*'AGCC Summer'!N9+6*'AGCC Winter'!N9</f>
        <v>0.19538984533969511</v>
      </c>
      <c r="O9" s="23"/>
      <c r="P9" s="23"/>
      <c r="Q9" s="23"/>
      <c r="R9" s="23"/>
      <c r="S9" s="11"/>
    </row>
    <row r="10" spans="1:19" x14ac:dyDescent="0.25">
      <c r="A10" s="40">
        <f>'ICAP Prices'!A13</f>
        <v>2029</v>
      </c>
      <c r="B10" s="34">
        <f>6*'AGCC Summer'!B10+6*'AGCC Winter'!B10</f>
        <v>49.103155671962391</v>
      </c>
      <c r="C10" s="35">
        <f>6*'AGCC Summer'!C10+6*'AGCC Winter'!C10</f>
        <v>0.16716228251748252</v>
      </c>
      <c r="D10" s="35">
        <f>6*'AGCC Summer'!D10+6*'AGCC Winter'!D10</f>
        <v>0.16716228251748252</v>
      </c>
      <c r="E10" s="35">
        <f>6*'AGCC Summer'!E10+6*'AGCC Winter'!E10</f>
        <v>0.16716228251748252</v>
      </c>
      <c r="F10" s="34">
        <f>6*'AGCC Summer'!F10+6*'AGCC Winter'!F10</f>
        <v>52.912883267200854</v>
      </c>
      <c r="G10" s="35">
        <f>6*'AGCC Summer'!G10+6*'AGCC Winter'!G10</f>
        <v>0.18013176995418373</v>
      </c>
      <c r="H10" s="35">
        <f>6*'AGCC Summer'!H10+6*'AGCC Winter'!H10</f>
        <v>0.18013176995418373</v>
      </c>
      <c r="I10" s="36">
        <f>6*'AGCC Summer'!I10+6*'AGCC Winter'!I10</f>
        <v>0.18013176995418373</v>
      </c>
      <c r="K10" s="27">
        <f>6*'AGCC Summer'!K10+6*'AGCC Winter'!K10</f>
        <v>57.829069650542138</v>
      </c>
      <c r="L10" s="12">
        <f>6*'AGCC Summer'!L10+6*'AGCC Winter'!L10</f>
        <v>0.12</v>
      </c>
      <c r="M10" s="12">
        <f>6*'AGCC Summer'!M10+6*'AGCC Winter'!M10</f>
        <v>0.12</v>
      </c>
      <c r="N10" s="28">
        <f>6*'AGCC Summer'!N10+6*'AGCC Winter'!N10</f>
        <v>0.12</v>
      </c>
      <c r="O10" s="23"/>
      <c r="P10" s="23"/>
      <c r="Q10" s="23"/>
      <c r="R10" s="23"/>
      <c r="S10" s="11"/>
    </row>
    <row r="11" spans="1:19" x14ac:dyDescent="0.25">
      <c r="A11" s="40">
        <f>'ICAP Prices'!A14</f>
        <v>2030</v>
      </c>
      <c r="B11" s="34">
        <f>6*'AGCC Summer'!B11+6*'AGCC Winter'!B11</f>
        <v>68.901520305860089</v>
      </c>
      <c r="C11" s="35">
        <f>6*'AGCC Summer'!C11+6*'AGCC Winter'!C11</f>
        <v>7.9384431711940948</v>
      </c>
      <c r="D11" s="35">
        <f>6*'AGCC Summer'!D11+6*'AGCC Winter'!D11</f>
        <v>9.0489966450161425</v>
      </c>
      <c r="E11" s="35">
        <f>6*'AGCC Summer'!E11+6*'AGCC Winter'!E11</f>
        <v>7.9384431711940948</v>
      </c>
      <c r="F11" s="34">
        <f>6*'AGCC Summer'!F11+6*'AGCC Winter'!F11</f>
        <v>74.247327915797513</v>
      </c>
      <c r="G11" s="35">
        <f>6*'AGCC Summer'!G11+6*'AGCC Winter'!G11</f>
        <v>8.5543568655108775</v>
      </c>
      <c r="H11" s="35">
        <f>6*'AGCC Summer'!H11+6*'AGCC Winter'!H11</f>
        <v>9.7510739709225671</v>
      </c>
      <c r="I11" s="36">
        <f>6*'AGCC Summer'!I11+6*'AGCC Winter'!I11</f>
        <v>8.5543568655108775</v>
      </c>
      <c r="K11" s="27">
        <f>6*'AGCC Summer'!K11+6*'AGCC Winter'!K11</f>
        <v>76.843007927416053</v>
      </c>
      <c r="L11" s="12">
        <f>6*'AGCC Summer'!L11+6*'AGCC Winter'!L11</f>
        <v>5.7538561076148067</v>
      </c>
      <c r="M11" s="12">
        <f>6*'AGCC Summer'!M11+6*'AGCC Winter'!M11</f>
        <v>6.6473170718490824</v>
      </c>
      <c r="N11" s="28">
        <f>6*'AGCC Summer'!N11+6*'AGCC Winter'!N11</f>
        <v>5.7538561076148067</v>
      </c>
      <c r="O11" s="23"/>
      <c r="P11" s="23"/>
      <c r="Q11" s="23"/>
      <c r="R11" s="23"/>
      <c r="S11" s="11"/>
    </row>
    <row r="12" spans="1:19" x14ac:dyDescent="0.25">
      <c r="A12" s="40">
        <f>'ICAP Prices'!A15</f>
        <v>2031</v>
      </c>
      <c r="B12" s="34">
        <f>6*'AGCC Summer'!B12+6*'AGCC Winter'!B12</f>
        <v>97.6302957806531</v>
      </c>
      <c r="C12" s="35">
        <f>6*'AGCC Summer'!C12+6*'AGCC Winter'!C12</f>
        <v>19.416131712284272</v>
      </c>
      <c r="D12" s="35">
        <f>6*'AGCC Summer'!D12+6*'AGCC Winter'!D12</f>
        <v>19.977362424876453</v>
      </c>
      <c r="E12" s="35">
        <f>6*'AGCC Summer'!E12+6*'AGCC Winter'!E12</f>
        <v>19.416131712284272</v>
      </c>
      <c r="F12" s="34">
        <f>6*'AGCC Summer'!F12+6*'AGCC Winter'!F12</f>
        <v>105.20506010846238</v>
      </c>
      <c r="G12" s="35">
        <f>6*'AGCC Summer'!G12+6*'AGCC Winter'!G12</f>
        <v>20.922555724444258</v>
      </c>
      <c r="H12" s="35">
        <f>6*'AGCC Summer'!H12+6*'AGCC Winter'!H12</f>
        <v>21.527330199220316</v>
      </c>
      <c r="I12" s="36">
        <f>6*'AGCC Summer'!I12+6*'AGCC Winter'!I12</f>
        <v>20.922555724444258</v>
      </c>
      <c r="K12" s="27">
        <f>6*'AGCC Summer'!K12+6*'AGCC Winter'!K12</f>
        <v>109.63597383802161</v>
      </c>
      <c r="L12" s="12">
        <f>6*'AGCC Summer'!L12+6*'AGCC Winter'!L12</f>
        <v>14.256125067694517</v>
      </c>
      <c r="M12" s="12">
        <f>6*'AGCC Summer'!M12+6*'AGCC Winter'!M12</f>
        <v>14.717052246719527</v>
      </c>
      <c r="N12" s="28">
        <f>6*'AGCC Summer'!N12+6*'AGCC Winter'!N12</f>
        <v>14.256125067694517</v>
      </c>
      <c r="O12" s="23"/>
      <c r="P12" s="23"/>
      <c r="Q12" s="23"/>
      <c r="R12" s="23"/>
      <c r="S12" s="11"/>
    </row>
    <row r="13" spans="1:19" x14ac:dyDescent="0.25">
      <c r="A13" s="40">
        <f>'ICAP Prices'!A16</f>
        <v>2032</v>
      </c>
      <c r="B13" s="34">
        <f>6*'AGCC Summer'!B13+6*'AGCC Winter'!B13</f>
        <v>108.43433993951952</v>
      </c>
      <c r="C13" s="35">
        <f>6*'AGCC Summer'!C13+6*'AGCC Winter'!C13</f>
        <v>27.543022783304135</v>
      </c>
      <c r="D13" s="35">
        <f>6*'AGCC Summer'!D13+6*'AGCC Winter'!D13</f>
        <v>27.885683804040141</v>
      </c>
      <c r="E13" s="35">
        <f>6*'AGCC Summer'!E13+6*'AGCC Winter'!E13</f>
        <v>27.543022783304135</v>
      </c>
      <c r="F13" s="34">
        <f>6*'AGCC Summer'!F13+6*'AGCC Winter'!F13</f>
        <v>116.84734907275811</v>
      </c>
      <c r="G13" s="35">
        <f>6*'AGCC Summer'!G13+6*'AGCC Winter'!G13</f>
        <v>29.679981447526004</v>
      </c>
      <c r="H13" s="35">
        <f>6*'AGCC Summer'!H13+6*'AGCC Winter'!H13</f>
        <v>30.049228237112221</v>
      </c>
      <c r="I13" s="36">
        <f>6*'AGCC Summer'!I13+6*'AGCC Winter'!I13</f>
        <v>29.679981447526004</v>
      </c>
      <c r="K13" s="27">
        <f>6*'AGCC Summer'!K13+6*'AGCC Winter'!K13</f>
        <v>119.68147671142992</v>
      </c>
      <c r="L13" s="12">
        <f>6*'AGCC Summer'!L13+6*'AGCC Winter'!L13</f>
        <v>20.422792094175996</v>
      </c>
      <c r="M13" s="12">
        <f>6*'AGCC Summer'!M13+6*'AGCC Winter'!M13</f>
        <v>20.707397194574387</v>
      </c>
      <c r="N13" s="28">
        <f>6*'AGCC Summer'!N13+6*'AGCC Winter'!N13</f>
        <v>20.422792094175996</v>
      </c>
      <c r="O13" s="23"/>
      <c r="P13" s="23"/>
      <c r="Q13" s="23"/>
      <c r="R13" s="23"/>
      <c r="S13" s="11"/>
    </row>
    <row r="14" spans="1:19" x14ac:dyDescent="0.25">
      <c r="A14" s="40">
        <f>'ICAP Prices'!A17</f>
        <v>2033</v>
      </c>
      <c r="B14" s="34">
        <f>6*'AGCC Summer'!B14+6*'AGCC Winter'!B14</f>
        <v>117.31047373772083</v>
      </c>
      <c r="C14" s="35">
        <f>6*'AGCC Summer'!C14+6*'AGCC Winter'!C14</f>
        <v>35.814112238008491</v>
      </c>
      <c r="D14" s="35">
        <f>6*'AGCC Summer'!D14+6*'AGCC Winter'!D14</f>
        <v>35.944972237710303</v>
      </c>
      <c r="E14" s="35">
        <f>6*'AGCC Summer'!E14+6*'AGCC Winter'!E14</f>
        <v>35.814112238008491</v>
      </c>
      <c r="F14" s="34">
        <f>6*'AGCC Summer'!F14+6*'AGCC Winter'!F14</f>
        <v>126.41214842426814</v>
      </c>
      <c r="G14" s="35">
        <f>6*'AGCC Summer'!G14+6*'AGCC Winter'!G14</f>
        <v>38.592793359922936</v>
      </c>
      <c r="H14" s="35">
        <f>6*'AGCC Summer'!H14+6*'AGCC Winter'!H14</f>
        <v>38.733806290636103</v>
      </c>
      <c r="I14" s="36">
        <f>6*'AGCC Summer'!I14+6*'AGCC Winter'!I14</f>
        <v>38.592793359922936</v>
      </c>
      <c r="K14" s="27">
        <f>6*'AGCC Summer'!K14+6*'AGCC Winter'!K14</f>
        <v>127.38430960023848</v>
      </c>
      <c r="L14" s="12">
        <f>6*'AGCC Summer'!L14+6*'AGCC Winter'!L14</f>
        <v>26.831886359515213</v>
      </c>
      <c r="M14" s="12">
        <f>6*'AGCC Summer'!M14+6*'AGCC Winter'!M14</f>
        <v>26.941872476391158</v>
      </c>
      <c r="N14" s="28">
        <f>6*'AGCC Summer'!N14+6*'AGCC Winter'!N14</f>
        <v>26.831886359515213</v>
      </c>
      <c r="O14" s="23"/>
      <c r="P14" s="23"/>
      <c r="Q14" s="23"/>
      <c r="R14" s="23"/>
      <c r="S14" s="11"/>
    </row>
    <row r="15" spans="1:19" x14ac:dyDescent="0.25">
      <c r="A15" s="40">
        <f>'ICAP Prices'!A18</f>
        <v>2034</v>
      </c>
      <c r="B15" s="34">
        <f>6*'AGCC Summer'!B15+6*'AGCC Winter'!B15</f>
        <v>127.1542209000684</v>
      </c>
      <c r="C15" s="35">
        <f>6*'AGCC Summer'!C15+6*'AGCC Winter'!C15</f>
        <v>42.630480811115227</v>
      </c>
      <c r="D15" s="35">
        <f>6*'AGCC Summer'!D15+6*'AGCC Winter'!D15</f>
        <v>42.630480811115227</v>
      </c>
      <c r="E15" s="35">
        <f>6*'AGCC Summer'!E15+6*'AGCC Winter'!E15</f>
        <v>42.630480811115227</v>
      </c>
      <c r="F15" s="34">
        <f>6*'AGCC Summer'!F15+6*'AGCC Winter'!F15</f>
        <v>137.01963459059095</v>
      </c>
      <c r="G15" s="35">
        <f>6*'AGCC Summer'!G15+6*'AGCC Winter'!G15</f>
        <v>45.938018115425891</v>
      </c>
      <c r="H15" s="35">
        <f>6*'AGCC Summer'!H15+6*'AGCC Winter'!H15</f>
        <v>45.938018115425891</v>
      </c>
      <c r="I15" s="36">
        <f>6*'AGCC Summer'!I15+6*'AGCC Winter'!I15</f>
        <v>45.938018115425891</v>
      </c>
      <c r="K15" s="27">
        <f>6*'AGCC Summer'!K15+6*'AGCC Winter'!K15</f>
        <v>137.14919682755703</v>
      </c>
      <c r="L15" s="12">
        <f>6*'AGCC Summer'!L15+6*'AGCC Winter'!L15</f>
        <v>32.22089525890496</v>
      </c>
      <c r="M15" s="12">
        <f>6*'AGCC Summer'!M15+6*'AGCC Winter'!M15</f>
        <v>32.22089525890496</v>
      </c>
      <c r="N15" s="28">
        <f>6*'AGCC Summer'!N15+6*'AGCC Winter'!N15</f>
        <v>32.22089525890496</v>
      </c>
      <c r="O15" s="23"/>
      <c r="P15" s="23"/>
      <c r="Q15" s="23"/>
      <c r="R15" s="23"/>
      <c r="S15" s="11"/>
    </row>
    <row r="16" spans="1:19" x14ac:dyDescent="0.25">
      <c r="A16" s="40">
        <f>'ICAP Prices'!A19</f>
        <v>2035</v>
      </c>
      <c r="B16" s="34">
        <f>6*'AGCC Summer'!B16+6*'AGCC Winter'!B16</f>
        <v>133.47466971210514</v>
      </c>
      <c r="C16" s="35">
        <f>6*'AGCC Summer'!C16+6*'AGCC Winter'!C16</f>
        <v>49.436993583773045</v>
      </c>
      <c r="D16" s="35">
        <f>6*'AGCC Summer'!D16+6*'AGCC Winter'!D16</f>
        <v>49.777497974716539</v>
      </c>
      <c r="E16" s="35">
        <f>6*'AGCC Summer'!E16+6*'AGCC Winter'!E16</f>
        <v>49.436993583773045</v>
      </c>
      <c r="F16" s="34">
        <f>6*'AGCC Summer'!F16+6*'AGCC Winter'!F16</f>
        <v>143.83046305183743</v>
      </c>
      <c r="G16" s="35">
        <f>6*'AGCC Summer'!G16+6*'AGCC Winter'!G16</f>
        <v>53.272622396307163</v>
      </c>
      <c r="H16" s="35">
        <f>6*'AGCC Summer'!H16+6*'AGCC Winter'!H16</f>
        <v>53.639545231375578</v>
      </c>
      <c r="I16" s="36">
        <f>6*'AGCC Summer'!I16+6*'AGCC Winter'!I16</f>
        <v>53.272622396307156</v>
      </c>
      <c r="K16" s="27">
        <f>6*'AGCC Summer'!K16+6*'AGCC Winter'!K16</f>
        <v>142.46824837432303</v>
      </c>
      <c r="L16" s="12">
        <f>6*'AGCC Summer'!L16+6*'AGCC Winter'!L16</f>
        <v>37.704695746605076</v>
      </c>
      <c r="M16" s="12">
        <f>6*'AGCC Summer'!M16+6*'AGCC Winter'!M16</f>
        <v>37.997372754441159</v>
      </c>
      <c r="N16" s="28">
        <f>6*'AGCC Summer'!N16+6*'AGCC Winter'!N16</f>
        <v>37.704695746605076</v>
      </c>
      <c r="O16" s="23"/>
      <c r="P16" s="23"/>
      <c r="Q16" s="23"/>
      <c r="R16" s="23"/>
      <c r="S16" s="11"/>
    </row>
    <row r="17" spans="1:19" x14ac:dyDescent="0.25">
      <c r="A17" s="40">
        <f>'ICAP Prices'!A20</f>
        <v>2036</v>
      </c>
      <c r="B17" s="34">
        <f>6*'AGCC Summer'!B17+6*'AGCC Winter'!B17</f>
        <v>135.55330042475111</v>
      </c>
      <c r="C17" s="35">
        <f>6*'AGCC Summer'!C17+6*'AGCC Winter'!C17</f>
        <v>55.628584150172088</v>
      </c>
      <c r="D17" s="35">
        <f>6*'AGCC Summer'!D17+6*'AGCC Winter'!D17</f>
        <v>56.073957091142212</v>
      </c>
      <c r="E17" s="35">
        <f>6*'AGCC Summer'!E17+6*'AGCC Winter'!E17</f>
        <v>55.628584150172088</v>
      </c>
      <c r="F17" s="34">
        <f>6*'AGCC Summer'!F17+6*'AGCC Winter'!F17</f>
        <v>146.07036683701631</v>
      </c>
      <c r="G17" s="35">
        <f>6*'AGCC Summer'!G17+6*'AGCC Winter'!G17</f>
        <v>59.944594989409573</v>
      </c>
      <c r="H17" s="35">
        <f>6*'AGCC Summer'!H17+6*'AGCC Winter'!H17</f>
        <v>60.424522727523936</v>
      </c>
      <c r="I17" s="36">
        <f>6*'AGCC Summer'!I17+6*'AGCC Winter'!I17</f>
        <v>59.94459498940958</v>
      </c>
      <c r="K17" s="27">
        <f>6*'AGCC Summer'!K17+6*'AGCC Winter'!K17</f>
        <v>142.58937759315921</v>
      </c>
      <c r="L17" s="12">
        <f>6*'AGCC Summer'!L17+6*'AGCC Winter'!L17</f>
        <v>42.787303296922438</v>
      </c>
      <c r="M17" s="12">
        <f>6*'AGCC Summer'!M17+6*'AGCC Winter'!M17</f>
        <v>43.174258269956994</v>
      </c>
      <c r="N17" s="28">
        <f>6*'AGCC Summer'!N17+6*'AGCC Winter'!N17</f>
        <v>42.787303296922438</v>
      </c>
      <c r="O17" s="23"/>
      <c r="P17" s="23"/>
      <c r="Q17" s="23"/>
      <c r="R17" s="23"/>
      <c r="S17" s="11"/>
    </row>
    <row r="18" spans="1:19" x14ac:dyDescent="0.25">
      <c r="A18" s="40">
        <f>'ICAP Prices'!A21</f>
        <v>2037</v>
      </c>
      <c r="B18" s="34">
        <f>6*'AGCC Summer'!B18+6*'AGCC Winter'!B18</f>
        <v>137.38944299311288</v>
      </c>
      <c r="C18" s="35">
        <f>6*'AGCC Summer'!C18+6*'AGCC Winter'!C18</f>
        <v>61.315267668418528</v>
      </c>
      <c r="D18" s="35">
        <f>6*'AGCC Summer'!D18+6*'AGCC Winter'!D18</f>
        <v>61.747036159876231</v>
      </c>
      <c r="E18" s="35">
        <f>6*'AGCC Summer'!E18+6*'AGCC Winter'!E18</f>
        <v>61.315267668418528</v>
      </c>
      <c r="F18" s="34">
        <f>6*'AGCC Summer'!F18+6*'AGCC Winter'!F18</f>
        <v>148.0489687425785</v>
      </c>
      <c r="G18" s="35">
        <f>6*'AGCC Summer'!G18+6*'AGCC Winter'!G18</f>
        <v>66.072486711657888</v>
      </c>
      <c r="H18" s="35">
        <f>6*'AGCC Summer'!H18+6*'AGCC Winter'!H18</f>
        <v>66.537754482625246</v>
      </c>
      <c r="I18" s="36">
        <f>6*'AGCC Summer'!I18+6*'AGCC Winter'!I18</f>
        <v>66.072486711657888</v>
      </c>
      <c r="K18" s="27">
        <f>6*'AGCC Summer'!K18+6*'AGCC Winter'!K18</f>
        <v>142.69547954624804</v>
      </c>
      <c r="L18" s="12">
        <f>6*'AGCC Summer'!L18+6*'AGCC Winter'!L18</f>
        <v>47.538849763750491</v>
      </c>
      <c r="M18" s="12">
        <f>6*'AGCC Summer'!M18+6*'AGCC Winter'!M18</f>
        <v>47.917663183540185</v>
      </c>
      <c r="N18" s="28">
        <f>6*'AGCC Summer'!N18+6*'AGCC Winter'!N18</f>
        <v>47.538849763750491</v>
      </c>
      <c r="O18" s="23"/>
      <c r="P18" s="23"/>
      <c r="Q18" s="23"/>
      <c r="R18" s="23"/>
      <c r="S18" s="11"/>
    </row>
    <row r="19" spans="1:19" x14ac:dyDescent="0.25">
      <c r="A19" s="40">
        <f>'ICAP Prices'!A22</f>
        <v>2038</v>
      </c>
      <c r="B19" s="34">
        <f>6*'AGCC Summer'!B19+6*'AGCC Winter'!B19</f>
        <v>139.09705751168835</v>
      </c>
      <c r="C19" s="35">
        <f>6*'AGCC Summer'!C19+6*'AGCC Winter'!C19</f>
        <v>66.800772611559751</v>
      </c>
      <c r="D19" s="35">
        <f>6*'AGCC Summer'!D19+6*'AGCC Winter'!D19</f>
        <v>67.027969726900025</v>
      </c>
      <c r="E19" s="35">
        <f>6*'AGCC Summer'!E19+6*'AGCC Winter'!E19</f>
        <v>66.800772611559751</v>
      </c>
      <c r="F19" s="34">
        <f>6*'AGCC Summer'!F19+6*'AGCC Winter'!F19</f>
        <v>149.88907059449176</v>
      </c>
      <c r="G19" s="35">
        <f>6*'AGCC Summer'!G19+6*'AGCC Winter'!G19</f>
        <v>71.983591176249718</v>
      </c>
      <c r="H19" s="35">
        <f>6*'AGCC Summer'!H19+6*'AGCC Winter'!H19</f>
        <v>72.228415653987099</v>
      </c>
      <c r="I19" s="36">
        <f>6*'AGCC Summer'!I19+6*'AGCC Winter'!I19</f>
        <v>71.983591176249732</v>
      </c>
      <c r="K19" s="27">
        <f>6*'AGCC Summer'!K19+6*'AGCC Winter'!K19</f>
        <v>142.80013670678426</v>
      </c>
      <c r="L19" s="12">
        <f>6*'AGCC Summer'!L19+6*'AGCC Winter'!L19</f>
        <v>52.202082497317384</v>
      </c>
      <c r="M19" s="12">
        <f>6*'AGCC Summer'!M19+6*'AGCC Winter'!M19</f>
        <v>52.403209421759733</v>
      </c>
      <c r="N19" s="28">
        <f>6*'AGCC Summer'!N19+6*'AGCC Winter'!N19</f>
        <v>52.202082497317384</v>
      </c>
      <c r="O19" s="23"/>
      <c r="P19" s="23"/>
      <c r="Q19" s="23"/>
      <c r="R19" s="23"/>
      <c r="S19" s="11"/>
    </row>
    <row r="20" spans="1:19" x14ac:dyDescent="0.25">
      <c r="A20" s="40">
        <f>'ICAP Prices'!A23</f>
        <v>2039</v>
      </c>
      <c r="B20" s="34">
        <f>6*'AGCC Summer'!B20+6*'AGCC Winter'!B20</f>
        <v>140.54916396221489</v>
      </c>
      <c r="C20" s="35">
        <f>6*'AGCC Summer'!C20+6*'AGCC Winter'!C20</f>
        <v>71.652841535443997</v>
      </c>
      <c r="D20" s="35">
        <f>6*'AGCC Summer'!D20+6*'AGCC Winter'!D20</f>
        <v>71.669652967976759</v>
      </c>
      <c r="E20" s="35">
        <f>6*'AGCC Summer'!E20+6*'AGCC Winter'!E20</f>
        <v>71.652841535443997</v>
      </c>
      <c r="F20" s="34">
        <f>6*'AGCC Summer'!F20+6*'AGCC Winter'!F20</f>
        <v>151.45384047652468</v>
      </c>
      <c r="G20" s="35">
        <f>6*'AGCC Summer'!G20+6*'AGCC Winter'!G20</f>
        <v>77.212113723538778</v>
      </c>
      <c r="H20" s="35">
        <f>6*'AGCC Summer'!H20+6*'AGCC Winter'!H20</f>
        <v>77.230229491354265</v>
      </c>
      <c r="I20" s="36">
        <f>6*'AGCC Summer'!I20+6*'AGCC Winter'!I20</f>
        <v>77.212113723538778</v>
      </c>
      <c r="K20" s="27">
        <f>6*'AGCC Summer'!K20+6*'AGCC Winter'!K20</f>
        <v>142.89054960276775</v>
      </c>
      <c r="L20" s="12">
        <f>6*'AGCC Summer'!L20+6*'AGCC Winter'!L20</f>
        <v>56.395489037192419</v>
      </c>
      <c r="M20" s="12">
        <f>6*'AGCC Summer'!M20+6*'AGCC Winter'!M20</f>
        <v>56.410491196128717</v>
      </c>
      <c r="N20" s="28">
        <f>6*'AGCC Summer'!N20+6*'AGCC Winter'!N20</f>
        <v>56.395489037192419</v>
      </c>
      <c r="O20" s="23"/>
      <c r="P20" s="23"/>
      <c r="Q20" s="23"/>
      <c r="R20" s="23"/>
      <c r="S20" s="11"/>
    </row>
    <row r="21" spans="1:19" x14ac:dyDescent="0.25">
      <c r="A21" s="40">
        <f>'ICAP Prices'!A24</f>
        <v>2040</v>
      </c>
      <c r="B21" s="34">
        <f>6*'AGCC Summer'!B21+6*'AGCC Winter'!B21</f>
        <v>141.98271049543354</v>
      </c>
      <c r="C21" s="35">
        <f>6*'AGCC Summer'!C21+6*'AGCC Winter'!C21</f>
        <v>75.955652660139862</v>
      </c>
      <c r="D21" s="35">
        <f>6*'AGCC Summer'!D21+6*'AGCC Winter'!D21</f>
        <v>75.955652660139862</v>
      </c>
      <c r="E21" s="35">
        <f>6*'AGCC Summer'!E21+6*'AGCC Winter'!E21</f>
        <v>75.955652660139862</v>
      </c>
      <c r="F21" s="34">
        <f>6*'AGCC Summer'!F21+6*'AGCC Winter'!F21</f>
        <v>152.99861044766547</v>
      </c>
      <c r="G21" s="35">
        <f>6*'AGCC Summer'!G21+6*'AGCC Winter'!G21</f>
        <v>81.848763642392072</v>
      </c>
      <c r="H21" s="35">
        <f>6*'AGCC Summer'!H21+6*'AGCC Winter'!H21</f>
        <v>81.848763642392072</v>
      </c>
      <c r="I21" s="36">
        <f>6*'AGCC Summer'!I21+6*'AGCC Winter'!I21</f>
        <v>81.848763642392072</v>
      </c>
      <c r="K21" s="27">
        <f>6*'AGCC Summer'!K21+6*'AGCC Winter'!K21</f>
        <v>142.9671983421477</v>
      </c>
      <c r="L21" s="12">
        <f>6*'AGCC Summer'!L21+6*'AGCC Winter'!L21</f>
        <v>60.3</v>
      </c>
      <c r="M21" s="12">
        <f>6*'AGCC Summer'!M21+6*'AGCC Winter'!M21</f>
        <v>60.3</v>
      </c>
      <c r="N21" s="28">
        <f>6*'AGCC Summer'!N21+6*'AGCC Winter'!N21</f>
        <v>60.3</v>
      </c>
      <c r="O21" s="23"/>
      <c r="P21" s="23"/>
      <c r="Q21" s="23"/>
      <c r="R21" s="23"/>
      <c r="S21" s="11"/>
    </row>
    <row r="22" spans="1:19" x14ac:dyDescent="0.25">
      <c r="A22" s="40">
        <f>'ICAP Prices'!A25</f>
        <v>2041</v>
      </c>
      <c r="B22" s="34">
        <f>6*'AGCC Summer'!B22+6*'AGCC Winter'!B22</f>
        <v>142.05845417272263</v>
      </c>
      <c r="C22" s="35">
        <f>6*'AGCC Summer'!C22+6*'AGCC Winter'!C22</f>
        <v>75.955652660139862</v>
      </c>
      <c r="D22" s="35">
        <f>6*'AGCC Summer'!D22+6*'AGCC Winter'!D22</f>
        <v>75.955652660139862</v>
      </c>
      <c r="E22" s="35">
        <f>6*'AGCC Summer'!E22+6*'AGCC Winter'!E22</f>
        <v>75.955652660139862</v>
      </c>
      <c r="F22" s="34">
        <f>6*'AGCC Summer'!F22+6*'AGCC Winter'!F22</f>
        <v>153.08023078957183</v>
      </c>
      <c r="G22" s="35">
        <f>6*'AGCC Summer'!G22+6*'AGCC Winter'!G22</f>
        <v>81.848763642392072</v>
      </c>
      <c r="H22" s="35">
        <f>6*'AGCC Summer'!H22+6*'AGCC Winter'!H22</f>
        <v>81.848763642392072</v>
      </c>
      <c r="I22" s="36">
        <f>6*'AGCC Summer'!I22+6*'AGCC Winter'!I22</f>
        <v>81.848763642392072</v>
      </c>
      <c r="K22" s="27">
        <f>6*'AGCC Summer'!K22+6*'AGCC Winter'!K22</f>
        <v>143.0556490631561</v>
      </c>
      <c r="L22" s="12">
        <f>6*'AGCC Summer'!L22+6*'AGCC Winter'!L22</f>
        <v>60.3</v>
      </c>
      <c r="M22" s="12">
        <f>6*'AGCC Summer'!M22+6*'AGCC Winter'!M22</f>
        <v>60.3</v>
      </c>
      <c r="N22" s="28">
        <f>6*'AGCC Summer'!N22+6*'AGCC Winter'!N22</f>
        <v>60.3</v>
      </c>
      <c r="O22" s="23"/>
      <c r="P22" s="23"/>
      <c r="Q22" s="23"/>
      <c r="R22" s="23"/>
      <c r="S22" s="11"/>
    </row>
    <row r="23" spans="1:19" x14ac:dyDescent="0.25">
      <c r="A23" s="40">
        <f>'ICAP Prices'!A26</f>
        <v>2042</v>
      </c>
      <c r="B23" s="34">
        <f>6*'AGCC Summer'!B23+6*'AGCC Winter'!B23</f>
        <v>142.11200296834818</v>
      </c>
      <c r="C23" s="35">
        <f>6*'AGCC Summer'!C23+6*'AGCC Winter'!C23</f>
        <v>75.955652660139862</v>
      </c>
      <c r="D23" s="35">
        <f>6*'AGCC Summer'!D23+6*'AGCC Winter'!D23</f>
        <v>75.955652660139862</v>
      </c>
      <c r="E23" s="35">
        <f>6*'AGCC Summer'!E23+6*'AGCC Winter'!E23</f>
        <v>75.955652660139862</v>
      </c>
      <c r="F23" s="34">
        <f>6*'AGCC Summer'!F23+6*'AGCC Winter'!F23</f>
        <v>153.13793423313382</v>
      </c>
      <c r="G23" s="35">
        <f>6*'AGCC Summer'!G23+6*'AGCC Winter'!G23</f>
        <v>81.848763642392072</v>
      </c>
      <c r="H23" s="35">
        <f>6*'AGCC Summer'!H23+6*'AGCC Winter'!H23</f>
        <v>81.848763642392072</v>
      </c>
      <c r="I23" s="36">
        <f>6*'AGCC Summer'!I23+6*'AGCC Winter'!I23</f>
        <v>81.848763642392072</v>
      </c>
      <c r="K23" s="27">
        <f>6*'AGCC Summer'!K23+6*'AGCC Winter'!K23</f>
        <v>143.11819635872627</v>
      </c>
      <c r="L23" s="12">
        <f>6*'AGCC Summer'!L23+6*'AGCC Winter'!L23</f>
        <v>60.3</v>
      </c>
      <c r="M23" s="12">
        <f>6*'AGCC Summer'!M23+6*'AGCC Winter'!M23</f>
        <v>60.3</v>
      </c>
      <c r="N23" s="28">
        <f>6*'AGCC Summer'!N23+6*'AGCC Winter'!N23</f>
        <v>60.3</v>
      </c>
      <c r="O23" s="23"/>
      <c r="P23" s="23"/>
      <c r="Q23" s="23"/>
      <c r="R23" s="23"/>
      <c r="S23" s="11"/>
    </row>
    <row r="24" spans="1:19" x14ac:dyDescent="0.25">
      <c r="A24" s="40">
        <f>'ICAP Prices'!A27</f>
        <v>2043</v>
      </c>
      <c r="B24" s="34">
        <f>6*'AGCC Summer'!B24+6*'AGCC Winter'!B24</f>
        <v>142.17566161091744</v>
      </c>
      <c r="C24" s="35">
        <f>6*'AGCC Summer'!C24+6*'AGCC Winter'!C24</f>
        <v>75.955652660139862</v>
      </c>
      <c r="D24" s="35">
        <f>6*'AGCC Summer'!D24+6*'AGCC Winter'!D24</f>
        <v>76.804227513367607</v>
      </c>
      <c r="E24" s="35">
        <f>6*'AGCC Summer'!E24+6*'AGCC Winter'!E24</f>
        <v>75.955652660139862</v>
      </c>
      <c r="F24" s="34">
        <f>6*'AGCC Summer'!F24+6*'AGCC Winter'!F24</f>
        <v>153.20653190831621</v>
      </c>
      <c r="G24" s="35">
        <f>6*'AGCC Summer'!G24+6*'AGCC Winter'!G24</f>
        <v>81.848763642392072</v>
      </c>
      <c r="H24" s="35">
        <f>6*'AGCC Summer'!H24+6*'AGCC Winter'!H24</f>
        <v>82.763176199749566</v>
      </c>
      <c r="I24" s="36">
        <f>6*'AGCC Summer'!I24+6*'AGCC Winter'!I24</f>
        <v>81.848763642392072</v>
      </c>
      <c r="K24" s="27">
        <f>6*'AGCC Summer'!K24+6*'AGCC Winter'!K24</f>
        <v>143.19256851614554</v>
      </c>
      <c r="L24" s="12">
        <f>6*'AGCC Summer'!L24+6*'AGCC Winter'!L24</f>
        <v>60.3</v>
      </c>
      <c r="M24" s="12">
        <f>6*'AGCC Summer'!M24+6*'AGCC Winter'!M24</f>
        <v>61.077229366767511</v>
      </c>
      <c r="N24" s="28">
        <f>6*'AGCC Summer'!N24+6*'AGCC Winter'!N24</f>
        <v>60.3</v>
      </c>
      <c r="O24" s="23"/>
      <c r="P24" s="23"/>
      <c r="Q24" s="23"/>
      <c r="R24" s="23"/>
      <c r="S24" s="11"/>
    </row>
    <row r="25" spans="1:19" x14ac:dyDescent="0.25">
      <c r="A25" s="40">
        <f>'ICAP Prices'!A28</f>
        <v>2044</v>
      </c>
      <c r="B25" s="34">
        <f>6*'AGCC Summer'!B25+6*'AGCC Winter'!B25</f>
        <v>142.23867519361522</v>
      </c>
      <c r="C25" s="35">
        <f>6*'AGCC Summer'!C25+6*'AGCC Winter'!C25</f>
        <v>75.955652660139862</v>
      </c>
      <c r="D25" s="35">
        <f>6*'AGCC Summer'!D25+6*'AGCC Winter'!D25</f>
        <v>78.366768617233959</v>
      </c>
      <c r="E25" s="35">
        <f>6*'AGCC Summer'!E25+6*'AGCC Winter'!E25</f>
        <v>75.955652660139862</v>
      </c>
      <c r="F25" s="34">
        <f>6*'AGCC Summer'!F25+6*'AGCC Winter'!F25</f>
        <v>153.27443447587848</v>
      </c>
      <c r="G25" s="35">
        <f>6*'AGCC Summer'!G25+6*'AGCC Winter'!G25</f>
        <v>81.848763642392072</v>
      </c>
      <c r="H25" s="35">
        <f>6*'AGCC Summer'!H25+6*'AGCC Winter'!H25</f>
        <v>84.446948940984868</v>
      </c>
      <c r="I25" s="36">
        <f>6*'AGCC Summer'!I25+6*'AGCC Winter'!I25</f>
        <v>81.848763642392072</v>
      </c>
      <c r="K25" s="27">
        <f>6*'AGCC Summer'!K25+6*'AGCC Winter'!K25</f>
        <v>143.26620431557055</v>
      </c>
      <c r="L25" s="12">
        <f>6*'AGCC Summer'!L25+6*'AGCC Winter'!L25</f>
        <v>60.3</v>
      </c>
      <c r="M25" s="12">
        <f>6*'AGCC Summer'!M25+6*'AGCC Winter'!M25</f>
        <v>62.522215783590426</v>
      </c>
      <c r="N25" s="28">
        <f>6*'AGCC Summer'!N25+6*'AGCC Winter'!N25</f>
        <v>60.3</v>
      </c>
      <c r="O25" s="23"/>
      <c r="P25" s="23"/>
      <c r="Q25" s="23"/>
      <c r="R25" s="23"/>
      <c r="S25" s="11"/>
    </row>
    <row r="26" spans="1:19" ht="15.75" thickBot="1" x14ac:dyDescent="0.3">
      <c r="A26" s="40">
        <f>'ICAP Prices'!A29</f>
        <v>2045</v>
      </c>
      <c r="B26" s="37">
        <f>6*'AGCC Summer'!B26+6*'AGCC Winter'!B26</f>
        <v>142.29070079865647</v>
      </c>
      <c r="C26" s="38">
        <f>6*'AGCC Summer'!C26+6*'AGCC Winter'!C26</f>
        <v>75.955652660139862</v>
      </c>
      <c r="D26" s="38">
        <f>6*'AGCC Summer'!D26+6*'AGCC Winter'!D26</f>
        <v>79.85004740865412</v>
      </c>
      <c r="E26" s="38">
        <f>6*'AGCC Summer'!E26+6*'AGCC Winter'!E26</f>
        <v>75.955652660139862</v>
      </c>
      <c r="F26" s="37">
        <f>6*'AGCC Summer'!F26+6*'AGCC Winter'!F26</f>
        <v>153.33049655027637</v>
      </c>
      <c r="G26" s="38">
        <f>6*'AGCC Summer'!G26+6*'AGCC Winter'!G26</f>
        <v>81.848763642392072</v>
      </c>
      <c r="H26" s="38">
        <f>6*'AGCC Summer'!H26+6*'AGCC Winter'!H26</f>
        <v>86.045309707601405</v>
      </c>
      <c r="I26" s="39">
        <f>6*'AGCC Summer'!I26+6*'AGCC Winter'!I26</f>
        <v>81.848763642392072</v>
      </c>
      <c r="K26" s="29">
        <f>6*'AGCC Summer'!K26+6*'AGCC Winter'!K26</f>
        <v>143.32701284344415</v>
      </c>
      <c r="L26" s="13">
        <f>6*'AGCC Summer'!L26+6*'AGCC Winter'!L26</f>
        <v>60.3</v>
      </c>
      <c r="M26" s="13">
        <f>6*'AGCC Summer'!M26+6*'AGCC Winter'!M26</f>
        <v>63.911002992376027</v>
      </c>
      <c r="N26" s="30">
        <f>6*'AGCC Summer'!N26+6*'AGCC Winter'!N26</f>
        <v>60.3</v>
      </c>
      <c r="O26" s="23"/>
      <c r="P26" s="23"/>
      <c r="Q26" s="23"/>
      <c r="R26" s="23"/>
      <c r="S26" s="11"/>
    </row>
    <row r="27" spans="1:19" x14ac:dyDescent="0.25">
      <c r="O27" s="11"/>
      <c r="P27" s="11"/>
      <c r="Q27" s="11"/>
      <c r="R27" s="11"/>
      <c r="S27" s="11"/>
    </row>
    <row r="28" spans="1:19" x14ac:dyDescent="0.25">
      <c r="A28" t="s">
        <v>239</v>
      </c>
      <c r="O28" s="11"/>
      <c r="P28" s="11"/>
      <c r="Q28" s="11"/>
      <c r="R28" s="11"/>
      <c r="S28" s="11"/>
    </row>
    <row r="29" spans="1:19" x14ac:dyDescent="0.25">
      <c r="A29" t="s">
        <v>67</v>
      </c>
      <c r="O29" s="11"/>
      <c r="P29" s="11"/>
      <c r="Q29" s="11"/>
      <c r="R29" s="11"/>
      <c r="S29" s="11"/>
    </row>
    <row r="30" spans="1:19" x14ac:dyDescent="0.25">
      <c r="B30" t="s">
        <v>65</v>
      </c>
      <c r="E30" s="2">
        <v>7.1999999999999995E-2</v>
      </c>
      <c r="O30" s="11"/>
      <c r="P30" s="11"/>
      <c r="Q30" s="11"/>
      <c r="R30" s="11"/>
      <c r="S30" s="11"/>
    </row>
    <row r="31" spans="1:19" x14ac:dyDescent="0.25">
      <c r="O31" s="11"/>
      <c r="P31" s="11"/>
      <c r="Q31" s="11"/>
      <c r="R31" s="11"/>
      <c r="S31" s="11"/>
    </row>
    <row r="32" spans="1:19" x14ac:dyDescent="0.25">
      <c r="A32" t="s">
        <v>69</v>
      </c>
      <c r="B32" s="4"/>
      <c r="C32" s="4"/>
      <c r="D32" s="4"/>
      <c r="E32" s="4"/>
      <c r="F32" s="4"/>
      <c r="O32" s="11"/>
      <c r="P32" s="11"/>
      <c r="Q32" s="11"/>
      <c r="R32" s="11"/>
      <c r="S32" s="11"/>
    </row>
    <row r="33" spans="1:19" x14ac:dyDescent="0.25">
      <c r="A33" t="s">
        <v>48</v>
      </c>
      <c r="G33" s="4"/>
      <c r="H33" s="4"/>
      <c r="I33" s="4"/>
      <c r="O33" s="11"/>
      <c r="P33" s="11"/>
      <c r="Q33" s="11"/>
      <c r="R33" s="11"/>
      <c r="S33" s="11"/>
    </row>
    <row r="34" spans="1:19" x14ac:dyDescent="0.25">
      <c r="A34" t="s">
        <v>64</v>
      </c>
    </row>
    <row r="35" spans="1:19" x14ac:dyDescent="0.25">
      <c r="A35" t="s">
        <v>49</v>
      </c>
    </row>
    <row r="36" spans="1:19" x14ac:dyDescent="0.25">
      <c r="A36" t="s">
        <v>91</v>
      </c>
    </row>
    <row r="38" spans="1:19" x14ac:dyDescent="0.25">
      <c r="A38" t="s">
        <v>240</v>
      </c>
    </row>
    <row r="39" spans="1:19" x14ac:dyDescent="0.25">
      <c r="B39" t="s">
        <v>5</v>
      </c>
      <c r="C39" t="s">
        <v>36</v>
      </c>
      <c r="D39" t="s">
        <v>37</v>
      </c>
      <c r="E39" t="s">
        <v>93</v>
      </c>
    </row>
    <row r="40" spans="1:19" x14ac:dyDescent="0.25">
      <c r="B40" s="1">
        <f>'DC Model'!E12</f>
        <v>17.37</v>
      </c>
      <c r="C40" s="1">
        <f>'DC Model'!H12</f>
        <v>6.15</v>
      </c>
      <c r="D40" s="1">
        <f>'DC Model'!K12</f>
        <v>6.8</v>
      </c>
      <c r="E40" s="1">
        <f>'DC Model'!N12</f>
        <v>5.72</v>
      </c>
      <c r="F40" s="1"/>
      <c r="G40" s="1"/>
      <c r="H40" s="1"/>
      <c r="I40" s="1"/>
    </row>
    <row r="42" spans="1:19" x14ac:dyDescent="0.25">
      <c r="A42" t="s">
        <v>241</v>
      </c>
    </row>
    <row r="43" spans="1:19" x14ac:dyDescent="0.25">
      <c r="B43" t="s">
        <v>5</v>
      </c>
      <c r="C43" t="s">
        <v>36</v>
      </c>
      <c r="D43" t="s">
        <v>37</v>
      </c>
      <c r="E43" t="s">
        <v>94</v>
      </c>
    </row>
    <row r="44" spans="1:19" x14ac:dyDescent="0.25">
      <c r="B44" s="19">
        <f>'DC Model'!D6</f>
        <v>0.78500000000000003</v>
      </c>
      <c r="C44" s="19">
        <f>'DC Model'!G6</f>
        <v>0.78800000000000003</v>
      </c>
      <c r="D44" s="19">
        <f>'DC Model'!J6</f>
        <v>1.0649999999999999</v>
      </c>
      <c r="E44" s="19">
        <f>'DC Model'!M6</f>
        <v>1.244</v>
      </c>
      <c r="F44" s="19"/>
      <c r="G44" s="19"/>
      <c r="H44" s="19"/>
      <c r="I44" s="19"/>
    </row>
    <row r="49" spans="2:9" x14ac:dyDescent="0.25">
      <c r="B49" s="20"/>
      <c r="C49" s="20"/>
      <c r="D49" s="20"/>
      <c r="E49" s="20"/>
      <c r="F49" s="20"/>
      <c r="G49" s="20"/>
      <c r="H49" s="20"/>
      <c r="I49" s="20"/>
    </row>
  </sheetData>
  <pageMargins left="0.7" right="0.7" top="0.75" bottom="0.75" header="0.3" footer="0.3"/>
  <pageSetup scale="78" pageOrder="overThenDown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pageSetUpPr fitToPage="1"/>
  </sheetPr>
  <dimension ref="A1:R57"/>
  <sheetViews>
    <sheetView zoomScale="80" zoomScaleNormal="80" workbookViewId="0"/>
  </sheetViews>
  <sheetFormatPr defaultColWidth="8.85546875" defaultRowHeight="15" x14ac:dyDescent="0.25"/>
  <cols>
    <col min="1" max="1" width="12.42578125" customWidth="1"/>
  </cols>
  <sheetData>
    <row r="1" spans="1:18" x14ac:dyDescent="0.25">
      <c r="A1" t="s">
        <v>77</v>
      </c>
    </row>
    <row r="3" spans="1:18" x14ac:dyDescent="0.25">
      <c r="B3" t="s">
        <v>3</v>
      </c>
      <c r="J3" t="s">
        <v>4</v>
      </c>
      <c r="R3" t="s">
        <v>81</v>
      </c>
    </row>
    <row r="4" spans="1:18" x14ac:dyDescent="0.25">
      <c r="A4" t="s">
        <v>42</v>
      </c>
      <c r="B4" t="s">
        <v>18</v>
      </c>
      <c r="C4" t="s">
        <v>41</v>
      </c>
      <c r="D4" t="s">
        <v>2</v>
      </c>
      <c r="E4" t="s">
        <v>15</v>
      </c>
      <c r="F4" t="s">
        <v>92</v>
      </c>
      <c r="G4" t="s">
        <v>84</v>
      </c>
      <c r="H4" t="s">
        <v>79</v>
      </c>
      <c r="J4" t="s">
        <v>18</v>
      </c>
      <c r="K4" t="s">
        <v>41</v>
      </c>
      <c r="L4" t="s">
        <v>2</v>
      </c>
      <c r="M4" t="s">
        <v>15</v>
      </c>
      <c r="N4" t="s">
        <v>92</v>
      </c>
      <c r="O4" t="s">
        <v>84</v>
      </c>
      <c r="P4" t="s">
        <v>79</v>
      </c>
      <c r="R4" t="s">
        <v>80</v>
      </c>
    </row>
    <row r="5" spans="1:18" x14ac:dyDescent="0.25">
      <c r="A5" t="s">
        <v>248</v>
      </c>
      <c r="B5">
        <f>'ICAP 2025'!O10</f>
        <v>19928</v>
      </c>
      <c r="C5">
        <f>'ICAP 2025'!H10+'ICAP 2025'!I10+'ICAP 2025'!J10</f>
        <v>4848.1000000000004</v>
      </c>
      <c r="D5">
        <f>'ICAP 2025'!K10</f>
        <v>9183.4000000000015</v>
      </c>
      <c r="E5">
        <f>'ICAP 2025'!L10</f>
        <v>5886.1</v>
      </c>
      <c r="F5">
        <f>C5+D5</f>
        <v>14031.500000000002</v>
      </c>
      <c r="G5">
        <v>1768.7</v>
      </c>
      <c r="H5" s="18">
        <f>B5+C5+D5+E5+G5-UDRsSummer</f>
        <v>40954.299999999996</v>
      </c>
      <c r="J5">
        <f>'ICAP 2025'!O16</f>
        <v>20636.300000000007</v>
      </c>
      <c r="K5">
        <f>'ICAP 2025'!H16+'ICAP 2025'!I16+'ICAP 2025'!J16</f>
        <v>5051.5</v>
      </c>
      <c r="L5">
        <f>'ICAP 2025'!K16</f>
        <v>9649.5</v>
      </c>
      <c r="M5">
        <f>'ICAP 2025'!L16</f>
        <v>6319.8</v>
      </c>
      <c r="N5">
        <f>K5+L5</f>
        <v>14701</v>
      </c>
      <c r="O5">
        <v>1260.8</v>
      </c>
      <c r="P5">
        <f t="shared" ref="P5:P26" si="0">J5+K5+L5+M5+O5-UDRsWinter</f>
        <v>42257.900000000009</v>
      </c>
    </row>
    <row r="6" spans="1:18" x14ac:dyDescent="0.25">
      <c r="A6">
        <v>2025</v>
      </c>
      <c r="B6">
        <f>SUM(B$5,B$37:B37)</f>
        <v>19926.191999999999</v>
      </c>
      <c r="C6">
        <f>SUM(C$5,C$37:C37)</f>
        <v>4851.799</v>
      </c>
      <c r="D6">
        <f>SUM(D$5,D$37:D37)</f>
        <v>9157.2000000000007</v>
      </c>
      <c r="E6">
        <f>SUM(E$5,E$37:E37)</f>
        <v>5769.3</v>
      </c>
      <c r="F6">
        <f t="shared" ref="F6:F26" si="1">C6+D6-R6*D$31</f>
        <v>14008.999</v>
      </c>
      <c r="G6">
        <v>1768.7</v>
      </c>
      <c r="H6" s="18">
        <f t="shared" ref="H6:H26" si="2">B6+C6+D6+E6+G6-UDRsSummer</f>
        <v>40813.190999999999</v>
      </c>
      <c r="J6">
        <f>SUM(J$5,I$37:I37)</f>
        <v>20780.244000000006</v>
      </c>
      <c r="K6">
        <f>SUM(K$5,J$37:J37)</f>
        <v>5055.1989999999996</v>
      </c>
      <c r="L6">
        <f>SUM(L$5,K$37:K37)</f>
        <v>9627.1795000000002</v>
      </c>
      <c r="M6">
        <f>SUM(M$5,L$37:L37)</f>
        <v>6181.2</v>
      </c>
      <c r="N6">
        <f>K6+L6-R6*D$31</f>
        <v>14682.378499999999</v>
      </c>
      <c r="O6">
        <v>1260.8</v>
      </c>
      <c r="P6">
        <f>J6+K6+L6+M6+O6-UDRsWinter</f>
        <v>42244.622500000005</v>
      </c>
      <c r="R6" s="64"/>
    </row>
    <row r="7" spans="1:18" x14ac:dyDescent="0.25">
      <c r="A7">
        <f t="shared" ref="A7:A26" si="3">1+A6</f>
        <v>2026</v>
      </c>
      <c r="B7">
        <f>SUM(B$5,B$37:B38)</f>
        <v>20087.856</v>
      </c>
      <c r="C7">
        <f>SUM(C$5,C$37:C38)</f>
        <v>4844.4290000000001</v>
      </c>
      <c r="D7">
        <f>SUM(D$5,D$37:D38)</f>
        <v>8676.8095000000012</v>
      </c>
      <c r="E7">
        <f>SUM(E$5,E$37:E38)</f>
        <v>6156.0511200000001</v>
      </c>
      <c r="F7">
        <f t="shared" si="1"/>
        <v>13521.238500000001</v>
      </c>
      <c r="G7" s="18">
        <v>3405</v>
      </c>
      <c r="H7" s="18">
        <f t="shared" si="2"/>
        <v>42510.145619999996</v>
      </c>
      <c r="J7">
        <f>SUM(J$5,I$37:I38)</f>
        <v>21110.006800000006</v>
      </c>
      <c r="K7">
        <f>SUM(K$5,J$37:J38)</f>
        <v>5042.3289999999997</v>
      </c>
      <c r="L7">
        <f>SUM(L$5,K$37:K38)</f>
        <v>10036.86384</v>
      </c>
      <c r="M7">
        <f>SUM(M$5,L$37:L38)</f>
        <v>6676.8071199999995</v>
      </c>
      <c r="N7">
        <f t="shared" ref="N7:N26" si="4">K7+L7-R7*D$31</f>
        <v>15079.19284</v>
      </c>
      <c r="O7">
        <v>1272.2</v>
      </c>
      <c r="P7">
        <f t="shared" si="0"/>
        <v>43478.206760000001</v>
      </c>
      <c r="R7" s="64"/>
    </row>
    <row r="8" spans="1:18" x14ac:dyDescent="0.25">
      <c r="A8">
        <f t="shared" si="3"/>
        <v>2027</v>
      </c>
      <c r="B8">
        <f>SUM(B$5,B$37:B39)</f>
        <v>20527.166799999999</v>
      </c>
      <c r="C8">
        <f>SUM(C$5,C$37:C39)</f>
        <v>4844.4290000000001</v>
      </c>
      <c r="D8">
        <f>SUM(D$5,D$37:D39)</f>
        <v>9114.2149300000019</v>
      </c>
      <c r="E8">
        <f>SUM(E$5,E$37:E39)</f>
        <v>6322.4583199999997</v>
      </c>
      <c r="F8">
        <f t="shared" si="1"/>
        <v>13958.643930000002</v>
      </c>
      <c r="G8" s="18">
        <v>3485.7</v>
      </c>
      <c r="H8" s="18">
        <f t="shared" si="2"/>
        <v>43633.969049999992</v>
      </c>
      <c r="J8">
        <f>SUM(J$5,I$37:I39)</f>
        <v>21685.209680000007</v>
      </c>
      <c r="K8">
        <f>SUM(K$5,J$37:J39)</f>
        <v>5275.8789999999999</v>
      </c>
      <c r="L8">
        <f>SUM(L$5,K$37:K39)</f>
        <v>10378.70493</v>
      </c>
      <c r="M8">
        <f>SUM(M$5,L$37:L39)</f>
        <v>6912.6816799999997</v>
      </c>
      <c r="N8">
        <f t="shared" si="4"/>
        <v>15654.583930000001</v>
      </c>
      <c r="O8">
        <v>1352.9</v>
      </c>
      <c r="P8">
        <f t="shared" si="0"/>
        <v>44945.375290000011</v>
      </c>
      <c r="R8" s="64"/>
    </row>
    <row r="9" spans="1:18" x14ac:dyDescent="0.25">
      <c r="A9">
        <f t="shared" si="3"/>
        <v>2028</v>
      </c>
      <c r="B9">
        <f>SUM(B$5,B$37:B40)</f>
        <v>21317.041519999999</v>
      </c>
      <c r="C9">
        <f>SUM(C$5,C$37:C40)</f>
        <v>5080.4449999999997</v>
      </c>
      <c r="D9">
        <f>SUM(D$5,D$37:D40)</f>
        <v>9412.5504000000019</v>
      </c>
      <c r="E9">
        <f>SUM(E$5,E$37:E40)</f>
        <v>6500.7816800000001</v>
      </c>
      <c r="F9">
        <f t="shared" si="1"/>
        <v>14492.995400000002</v>
      </c>
      <c r="G9" s="18">
        <v>3486.3</v>
      </c>
      <c r="H9" s="18">
        <f t="shared" si="2"/>
        <v>45137.118600000002</v>
      </c>
      <c r="J9">
        <f>SUM(J$5,I$37:I40)</f>
        <v>22289.814120000006</v>
      </c>
      <c r="K9">
        <f>SUM(K$5,J$37:J40)</f>
        <v>5439.4750000000004</v>
      </c>
      <c r="L9">
        <f>SUM(L$5,K$37:K40)</f>
        <v>10441.4504</v>
      </c>
      <c r="M9">
        <f>SUM(M$5,L$37:L40)</f>
        <v>6912.6816799999997</v>
      </c>
      <c r="N9">
        <f t="shared" si="4"/>
        <v>15880.9254</v>
      </c>
      <c r="O9">
        <v>1353.5</v>
      </c>
      <c r="P9">
        <f t="shared" si="0"/>
        <v>45776.921200000012</v>
      </c>
    </row>
    <row r="10" spans="1:18" x14ac:dyDescent="0.25">
      <c r="A10">
        <f t="shared" si="3"/>
        <v>2029</v>
      </c>
      <c r="B10">
        <f>SUM(B$5,B$37:B41)</f>
        <v>21581.51412</v>
      </c>
      <c r="C10">
        <f>SUM(C$5,C$37:C41)</f>
        <v>5241.5749999999998</v>
      </c>
      <c r="D10">
        <f>SUM(D$5,D$37:D41)</f>
        <v>9412.5504000000019</v>
      </c>
      <c r="E10">
        <f>SUM(E$5,E$37:E41)</f>
        <v>6500.7816800000001</v>
      </c>
      <c r="F10">
        <f t="shared" si="1"/>
        <v>14654.125400000001</v>
      </c>
      <c r="G10" s="18">
        <v>3486.3</v>
      </c>
      <c r="H10" s="18">
        <f t="shared" si="2"/>
        <v>45562.721200000007</v>
      </c>
      <c r="J10">
        <f>SUM(J$5,I$37:I41)</f>
        <v>22289.814120000006</v>
      </c>
      <c r="K10">
        <f>SUM(K$5,J$37:J41)</f>
        <v>5439.4750000000004</v>
      </c>
      <c r="L10">
        <f>SUM(L$5,K$37:K41)</f>
        <v>10441.4504</v>
      </c>
      <c r="M10">
        <f>SUM(M$5,L$37:L41)</f>
        <v>6912.6816799999997</v>
      </c>
      <c r="N10">
        <f t="shared" si="4"/>
        <v>15880.9254</v>
      </c>
      <c r="O10" s="110">
        <v>1353.5</v>
      </c>
      <c r="P10">
        <f t="shared" si="0"/>
        <v>45776.921200000012</v>
      </c>
    </row>
    <row r="11" spans="1:18" x14ac:dyDescent="0.25">
      <c r="A11">
        <f t="shared" si="3"/>
        <v>2030</v>
      </c>
      <c r="B11">
        <f>SUM(B$5,B$37:B42)</f>
        <v>21581.51412</v>
      </c>
      <c r="C11">
        <f>SUM(C$5,C$37:C42)</f>
        <v>5241.5749999999998</v>
      </c>
      <c r="D11">
        <f>SUM(D$5,D$37:D42)</f>
        <v>9412.5504000000019</v>
      </c>
      <c r="E11">
        <f>SUM(E$5,E$37:E42)</f>
        <v>6500.7816800000001</v>
      </c>
      <c r="F11">
        <f t="shared" si="1"/>
        <v>14654.125400000001</v>
      </c>
      <c r="G11" s="18">
        <v>3486.3</v>
      </c>
      <c r="H11" s="18">
        <f t="shared" si="2"/>
        <v>45562.721200000007</v>
      </c>
      <c r="J11">
        <f>SUM(J$5,I$37:I42)</f>
        <v>22289.814120000006</v>
      </c>
      <c r="K11">
        <f>SUM(K$5,J$37:J42)</f>
        <v>5439.4750000000004</v>
      </c>
      <c r="L11">
        <f>SUM(L$5,K$37:K42)</f>
        <v>10029.850399999999</v>
      </c>
      <c r="M11">
        <f>SUM(M$5,L$37:L42)</f>
        <v>6866.6816799999997</v>
      </c>
      <c r="N11">
        <f t="shared" si="4"/>
        <v>15469.3254</v>
      </c>
      <c r="O11" s="110">
        <v>1353.5</v>
      </c>
      <c r="P11">
        <f t="shared" si="0"/>
        <v>45319.321200000013</v>
      </c>
    </row>
    <row r="12" spans="1:18" x14ac:dyDescent="0.25">
      <c r="A12">
        <f t="shared" si="3"/>
        <v>2031</v>
      </c>
      <c r="B12">
        <f>SUM(B$5,B$37:B43)</f>
        <v>21581.51412</v>
      </c>
      <c r="C12">
        <f>SUM(C$5,C$37:C43)</f>
        <v>5241.5749999999998</v>
      </c>
      <c r="D12">
        <f>SUM(D$5,D$37:D43)</f>
        <v>9003.3504000000012</v>
      </c>
      <c r="E12">
        <f>SUM(E$5,E$37:E43)</f>
        <v>6455.7816800000001</v>
      </c>
      <c r="F12">
        <f t="shared" si="1"/>
        <v>14244.9254</v>
      </c>
      <c r="G12" s="18">
        <v>3486.3</v>
      </c>
      <c r="H12" s="18">
        <f t="shared" si="2"/>
        <v>45108.521200000003</v>
      </c>
      <c r="J12">
        <f>SUM(J$5,I$37:I43)</f>
        <v>22289.814120000006</v>
      </c>
      <c r="K12">
        <f>SUM(K$5,J$37:J43)</f>
        <v>5439.4750000000004</v>
      </c>
      <c r="L12">
        <f>SUM(L$5,K$37:K43)</f>
        <v>10029.850399999999</v>
      </c>
      <c r="M12">
        <f>SUM(M$5,L$37:L43)</f>
        <v>6866.6816799999997</v>
      </c>
      <c r="N12">
        <f t="shared" si="4"/>
        <v>15469.3254</v>
      </c>
      <c r="O12" s="110">
        <v>1353.5</v>
      </c>
      <c r="P12">
        <f t="shared" si="0"/>
        <v>45319.321200000013</v>
      </c>
    </row>
    <row r="13" spans="1:18" x14ac:dyDescent="0.25">
      <c r="A13">
        <f t="shared" si="3"/>
        <v>2032</v>
      </c>
      <c r="B13">
        <f>SUM(B$5,B$37:B44)</f>
        <v>21581.51412</v>
      </c>
      <c r="C13">
        <f>SUM(C$5,C$37:C44)</f>
        <v>5241.5749999999998</v>
      </c>
      <c r="D13">
        <f>SUM(D$5,D$37:D44)</f>
        <v>9003.3504000000012</v>
      </c>
      <c r="E13">
        <f>SUM(E$5,E$37:E44)</f>
        <v>6455.7816800000001</v>
      </c>
      <c r="F13">
        <f t="shared" si="1"/>
        <v>14244.9254</v>
      </c>
      <c r="G13" s="18">
        <v>3486.3</v>
      </c>
      <c r="H13" s="18">
        <f t="shared" si="2"/>
        <v>45108.521200000003</v>
      </c>
      <c r="J13">
        <f>SUM(J$5,I$37:I44)</f>
        <v>22289.814120000006</v>
      </c>
      <c r="K13">
        <f>SUM(K$5,J$37:J44)</f>
        <v>5439.4750000000004</v>
      </c>
      <c r="L13">
        <f>SUM(L$5,K$37:K44)</f>
        <v>10029.850399999999</v>
      </c>
      <c r="M13">
        <f>SUM(M$5,L$37:L44)</f>
        <v>6866.6816799999997</v>
      </c>
      <c r="N13">
        <f t="shared" si="4"/>
        <v>15469.3254</v>
      </c>
      <c r="O13" s="110">
        <v>1353.5</v>
      </c>
      <c r="P13">
        <f t="shared" si="0"/>
        <v>45319.321200000013</v>
      </c>
    </row>
    <row r="14" spans="1:18" x14ac:dyDescent="0.25">
      <c r="A14">
        <f t="shared" si="3"/>
        <v>2033</v>
      </c>
      <c r="B14">
        <f>SUM(B$5,B$37:B45)</f>
        <v>21581.51412</v>
      </c>
      <c r="C14">
        <f>SUM(C$5,C$37:C45)</f>
        <v>5241.5749999999998</v>
      </c>
      <c r="D14">
        <f>SUM(D$5,D$37:D45)</f>
        <v>9003.3504000000012</v>
      </c>
      <c r="E14">
        <f>SUM(E$5,E$37:E45)</f>
        <v>6455.7816800000001</v>
      </c>
      <c r="F14">
        <f t="shared" si="1"/>
        <v>14244.9254</v>
      </c>
      <c r="G14" s="18">
        <v>3486.3</v>
      </c>
      <c r="H14" s="18">
        <f t="shared" si="2"/>
        <v>45108.521200000003</v>
      </c>
      <c r="J14">
        <f>SUM(J$5,I$37:I45)</f>
        <v>22289.814120000006</v>
      </c>
      <c r="K14">
        <f>SUM(K$5,J$37:J45)</f>
        <v>5439.4750000000004</v>
      </c>
      <c r="L14">
        <f>SUM(L$5,K$37:K45)</f>
        <v>10029.850399999999</v>
      </c>
      <c r="M14">
        <f>SUM(M$5,L$37:L45)</f>
        <v>6866.6816799999997</v>
      </c>
      <c r="N14">
        <f t="shared" si="4"/>
        <v>15469.3254</v>
      </c>
      <c r="O14" s="110">
        <v>1353.5</v>
      </c>
      <c r="P14">
        <f t="shared" si="0"/>
        <v>45319.321200000013</v>
      </c>
    </row>
    <row r="15" spans="1:18" x14ac:dyDescent="0.25">
      <c r="A15">
        <f t="shared" si="3"/>
        <v>2034</v>
      </c>
      <c r="B15">
        <f>SUM(B$5,B$37:B46)</f>
        <v>21581.51412</v>
      </c>
      <c r="C15">
        <f>SUM(C$5,C$37:C46)</f>
        <v>5241.5749999999998</v>
      </c>
      <c r="D15">
        <f>SUM(D$5,D$37:D46)</f>
        <v>9003.3504000000012</v>
      </c>
      <c r="E15">
        <f>SUM(E$5,E$37:E46)</f>
        <v>6455.7816800000001</v>
      </c>
      <c r="F15">
        <f t="shared" si="1"/>
        <v>14244.9254</v>
      </c>
      <c r="G15" s="18">
        <v>3486.3</v>
      </c>
      <c r="H15" s="18">
        <f t="shared" si="2"/>
        <v>45108.521200000003</v>
      </c>
      <c r="J15">
        <f>SUM(J$5,I$37:I46)</f>
        <v>22289.814120000006</v>
      </c>
      <c r="K15">
        <f>SUM(K$5,J$37:J46)</f>
        <v>5439.4750000000004</v>
      </c>
      <c r="L15">
        <f>SUM(L$5,K$37:K46)</f>
        <v>10029.850399999999</v>
      </c>
      <c r="M15">
        <f>SUM(M$5,L$37:L46)</f>
        <v>6866.6816799999997</v>
      </c>
      <c r="N15">
        <f t="shared" si="4"/>
        <v>15469.3254</v>
      </c>
      <c r="O15" s="110">
        <v>1353.5</v>
      </c>
      <c r="P15">
        <f t="shared" si="0"/>
        <v>45319.321200000013</v>
      </c>
    </row>
    <row r="16" spans="1:18" x14ac:dyDescent="0.25">
      <c r="A16">
        <f t="shared" si="3"/>
        <v>2035</v>
      </c>
      <c r="B16">
        <f>SUM(B$5,B$37:B47)</f>
        <v>21581.51412</v>
      </c>
      <c r="C16">
        <f>SUM(C$5,C$37:C47)</f>
        <v>5241.5749999999998</v>
      </c>
      <c r="D16">
        <f>SUM(D$5,D$37:D47)</f>
        <v>9003.3504000000012</v>
      </c>
      <c r="E16">
        <f>SUM(E$5,E$37:E47)</f>
        <v>6455.7816800000001</v>
      </c>
      <c r="F16">
        <f t="shared" si="1"/>
        <v>14244.9254</v>
      </c>
      <c r="G16" s="18">
        <v>3486.3</v>
      </c>
      <c r="H16" s="18">
        <f t="shared" si="2"/>
        <v>45108.521200000003</v>
      </c>
      <c r="J16">
        <f>SUM(J$5,I$37:I47)</f>
        <v>22289.814120000006</v>
      </c>
      <c r="K16">
        <f>SUM(K$5,J$37:J47)</f>
        <v>5439.4750000000004</v>
      </c>
      <c r="L16">
        <f>SUM(L$5,K$37:K47)</f>
        <v>10029.850399999999</v>
      </c>
      <c r="M16">
        <f>SUM(M$5,L$37:L47)</f>
        <v>6866.6816799999997</v>
      </c>
      <c r="N16">
        <f t="shared" si="4"/>
        <v>15469.3254</v>
      </c>
      <c r="O16" s="110">
        <v>1353.5</v>
      </c>
      <c r="P16">
        <f t="shared" si="0"/>
        <v>45319.321200000013</v>
      </c>
    </row>
    <row r="17" spans="1:16" x14ac:dyDescent="0.25">
      <c r="A17">
        <f t="shared" si="3"/>
        <v>2036</v>
      </c>
      <c r="B17">
        <f>SUM(B$5,B$37:B48)</f>
        <v>21581.51412</v>
      </c>
      <c r="C17">
        <f>SUM(C$5,C$37:C48)</f>
        <v>5241.5749999999998</v>
      </c>
      <c r="D17">
        <f>SUM(D$5,D$37:D48)</f>
        <v>9003.3504000000012</v>
      </c>
      <c r="E17">
        <f>SUM(E$5,E$37:E48)</f>
        <v>6455.7816800000001</v>
      </c>
      <c r="F17">
        <f t="shared" si="1"/>
        <v>14244.9254</v>
      </c>
      <c r="G17" s="18">
        <v>3486.3</v>
      </c>
      <c r="H17" s="18">
        <f t="shared" si="2"/>
        <v>45108.521200000003</v>
      </c>
      <c r="J17">
        <f>SUM(J$5,I$37:I48)</f>
        <v>22289.814120000006</v>
      </c>
      <c r="K17">
        <f>SUM(K$5,J$37:J48)</f>
        <v>5439.4750000000004</v>
      </c>
      <c r="L17">
        <f>SUM(L$5,K$37:K48)</f>
        <v>10029.850399999999</v>
      </c>
      <c r="M17">
        <f>SUM(M$5,L$37:L48)</f>
        <v>6866.6816799999997</v>
      </c>
      <c r="N17">
        <f t="shared" si="4"/>
        <v>15469.3254</v>
      </c>
      <c r="O17" s="110">
        <v>1353.5</v>
      </c>
      <c r="P17">
        <f t="shared" si="0"/>
        <v>45319.321200000013</v>
      </c>
    </row>
    <row r="18" spans="1:16" x14ac:dyDescent="0.25">
      <c r="A18">
        <f t="shared" si="3"/>
        <v>2037</v>
      </c>
      <c r="B18">
        <f>SUM(B$5,B$37:B49)</f>
        <v>21581.51412</v>
      </c>
      <c r="C18">
        <f>SUM(C$5,C$37:C49)</f>
        <v>5241.5749999999998</v>
      </c>
      <c r="D18">
        <f>SUM(D$5,D$37:D49)</f>
        <v>9003.3504000000012</v>
      </c>
      <c r="E18">
        <f>SUM(E$5,E$37:E49)</f>
        <v>6455.7816800000001</v>
      </c>
      <c r="F18">
        <f t="shared" si="1"/>
        <v>14244.9254</v>
      </c>
      <c r="G18" s="18">
        <v>3486.3</v>
      </c>
      <c r="H18" s="18">
        <f t="shared" si="2"/>
        <v>45108.521200000003</v>
      </c>
      <c r="J18">
        <f>SUM(J$5,I$37:I49)</f>
        <v>22289.814120000006</v>
      </c>
      <c r="K18">
        <f>SUM(K$5,J$37:J49)</f>
        <v>5439.4750000000004</v>
      </c>
      <c r="L18">
        <f>SUM(L$5,K$37:K49)</f>
        <v>10029.850399999999</v>
      </c>
      <c r="M18">
        <f>SUM(M$5,L$37:L49)</f>
        <v>6866.6816799999997</v>
      </c>
      <c r="N18">
        <f t="shared" si="4"/>
        <v>15469.3254</v>
      </c>
      <c r="O18" s="110">
        <v>1353.5</v>
      </c>
      <c r="P18">
        <f t="shared" si="0"/>
        <v>45319.321200000013</v>
      </c>
    </row>
    <row r="19" spans="1:16" x14ac:dyDescent="0.25">
      <c r="A19">
        <f t="shared" si="3"/>
        <v>2038</v>
      </c>
      <c r="B19">
        <f>SUM(B$5,B$37:B50)</f>
        <v>21581.51412</v>
      </c>
      <c r="C19">
        <f>SUM(C$5,C$37:C50)</f>
        <v>5241.5749999999998</v>
      </c>
      <c r="D19">
        <f>SUM(D$5,D$37:D50)</f>
        <v>9003.3504000000012</v>
      </c>
      <c r="E19">
        <f>SUM(E$5,E$37:E50)</f>
        <v>6455.7816800000001</v>
      </c>
      <c r="F19">
        <f t="shared" si="1"/>
        <v>14244.9254</v>
      </c>
      <c r="G19" s="18">
        <v>3486.3</v>
      </c>
      <c r="H19" s="18">
        <f t="shared" si="2"/>
        <v>45108.521200000003</v>
      </c>
      <c r="J19">
        <f>SUM(J$5,I$37:I50)</f>
        <v>22289.814120000006</v>
      </c>
      <c r="K19">
        <f>SUM(K$5,J$37:J50)</f>
        <v>5439.4750000000004</v>
      </c>
      <c r="L19">
        <f>SUM(L$5,K$37:K50)</f>
        <v>10029.850399999999</v>
      </c>
      <c r="M19">
        <f>SUM(M$5,L$37:L50)</f>
        <v>6866.6816799999997</v>
      </c>
      <c r="N19">
        <f t="shared" si="4"/>
        <v>15469.3254</v>
      </c>
      <c r="O19" s="110">
        <v>1353.5</v>
      </c>
      <c r="P19">
        <f t="shared" si="0"/>
        <v>45319.321200000013</v>
      </c>
    </row>
    <row r="20" spans="1:16" x14ac:dyDescent="0.25">
      <c r="A20">
        <f t="shared" si="3"/>
        <v>2039</v>
      </c>
      <c r="B20">
        <f>SUM(B$5,B$37:B51)</f>
        <v>21581.51412</v>
      </c>
      <c r="C20">
        <f>SUM(C$5,C$37:C51)</f>
        <v>5241.5749999999998</v>
      </c>
      <c r="D20">
        <f>SUM(D$5,D$37:D51)</f>
        <v>9003.3504000000012</v>
      </c>
      <c r="E20">
        <f>SUM(E$5,E$37:E51)</f>
        <v>6455.7816800000001</v>
      </c>
      <c r="F20">
        <f t="shared" si="1"/>
        <v>14244.9254</v>
      </c>
      <c r="G20" s="18">
        <v>3486.3</v>
      </c>
      <c r="H20" s="18">
        <f t="shared" si="2"/>
        <v>45108.521200000003</v>
      </c>
      <c r="J20">
        <f>SUM(J$5,I$37:I51)</f>
        <v>22289.814120000006</v>
      </c>
      <c r="K20">
        <f>SUM(K$5,J$37:J51)</f>
        <v>5439.4750000000004</v>
      </c>
      <c r="L20">
        <f>SUM(L$5,K$37:K51)</f>
        <v>10029.850399999999</v>
      </c>
      <c r="M20">
        <f>SUM(M$5,L$37:L51)</f>
        <v>6866.6816799999997</v>
      </c>
      <c r="N20">
        <f t="shared" si="4"/>
        <v>15469.3254</v>
      </c>
      <c r="O20" s="110">
        <v>1353.5</v>
      </c>
      <c r="P20">
        <f t="shared" si="0"/>
        <v>45319.321200000013</v>
      </c>
    </row>
    <row r="21" spans="1:16" x14ac:dyDescent="0.25">
      <c r="A21">
        <f t="shared" si="3"/>
        <v>2040</v>
      </c>
      <c r="B21">
        <f>SUM(B$5,B$37:B52)</f>
        <v>21581.51412</v>
      </c>
      <c r="C21">
        <f>SUM(C$5,C$37:C52)</f>
        <v>5241.5749999999998</v>
      </c>
      <c r="D21">
        <f>SUM(D$5,D$37:D52)</f>
        <v>9003.3504000000012</v>
      </c>
      <c r="E21">
        <f>SUM(E$5,E$37:E52)</f>
        <v>6455.7816800000001</v>
      </c>
      <c r="F21">
        <f t="shared" si="1"/>
        <v>14244.9254</v>
      </c>
      <c r="G21" s="18">
        <v>3486.3</v>
      </c>
      <c r="H21" s="18">
        <f t="shared" si="2"/>
        <v>45108.521200000003</v>
      </c>
      <c r="J21">
        <f>SUM(J$5,I$37:I52)</f>
        <v>22289.814120000006</v>
      </c>
      <c r="K21">
        <f>SUM(K$5,J$37:J52)</f>
        <v>5439.4750000000004</v>
      </c>
      <c r="L21">
        <f>SUM(L$5,K$37:K52)</f>
        <v>10029.850399999999</v>
      </c>
      <c r="M21">
        <f>SUM(M$5,L$37:L52)</f>
        <v>6866.6816799999997</v>
      </c>
      <c r="N21">
        <f t="shared" si="4"/>
        <v>15469.3254</v>
      </c>
      <c r="O21" s="110">
        <v>1353.5</v>
      </c>
      <c r="P21">
        <f t="shared" si="0"/>
        <v>45319.321200000013</v>
      </c>
    </row>
    <row r="22" spans="1:16" x14ac:dyDescent="0.25">
      <c r="A22">
        <f t="shared" si="3"/>
        <v>2041</v>
      </c>
      <c r="B22">
        <f>SUM(B$5,B$37:B53)</f>
        <v>21581.51412</v>
      </c>
      <c r="C22">
        <f>SUM(C$5,C$37:C53)</f>
        <v>5241.5749999999998</v>
      </c>
      <c r="D22">
        <f>SUM(D$5,D$37:D53)</f>
        <v>9003.3504000000012</v>
      </c>
      <c r="E22">
        <f>SUM(E$5,E$37:E53)</f>
        <v>6455.7816800000001</v>
      </c>
      <c r="F22">
        <f t="shared" si="1"/>
        <v>14244.9254</v>
      </c>
      <c r="G22" s="18">
        <v>3486.3</v>
      </c>
      <c r="H22" s="18">
        <f t="shared" si="2"/>
        <v>45108.521200000003</v>
      </c>
      <c r="J22">
        <f>SUM(J$5,I$37:I53)</f>
        <v>22289.814120000006</v>
      </c>
      <c r="K22">
        <f>SUM(K$5,J$37:J53)</f>
        <v>5439.4750000000004</v>
      </c>
      <c r="L22">
        <f>SUM(L$5,K$37:K53)</f>
        <v>10029.850399999999</v>
      </c>
      <c r="M22">
        <f>SUM(M$5,L$37:L53)</f>
        <v>6866.6816799999997</v>
      </c>
      <c r="N22">
        <f t="shared" si="4"/>
        <v>15469.3254</v>
      </c>
      <c r="O22" s="110">
        <v>1353.5</v>
      </c>
      <c r="P22">
        <f t="shared" si="0"/>
        <v>45319.321200000013</v>
      </c>
    </row>
    <row r="23" spans="1:16" x14ac:dyDescent="0.25">
      <c r="A23">
        <f t="shared" si="3"/>
        <v>2042</v>
      </c>
      <c r="B23">
        <f>SUM(B$5,B$37:B54)</f>
        <v>21581.51412</v>
      </c>
      <c r="C23">
        <f>SUM(C$5,C$37:C54)</f>
        <v>5241.5749999999998</v>
      </c>
      <c r="D23">
        <f>SUM(D$5,D$37:D54)</f>
        <v>9003.3504000000012</v>
      </c>
      <c r="E23">
        <f>SUM(E$5,E$37:E54)</f>
        <v>6455.7816800000001</v>
      </c>
      <c r="F23">
        <f t="shared" si="1"/>
        <v>14244.9254</v>
      </c>
      <c r="G23" s="18">
        <v>3486.3</v>
      </c>
      <c r="H23" s="18">
        <f t="shared" si="2"/>
        <v>45108.521200000003</v>
      </c>
      <c r="J23">
        <f>SUM(J$5,I$37:I54)</f>
        <v>22289.814120000006</v>
      </c>
      <c r="K23">
        <f>SUM(K$5,J$37:J54)</f>
        <v>5439.4750000000004</v>
      </c>
      <c r="L23">
        <f>SUM(L$5,K$37:K54)</f>
        <v>10029.850399999999</v>
      </c>
      <c r="M23">
        <f>SUM(M$5,L$37:L54)</f>
        <v>6866.6816799999997</v>
      </c>
      <c r="N23">
        <f t="shared" si="4"/>
        <v>15469.3254</v>
      </c>
      <c r="O23" s="110">
        <v>1353.5</v>
      </c>
      <c r="P23">
        <f t="shared" si="0"/>
        <v>45319.321200000013</v>
      </c>
    </row>
    <row r="24" spans="1:16" x14ac:dyDescent="0.25">
      <c r="A24">
        <f t="shared" si="3"/>
        <v>2043</v>
      </c>
      <c r="B24">
        <f>SUM(B$5,B$37:B55)</f>
        <v>21581.51412</v>
      </c>
      <c r="C24">
        <f>SUM(C$5,C$37:C55)</f>
        <v>5241.5749999999998</v>
      </c>
      <c r="D24">
        <f>SUM(D$5,D$37:D55)</f>
        <v>9003.3504000000012</v>
      </c>
      <c r="E24">
        <f>SUM(E$5,E$37:E55)</f>
        <v>6455.7816800000001</v>
      </c>
      <c r="F24">
        <f t="shared" si="1"/>
        <v>14244.9254</v>
      </c>
      <c r="G24" s="18">
        <v>3486.3</v>
      </c>
      <c r="H24" s="18">
        <f t="shared" si="2"/>
        <v>45108.521200000003</v>
      </c>
      <c r="J24">
        <f>SUM(J$5,I$37:I55)</f>
        <v>22289.814120000006</v>
      </c>
      <c r="K24">
        <f>SUM(K$5,J$37:J55)</f>
        <v>5439.4750000000004</v>
      </c>
      <c r="L24">
        <f>SUM(L$5,K$37:K55)</f>
        <v>10029.850399999999</v>
      </c>
      <c r="M24">
        <f>SUM(M$5,L$37:L55)</f>
        <v>6866.6816799999997</v>
      </c>
      <c r="N24">
        <f t="shared" si="4"/>
        <v>15469.3254</v>
      </c>
      <c r="O24" s="110">
        <v>1353.5</v>
      </c>
      <c r="P24">
        <f t="shared" si="0"/>
        <v>45319.321200000013</v>
      </c>
    </row>
    <row r="25" spans="1:16" x14ac:dyDescent="0.25">
      <c r="A25">
        <f t="shared" si="3"/>
        <v>2044</v>
      </c>
      <c r="B25">
        <f>SUM(B$5,B$37:B56)</f>
        <v>21581.51412</v>
      </c>
      <c r="C25">
        <f>SUM(C$5,C$37:C56)</f>
        <v>5241.5749999999998</v>
      </c>
      <c r="D25">
        <f>SUM(D$5,D$37:D56)</f>
        <v>9003.3504000000012</v>
      </c>
      <c r="E25">
        <f>SUM(E$5,E$37:E56)</f>
        <v>6455.7816800000001</v>
      </c>
      <c r="F25">
        <f t="shared" si="1"/>
        <v>14244.9254</v>
      </c>
      <c r="G25" s="18">
        <v>3486.3</v>
      </c>
      <c r="H25" s="18">
        <f t="shared" si="2"/>
        <v>45108.521200000003</v>
      </c>
      <c r="J25">
        <f>SUM(J$5,I$37:I56)</f>
        <v>22289.814120000006</v>
      </c>
      <c r="K25">
        <f>SUM(K$5,J$37:J56)</f>
        <v>5439.4750000000004</v>
      </c>
      <c r="L25">
        <f>SUM(L$5,K$37:K56)</f>
        <v>10029.850399999999</v>
      </c>
      <c r="M25">
        <f>SUM(M$5,L$37:L56)</f>
        <v>6866.6816799999997</v>
      </c>
      <c r="N25">
        <f t="shared" si="4"/>
        <v>15469.3254</v>
      </c>
      <c r="O25" s="110">
        <v>1353.5</v>
      </c>
      <c r="P25">
        <f t="shared" si="0"/>
        <v>45319.321200000013</v>
      </c>
    </row>
    <row r="26" spans="1:16" x14ac:dyDescent="0.25">
      <c r="A26">
        <f t="shared" si="3"/>
        <v>2045</v>
      </c>
      <c r="B26">
        <f>SUM(B$5,B$37:B57)</f>
        <v>21581.51412</v>
      </c>
      <c r="C26">
        <f>SUM(C$5,C$37:C57)</f>
        <v>5241.5749999999998</v>
      </c>
      <c r="D26">
        <f>SUM(D$5,D$37:D57)</f>
        <v>9003.3504000000012</v>
      </c>
      <c r="E26">
        <f>SUM(E$5,E$37:E57)</f>
        <v>6455.7816800000001</v>
      </c>
      <c r="F26">
        <f t="shared" si="1"/>
        <v>14244.9254</v>
      </c>
      <c r="G26" s="18">
        <v>3486.3</v>
      </c>
      <c r="H26" s="18">
        <f t="shared" si="2"/>
        <v>45108.521200000003</v>
      </c>
      <c r="J26">
        <f>SUM(J$5,I$37:I57)</f>
        <v>22289.814120000006</v>
      </c>
      <c r="K26">
        <f>SUM(K$5,J$37:J57)</f>
        <v>5439.4750000000004</v>
      </c>
      <c r="L26">
        <f>SUM(L$5,K$37:K57)</f>
        <v>10029.850399999999</v>
      </c>
      <c r="M26">
        <f>SUM(M$5,L$37:L57)</f>
        <v>6866.6816799999997</v>
      </c>
      <c r="N26">
        <f t="shared" si="4"/>
        <v>15469.3254</v>
      </c>
      <c r="O26" s="110">
        <v>1353.5</v>
      </c>
      <c r="P26">
        <f t="shared" si="0"/>
        <v>45319.321200000013</v>
      </c>
    </row>
    <row r="28" spans="1:16" x14ac:dyDescent="0.25">
      <c r="A28" s="4" t="s">
        <v>249</v>
      </c>
    </row>
    <row r="29" spans="1:16" x14ac:dyDescent="0.25">
      <c r="A29" t="s">
        <v>78</v>
      </c>
    </row>
    <row r="30" spans="1:16" x14ac:dyDescent="0.25">
      <c r="A30" s="40" t="s">
        <v>103</v>
      </c>
      <c r="H30">
        <v>0.42099999999999999</v>
      </c>
    </row>
    <row r="31" spans="1:16" x14ac:dyDescent="0.25">
      <c r="A31" s="40" t="s">
        <v>102</v>
      </c>
      <c r="D31">
        <f>1-H30</f>
        <v>0.57899999999999996</v>
      </c>
    </row>
    <row r="33" spans="1:14" x14ac:dyDescent="0.25">
      <c r="A33" t="s">
        <v>44</v>
      </c>
    </row>
    <row r="34" spans="1:14" x14ac:dyDescent="0.25">
      <c r="B34" t="s">
        <v>3</v>
      </c>
      <c r="I34" t="s">
        <v>4</v>
      </c>
    </row>
    <row r="35" spans="1:14" x14ac:dyDescent="0.25">
      <c r="A35" t="s">
        <v>42</v>
      </c>
      <c r="B35" t="s">
        <v>16</v>
      </c>
      <c r="C35" t="s">
        <v>41</v>
      </c>
      <c r="D35" t="s">
        <v>2</v>
      </c>
      <c r="E35" t="s">
        <v>15</v>
      </c>
      <c r="F35" t="s">
        <v>9</v>
      </c>
      <c r="G35" t="s">
        <v>6</v>
      </c>
      <c r="I35" t="s">
        <v>18</v>
      </c>
      <c r="J35" t="s">
        <v>41</v>
      </c>
      <c r="K35" t="s">
        <v>2</v>
      </c>
      <c r="L35" t="s">
        <v>15</v>
      </c>
      <c r="M35" t="s">
        <v>9</v>
      </c>
      <c r="N35" t="s">
        <v>6</v>
      </c>
    </row>
    <row r="37" spans="1:14" x14ac:dyDescent="0.25">
      <c r="A37">
        <v>2025</v>
      </c>
      <c r="B37">
        <f t="shared" ref="B37:B57" si="5">SUMIFS(cap,year,A37,zone,"=ROS")</f>
        <v>-1.8079999999999998</v>
      </c>
      <c r="C37">
        <f>SUMIFS(cap,year,$A37,zone,"=GHI")</f>
        <v>3.6990000000000003</v>
      </c>
      <c r="D37">
        <f t="shared" ref="D37:D57" si="6">SUMIFS(cap,year,$A37,zone,"=J")</f>
        <v>-26.200000000000003</v>
      </c>
      <c r="E37">
        <f t="shared" ref="E37:E57" si="7">SUMIFS(cap,year,$A37,zone,"=K")</f>
        <v>-116.8</v>
      </c>
      <c r="F37">
        <f>C37+D37</f>
        <v>-22.501000000000001</v>
      </c>
      <c r="G37">
        <f t="shared" ref="G37:G57" si="8">B37+F37+E37</f>
        <v>-141.10900000000001</v>
      </c>
      <c r="I37">
        <f t="shared" ref="I37:I57" si="9">SUMIFS(wcap,year,A37,zone,"=ROS")</f>
        <v>143.94399999999999</v>
      </c>
      <c r="J37">
        <f t="shared" ref="J37:J57" si="10">SUMIFS(wcap,year,$A37,zone,"=GHI")</f>
        <v>3.6990000000000003</v>
      </c>
      <c r="K37">
        <f t="shared" ref="K37:K57" si="11">SUMIFS(wcap,year,$A37,zone,"=J")</f>
        <v>-22.320500000000003</v>
      </c>
      <c r="L37">
        <f t="shared" ref="L37:L57" si="12">SUMIFS(wcap,year,$A37,zone,"=K")</f>
        <v>-138.6</v>
      </c>
      <c r="M37">
        <f>J37+K37</f>
        <v>-18.621500000000001</v>
      </c>
      <c r="N37">
        <f t="shared" ref="N37:N57" si="13">I37+M37+L37</f>
        <v>-13.277500000000003</v>
      </c>
    </row>
    <row r="38" spans="1:14" x14ac:dyDescent="0.25">
      <c r="A38">
        <f t="shared" ref="A38:A46" si="14">1+A37</f>
        <v>2026</v>
      </c>
      <c r="B38">
        <f t="shared" si="5"/>
        <v>161.66400000000002</v>
      </c>
      <c r="C38">
        <f t="shared" ref="C38:C57" si="15">SUMIFS(cap,year,A38,zone,"=GHI")</f>
        <v>-7.3699999999999992</v>
      </c>
      <c r="D38">
        <f t="shared" si="6"/>
        <v>-480.39050000000003</v>
      </c>
      <c r="E38">
        <f t="shared" si="7"/>
        <v>386.75111999999996</v>
      </c>
      <c r="F38">
        <f>C38+D38</f>
        <v>-487.76050000000004</v>
      </c>
      <c r="G38">
        <f t="shared" si="8"/>
        <v>60.654619999999966</v>
      </c>
      <c r="I38">
        <f t="shared" si="9"/>
        <v>329.76279999999991</v>
      </c>
      <c r="J38">
        <f t="shared" si="10"/>
        <v>-12.87</v>
      </c>
      <c r="K38">
        <f t="shared" si="11"/>
        <v>409.68434000000002</v>
      </c>
      <c r="L38">
        <f t="shared" si="12"/>
        <v>495.60711999999995</v>
      </c>
      <c r="M38">
        <f>J38+K38</f>
        <v>396.81434000000002</v>
      </c>
      <c r="N38">
        <f t="shared" si="13"/>
        <v>1222.1842599999998</v>
      </c>
    </row>
    <row r="39" spans="1:14" x14ac:dyDescent="0.25">
      <c r="A39">
        <f t="shared" si="14"/>
        <v>2027</v>
      </c>
      <c r="B39">
        <f t="shared" si="5"/>
        <v>439.31079999999992</v>
      </c>
      <c r="C39">
        <f t="shared" si="15"/>
        <v>0</v>
      </c>
      <c r="D39">
        <f t="shared" si="6"/>
        <v>437.40543000000002</v>
      </c>
      <c r="E39">
        <f t="shared" si="7"/>
        <v>166.40719999999999</v>
      </c>
      <c r="F39">
        <f>C39+D39</f>
        <v>437.40543000000002</v>
      </c>
      <c r="G39">
        <f t="shared" si="8"/>
        <v>1043.1234300000001</v>
      </c>
      <c r="I39">
        <f t="shared" si="9"/>
        <v>575.20287999999994</v>
      </c>
      <c r="J39">
        <f t="shared" si="10"/>
        <v>233.55</v>
      </c>
      <c r="K39">
        <f t="shared" si="11"/>
        <v>341.84109000000001</v>
      </c>
      <c r="L39">
        <f t="shared" si="12"/>
        <v>235.87456</v>
      </c>
      <c r="M39">
        <f>J39+K39</f>
        <v>575.39109000000008</v>
      </c>
      <c r="N39">
        <f t="shared" si="13"/>
        <v>1386.4685299999999</v>
      </c>
    </row>
    <row r="40" spans="1:14" x14ac:dyDescent="0.25">
      <c r="A40">
        <f t="shared" si="14"/>
        <v>2028</v>
      </c>
      <c r="B40">
        <f t="shared" si="5"/>
        <v>789.87472000000002</v>
      </c>
      <c r="C40">
        <f t="shared" si="15"/>
        <v>236.01600000000002</v>
      </c>
      <c r="D40">
        <f t="shared" si="6"/>
        <v>298.33546999999999</v>
      </c>
      <c r="E40">
        <f t="shared" si="7"/>
        <v>178.32336000000001</v>
      </c>
      <c r="F40">
        <f>C40+D40</f>
        <v>534.35147000000006</v>
      </c>
      <c r="G40">
        <f t="shared" si="8"/>
        <v>1502.5495500000002</v>
      </c>
      <c r="I40">
        <f t="shared" si="9"/>
        <v>604.60444000000007</v>
      </c>
      <c r="J40">
        <f t="shared" si="10"/>
        <v>163.596</v>
      </c>
      <c r="K40">
        <f t="shared" si="11"/>
        <v>62.745470000000005</v>
      </c>
      <c r="L40">
        <f t="shared" si="12"/>
        <v>0</v>
      </c>
      <c r="M40">
        <f t="shared" ref="M40:M46" si="16">J40+K40</f>
        <v>226.34147000000002</v>
      </c>
      <c r="N40">
        <f t="shared" si="13"/>
        <v>830.94591000000014</v>
      </c>
    </row>
    <row r="41" spans="1:14" x14ac:dyDescent="0.25">
      <c r="A41">
        <f t="shared" si="14"/>
        <v>2029</v>
      </c>
      <c r="B41">
        <f t="shared" si="5"/>
        <v>264.4726</v>
      </c>
      <c r="C41">
        <f t="shared" si="15"/>
        <v>161.13</v>
      </c>
      <c r="D41">
        <f t="shared" si="6"/>
        <v>0</v>
      </c>
      <c r="E41">
        <f t="shared" si="7"/>
        <v>0</v>
      </c>
      <c r="F41">
        <f t="shared" ref="F41:F46" si="17">C41+D41</f>
        <v>161.13</v>
      </c>
      <c r="G41">
        <f t="shared" si="8"/>
        <v>425.6026</v>
      </c>
      <c r="I41">
        <f t="shared" si="9"/>
        <v>0</v>
      </c>
      <c r="J41">
        <f t="shared" si="10"/>
        <v>0</v>
      </c>
      <c r="K41">
        <f t="shared" si="11"/>
        <v>0</v>
      </c>
      <c r="L41">
        <f t="shared" si="12"/>
        <v>0</v>
      </c>
      <c r="M41">
        <f t="shared" si="16"/>
        <v>0</v>
      </c>
      <c r="N41">
        <f t="shared" si="13"/>
        <v>0</v>
      </c>
    </row>
    <row r="42" spans="1:14" x14ac:dyDescent="0.25">
      <c r="A42">
        <f t="shared" si="14"/>
        <v>2030</v>
      </c>
      <c r="B42">
        <f t="shared" si="5"/>
        <v>0</v>
      </c>
      <c r="C42">
        <f t="shared" si="15"/>
        <v>0</v>
      </c>
      <c r="D42">
        <f t="shared" si="6"/>
        <v>0</v>
      </c>
      <c r="E42">
        <f t="shared" si="7"/>
        <v>0</v>
      </c>
      <c r="F42">
        <f t="shared" si="17"/>
        <v>0</v>
      </c>
      <c r="G42">
        <f t="shared" si="8"/>
        <v>0</v>
      </c>
      <c r="I42">
        <f t="shared" si="9"/>
        <v>0</v>
      </c>
      <c r="J42">
        <f t="shared" si="10"/>
        <v>0</v>
      </c>
      <c r="K42">
        <f t="shared" si="11"/>
        <v>-411.6</v>
      </c>
      <c r="L42">
        <f t="shared" si="12"/>
        <v>-46</v>
      </c>
      <c r="M42">
        <f t="shared" si="16"/>
        <v>-411.6</v>
      </c>
      <c r="N42">
        <f t="shared" si="13"/>
        <v>-457.6</v>
      </c>
    </row>
    <row r="43" spans="1:14" x14ac:dyDescent="0.25">
      <c r="A43">
        <f t="shared" si="14"/>
        <v>2031</v>
      </c>
      <c r="B43">
        <f t="shared" si="5"/>
        <v>0</v>
      </c>
      <c r="C43">
        <f t="shared" si="15"/>
        <v>0</v>
      </c>
      <c r="D43">
        <f t="shared" si="6"/>
        <v>-409.2</v>
      </c>
      <c r="E43">
        <f t="shared" si="7"/>
        <v>-45</v>
      </c>
      <c r="F43">
        <f t="shared" si="17"/>
        <v>-409.2</v>
      </c>
      <c r="G43">
        <f t="shared" si="8"/>
        <v>-454.2</v>
      </c>
      <c r="I43">
        <f t="shared" si="9"/>
        <v>0</v>
      </c>
      <c r="J43">
        <f t="shared" si="10"/>
        <v>0</v>
      </c>
      <c r="K43">
        <f t="shared" si="11"/>
        <v>0</v>
      </c>
      <c r="L43">
        <f t="shared" si="12"/>
        <v>0</v>
      </c>
      <c r="M43">
        <f t="shared" si="16"/>
        <v>0</v>
      </c>
      <c r="N43">
        <f t="shared" si="13"/>
        <v>0</v>
      </c>
    </row>
    <row r="44" spans="1:14" x14ac:dyDescent="0.25">
      <c r="A44">
        <f t="shared" si="14"/>
        <v>2032</v>
      </c>
      <c r="B44">
        <f t="shared" si="5"/>
        <v>0</v>
      </c>
      <c r="C44">
        <f t="shared" si="15"/>
        <v>0</v>
      </c>
      <c r="D44">
        <f t="shared" si="6"/>
        <v>0</v>
      </c>
      <c r="E44">
        <f t="shared" si="7"/>
        <v>0</v>
      </c>
      <c r="F44">
        <f t="shared" si="17"/>
        <v>0</v>
      </c>
      <c r="G44">
        <f t="shared" si="8"/>
        <v>0</v>
      </c>
      <c r="I44">
        <f t="shared" si="9"/>
        <v>0</v>
      </c>
      <c r="J44">
        <f t="shared" si="10"/>
        <v>0</v>
      </c>
      <c r="K44">
        <f t="shared" si="11"/>
        <v>0</v>
      </c>
      <c r="L44">
        <f t="shared" si="12"/>
        <v>0</v>
      </c>
      <c r="M44">
        <f t="shared" si="16"/>
        <v>0</v>
      </c>
      <c r="N44">
        <f t="shared" si="13"/>
        <v>0</v>
      </c>
    </row>
    <row r="45" spans="1:14" x14ac:dyDescent="0.25">
      <c r="A45">
        <f t="shared" si="14"/>
        <v>2033</v>
      </c>
      <c r="B45">
        <f t="shared" si="5"/>
        <v>0</v>
      </c>
      <c r="C45">
        <f t="shared" si="15"/>
        <v>0</v>
      </c>
      <c r="D45">
        <f t="shared" si="6"/>
        <v>0</v>
      </c>
      <c r="E45">
        <f t="shared" si="7"/>
        <v>0</v>
      </c>
      <c r="F45">
        <f t="shared" si="17"/>
        <v>0</v>
      </c>
      <c r="G45">
        <f t="shared" si="8"/>
        <v>0</v>
      </c>
      <c r="I45">
        <f t="shared" si="9"/>
        <v>0</v>
      </c>
      <c r="J45">
        <f t="shared" si="10"/>
        <v>0</v>
      </c>
      <c r="K45">
        <f t="shared" si="11"/>
        <v>0</v>
      </c>
      <c r="L45">
        <f t="shared" si="12"/>
        <v>0</v>
      </c>
      <c r="M45">
        <f t="shared" si="16"/>
        <v>0</v>
      </c>
      <c r="N45">
        <f t="shared" si="13"/>
        <v>0</v>
      </c>
    </row>
    <row r="46" spans="1:14" x14ac:dyDescent="0.25">
      <c r="A46">
        <f t="shared" si="14"/>
        <v>2034</v>
      </c>
      <c r="B46">
        <f t="shared" si="5"/>
        <v>0</v>
      </c>
      <c r="C46">
        <f t="shared" si="15"/>
        <v>0</v>
      </c>
      <c r="D46">
        <f t="shared" si="6"/>
        <v>0</v>
      </c>
      <c r="E46">
        <f t="shared" si="7"/>
        <v>0</v>
      </c>
      <c r="F46">
        <f t="shared" si="17"/>
        <v>0</v>
      </c>
      <c r="G46">
        <f t="shared" si="8"/>
        <v>0</v>
      </c>
      <c r="I46">
        <f t="shared" si="9"/>
        <v>0</v>
      </c>
      <c r="J46">
        <f t="shared" si="10"/>
        <v>0</v>
      </c>
      <c r="K46">
        <f t="shared" si="11"/>
        <v>0</v>
      </c>
      <c r="L46">
        <f t="shared" si="12"/>
        <v>0</v>
      </c>
      <c r="M46">
        <f t="shared" si="16"/>
        <v>0</v>
      </c>
      <c r="N46">
        <f t="shared" si="13"/>
        <v>0</v>
      </c>
    </row>
    <row r="47" spans="1:14" x14ac:dyDescent="0.25">
      <c r="A47">
        <f t="shared" ref="A47" si="18">1+A46</f>
        <v>2035</v>
      </c>
      <c r="B47">
        <f t="shared" si="5"/>
        <v>0</v>
      </c>
      <c r="C47">
        <f t="shared" si="15"/>
        <v>0</v>
      </c>
      <c r="D47">
        <f t="shared" si="6"/>
        <v>0</v>
      </c>
      <c r="E47">
        <f t="shared" si="7"/>
        <v>0</v>
      </c>
      <c r="F47">
        <f t="shared" ref="F47" si="19">C47+D47</f>
        <v>0</v>
      </c>
      <c r="G47">
        <f t="shared" si="8"/>
        <v>0</v>
      </c>
      <c r="I47">
        <f t="shared" si="9"/>
        <v>0</v>
      </c>
      <c r="J47">
        <f t="shared" si="10"/>
        <v>0</v>
      </c>
      <c r="K47">
        <f t="shared" si="11"/>
        <v>0</v>
      </c>
      <c r="L47">
        <f t="shared" si="12"/>
        <v>0</v>
      </c>
      <c r="M47">
        <f t="shared" ref="M47" si="20">J47+K47</f>
        <v>0</v>
      </c>
      <c r="N47">
        <f t="shared" si="13"/>
        <v>0</v>
      </c>
    </row>
    <row r="48" spans="1:14" x14ac:dyDescent="0.25">
      <c r="A48">
        <f t="shared" ref="A48:A55" si="21">1+A47</f>
        <v>2036</v>
      </c>
      <c r="B48">
        <f t="shared" si="5"/>
        <v>0</v>
      </c>
      <c r="C48">
        <f t="shared" si="15"/>
        <v>0</v>
      </c>
      <c r="D48">
        <f t="shared" si="6"/>
        <v>0</v>
      </c>
      <c r="E48">
        <f t="shared" si="7"/>
        <v>0</v>
      </c>
      <c r="F48">
        <f t="shared" ref="F48:F55" si="22">C48+D48</f>
        <v>0</v>
      </c>
      <c r="G48">
        <f t="shared" si="8"/>
        <v>0</v>
      </c>
      <c r="I48">
        <f t="shared" si="9"/>
        <v>0</v>
      </c>
      <c r="J48">
        <f t="shared" si="10"/>
        <v>0</v>
      </c>
      <c r="K48">
        <f t="shared" si="11"/>
        <v>0</v>
      </c>
      <c r="L48">
        <f t="shared" si="12"/>
        <v>0</v>
      </c>
      <c r="M48">
        <f t="shared" ref="M48:M55" si="23">J48+K48</f>
        <v>0</v>
      </c>
      <c r="N48">
        <f t="shared" si="13"/>
        <v>0</v>
      </c>
    </row>
    <row r="49" spans="1:14" x14ac:dyDescent="0.25">
      <c r="A49">
        <f t="shared" si="21"/>
        <v>2037</v>
      </c>
      <c r="B49">
        <f t="shared" si="5"/>
        <v>0</v>
      </c>
      <c r="C49">
        <f t="shared" si="15"/>
        <v>0</v>
      </c>
      <c r="D49">
        <f t="shared" si="6"/>
        <v>0</v>
      </c>
      <c r="E49">
        <f t="shared" si="7"/>
        <v>0</v>
      </c>
      <c r="F49">
        <f t="shared" si="22"/>
        <v>0</v>
      </c>
      <c r="G49">
        <f t="shared" si="8"/>
        <v>0</v>
      </c>
      <c r="I49">
        <f t="shared" si="9"/>
        <v>0</v>
      </c>
      <c r="J49">
        <f t="shared" si="10"/>
        <v>0</v>
      </c>
      <c r="K49">
        <f t="shared" si="11"/>
        <v>0</v>
      </c>
      <c r="L49">
        <f t="shared" si="12"/>
        <v>0</v>
      </c>
      <c r="M49">
        <f t="shared" si="23"/>
        <v>0</v>
      </c>
      <c r="N49">
        <f t="shared" si="13"/>
        <v>0</v>
      </c>
    </row>
    <row r="50" spans="1:14" x14ac:dyDescent="0.25">
      <c r="A50">
        <f t="shared" si="21"/>
        <v>2038</v>
      </c>
      <c r="B50">
        <f t="shared" si="5"/>
        <v>0</v>
      </c>
      <c r="C50">
        <f t="shared" si="15"/>
        <v>0</v>
      </c>
      <c r="D50">
        <f t="shared" si="6"/>
        <v>0</v>
      </c>
      <c r="E50">
        <f t="shared" si="7"/>
        <v>0</v>
      </c>
      <c r="F50">
        <f t="shared" si="22"/>
        <v>0</v>
      </c>
      <c r="G50">
        <f t="shared" si="8"/>
        <v>0</v>
      </c>
      <c r="I50">
        <f t="shared" si="9"/>
        <v>0</v>
      </c>
      <c r="J50">
        <f t="shared" si="10"/>
        <v>0</v>
      </c>
      <c r="K50">
        <f t="shared" si="11"/>
        <v>0</v>
      </c>
      <c r="L50">
        <f t="shared" si="12"/>
        <v>0</v>
      </c>
      <c r="M50">
        <f t="shared" si="23"/>
        <v>0</v>
      </c>
      <c r="N50">
        <f t="shared" si="13"/>
        <v>0</v>
      </c>
    </row>
    <row r="51" spans="1:14" x14ac:dyDescent="0.25">
      <c r="A51">
        <f t="shared" si="21"/>
        <v>2039</v>
      </c>
      <c r="B51">
        <f t="shared" si="5"/>
        <v>0</v>
      </c>
      <c r="C51">
        <f t="shared" si="15"/>
        <v>0</v>
      </c>
      <c r="D51">
        <f t="shared" si="6"/>
        <v>0</v>
      </c>
      <c r="E51">
        <f t="shared" si="7"/>
        <v>0</v>
      </c>
      <c r="F51">
        <f t="shared" si="22"/>
        <v>0</v>
      </c>
      <c r="G51">
        <f t="shared" si="8"/>
        <v>0</v>
      </c>
      <c r="I51">
        <f t="shared" si="9"/>
        <v>0</v>
      </c>
      <c r="J51">
        <f t="shared" si="10"/>
        <v>0</v>
      </c>
      <c r="K51">
        <f t="shared" si="11"/>
        <v>0</v>
      </c>
      <c r="L51">
        <f t="shared" si="12"/>
        <v>0</v>
      </c>
      <c r="M51">
        <f t="shared" si="23"/>
        <v>0</v>
      </c>
      <c r="N51">
        <f t="shared" si="13"/>
        <v>0</v>
      </c>
    </row>
    <row r="52" spans="1:14" x14ac:dyDescent="0.25">
      <c r="A52">
        <f t="shared" si="21"/>
        <v>2040</v>
      </c>
      <c r="B52">
        <f t="shared" si="5"/>
        <v>0</v>
      </c>
      <c r="C52">
        <f t="shared" si="15"/>
        <v>0</v>
      </c>
      <c r="D52">
        <f t="shared" si="6"/>
        <v>0</v>
      </c>
      <c r="E52">
        <f t="shared" si="7"/>
        <v>0</v>
      </c>
      <c r="F52">
        <f t="shared" si="22"/>
        <v>0</v>
      </c>
      <c r="G52">
        <f t="shared" si="8"/>
        <v>0</v>
      </c>
      <c r="I52">
        <f t="shared" si="9"/>
        <v>0</v>
      </c>
      <c r="J52">
        <f t="shared" si="10"/>
        <v>0</v>
      </c>
      <c r="K52">
        <f t="shared" si="11"/>
        <v>0</v>
      </c>
      <c r="L52">
        <f t="shared" si="12"/>
        <v>0</v>
      </c>
      <c r="M52">
        <f t="shared" si="23"/>
        <v>0</v>
      </c>
      <c r="N52">
        <f t="shared" si="13"/>
        <v>0</v>
      </c>
    </row>
    <row r="53" spans="1:14" x14ac:dyDescent="0.25">
      <c r="A53">
        <f t="shared" si="21"/>
        <v>2041</v>
      </c>
      <c r="B53">
        <f t="shared" si="5"/>
        <v>0</v>
      </c>
      <c r="C53">
        <f t="shared" si="15"/>
        <v>0</v>
      </c>
      <c r="D53">
        <f t="shared" si="6"/>
        <v>0</v>
      </c>
      <c r="E53">
        <f t="shared" si="7"/>
        <v>0</v>
      </c>
      <c r="F53">
        <f t="shared" si="22"/>
        <v>0</v>
      </c>
      <c r="G53">
        <f t="shared" si="8"/>
        <v>0</v>
      </c>
      <c r="I53">
        <f t="shared" si="9"/>
        <v>0</v>
      </c>
      <c r="J53">
        <f t="shared" si="10"/>
        <v>0</v>
      </c>
      <c r="K53">
        <f t="shared" si="11"/>
        <v>0</v>
      </c>
      <c r="L53">
        <f t="shared" si="12"/>
        <v>0</v>
      </c>
      <c r="M53">
        <f t="shared" si="23"/>
        <v>0</v>
      </c>
      <c r="N53">
        <f t="shared" si="13"/>
        <v>0</v>
      </c>
    </row>
    <row r="54" spans="1:14" x14ac:dyDescent="0.25">
      <c r="A54">
        <f t="shared" si="21"/>
        <v>2042</v>
      </c>
      <c r="B54">
        <f t="shared" si="5"/>
        <v>0</v>
      </c>
      <c r="C54">
        <f t="shared" si="15"/>
        <v>0</v>
      </c>
      <c r="D54">
        <f t="shared" si="6"/>
        <v>0</v>
      </c>
      <c r="E54">
        <f t="shared" si="7"/>
        <v>0</v>
      </c>
      <c r="F54">
        <f t="shared" si="22"/>
        <v>0</v>
      </c>
      <c r="G54">
        <f t="shared" si="8"/>
        <v>0</v>
      </c>
      <c r="I54">
        <f t="shared" si="9"/>
        <v>0</v>
      </c>
      <c r="J54">
        <f t="shared" si="10"/>
        <v>0</v>
      </c>
      <c r="K54">
        <f t="shared" si="11"/>
        <v>0</v>
      </c>
      <c r="L54">
        <f t="shared" si="12"/>
        <v>0</v>
      </c>
      <c r="M54">
        <f t="shared" si="23"/>
        <v>0</v>
      </c>
      <c r="N54">
        <f t="shared" si="13"/>
        <v>0</v>
      </c>
    </row>
    <row r="55" spans="1:14" x14ac:dyDescent="0.25">
      <c r="A55">
        <f t="shared" si="21"/>
        <v>2043</v>
      </c>
      <c r="B55">
        <f t="shared" si="5"/>
        <v>0</v>
      </c>
      <c r="C55">
        <f t="shared" si="15"/>
        <v>0</v>
      </c>
      <c r="D55">
        <f t="shared" si="6"/>
        <v>0</v>
      </c>
      <c r="E55">
        <f t="shared" si="7"/>
        <v>0</v>
      </c>
      <c r="F55">
        <f t="shared" si="22"/>
        <v>0</v>
      </c>
      <c r="G55">
        <f t="shared" si="8"/>
        <v>0</v>
      </c>
      <c r="I55">
        <f t="shared" si="9"/>
        <v>0</v>
      </c>
      <c r="J55">
        <f t="shared" si="10"/>
        <v>0</v>
      </c>
      <c r="K55">
        <f t="shared" si="11"/>
        <v>0</v>
      </c>
      <c r="L55">
        <f t="shared" si="12"/>
        <v>0</v>
      </c>
      <c r="M55">
        <f t="shared" si="23"/>
        <v>0</v>
      </c>
      <c r="N55">
        <f t="shared" si="13"/>
        <v>0</v>
      </c>
    </row>
    <row r="56" spans="1:14" x14ac:dyDescent="0.25">
      <c r="A56">
        <f t="shared" ref="A56:A57" si="24">1+A55</f>
        <v>2044</v>
      </c>
      <c r="B56">
        <f t="shared" si="5"/>
        <v>0</v>
      </c>
      <c r="C56">
        <f t="shared" si="15"/>
        <v>0</v>
      </c>
      <c r="D56">
        <f t="shared" si="6"/>
        <v>0</v>
      </c>
      <c r="E56">
        <f t="shared" si="7"/>
        <v>0</v>
      </c>
      <c r="F56">
        <f t="shared" ref="F56:F57" si="25">C56+D56</f>
        <v>0</v>
      </c>
      <c r="G56">
        <f t="shared" si="8"/>
        <v>0</v>
      </c>
      <c r="I56">
        <f t="shared" si="9"/>
        <v>0</v>
      </c>
      <c r="J56">
        <f t="shared" si="10"/>
        <v>0</v>
      </c>
      <c r="K56">
        <f t="shared" si="11"/>
        <v>0</v>
      </c>
      <c r="L56">
        <f t="shared" si="12"/>
        <v>0</v>
      </c>
      <c r="M56">
        <f t="shared" ref="M56:M57" si="26">J56+K56</f>
        <v>0</v>
      </c>
      <c r="N56">
        <f t="shared" si="13"/>
        <v>0</v>
      </c>
    </row>
    <row r="57" spans="1:14" x14ac:dyDescent="0.25">
      <c r="A57">
        <f t="shared" si="24"/>
        <v>2045</v>
      </c>
      <c r="B57">
        <f t="shared" si="5"/>
        <v>0</v>
      </c>
      <c r="C57">
        <f t="shared" si="15"/>
        <v>0</v>
      </c>
      <c r="D57">
        <f t="shared" si="6"/>
        <v>0</v>
      </c>
      <c r="E57">
        <f t="shared" si="7"/>
        <v>0</v>
      </c>
      <c r="F57">
        <f t="shared" si="25"/>
        <v>0</v>
      </c>
      <c r="G57">
        <f t="shared" si="8"/>
        <v>0</v>
      </c>
      <c r="I57">
        <f t="shared" si="9"/>
        <v>0</v>
      </c>
      <c r="J57">
        <f t="shared" si="10"/>
        <v>0</v>
      </c>
      <c r="K57">
        <f t="shared" si="11"/>
        <v>0</v>
      </c>
      <c r="L57">
        <f t="shared" si="12"/>
        <v>0</v>
      </c>
      <c r="M57">
        <f t="shared" si="26"/>
        <v>0</v>
      </c>
      <c r="N57">
        <f t="shared" si="13"/>
        <v>0</v>
      </c>
    </row>
  </sheetData>
  <pageMargins left="0.7" right="0.7" top="0.75" bottom="0.75" header="0.3" footer="0.3"/>
  <pageSetup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S32"/>
  <sheetViews>
    <sheetView zoomScale="80" zoomScaleNormal="80" workbookViewId="0"/>
  </sheetViews>
  <sheetFormatPr defaultColWidth="8.85546875" defaultRowHeight="15" x14ac:dyDescent="0.25"/>
  <cols>
    <col min="1" max="1" width="17.28515625" customWidth="1"/>
  </cols>
  <sheetData>
    <row r="1" spans="1:19" x14ac:dyDescent="0.25">
      <c r="A1" t="s">
        <v>250</v>
      </c>
      <c r="O1" s="16"/>
    </row>
    <row r="2" spans="1:19" x14ac:dyDescent="0.25">
      <c r="O2" s="16"/>
    </row>
    <row r="4" spans="1:19" x14ac:dyDescent="0.25">
      <c r="M4" s="18"/>
    </row>
    <row r="5" spans="1:19" x14ac:dyDescent="0.25">
      <c r="A5" t="s">
        <v>21</v>
      </c>
      <c r="B5" t="s">
        <v>13</v>
      </c>
      <c r="C5" t="s">
        <v>22</v>
      </c>
      <c r="D5" t="s">
        <v>14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</v>
      </c>
      <c r="L5" t="s">
        <v>15</v>
      </c>
      <c r="M5" t="s">
        <v>6</v>
      </c>
      <c r="N5" t="s">
        <v>56</v>
      </c>
      <c r="O5" t="s">
        <v>16</v>
      </c>
    </row>
    <row r="7" spans="1:19" x14ac:dyDescent="0.25">
      <c r="A7" t="s">
        <v>3</v>
      </c>
      <c r="B7">
        <v>3492.4</v>
      </c>
      <c r="C7">
        <v>780.5</v>
      </c>
      <c r="D7">
        <v>6781.1</v>
      </c>
      <c r="E7" s="18">
        <v>1918.5</v>
      </c>
      <c r="F7" s="18">
        <v>1293.0999999999999</v>
      </c>
      <c r="G7">
        <v>4775.6000000000004</v>
      </c>
      <c r="H7" s="18">
        <v>4704</v>
      </c>
      <c r="I7">
        <v>53.5</v>
      </c>
      <c r="J7" s="18">
        <v>0</v>
      </c>
      <c r="K7">
        <v>8704.7000000000007</v>
      </c>
      <c r="L7" s="18">
        <v>5195.5</v>
      </c>
      <c r="M7">
        <f>SUM(B7:L7)</f>
        <v>37698.9</v>
      </c>
      <c r="N7">
        <f>SUM(H7:K7)</f>
        <v>13462.2</v>
      </c>
      <c r="O7" s="18">
        <f>M7-N7-L7</f>
        <v>19041.2</v>
      </c>
      <c r="P7" t="s">
        <v>19</v>
      </c>
    </row>
    <row r="8" spans="1:19" x14ac:dyDescent="0.25">
      <c r="B8" s="61">
        <v>411.7</v>
      </c>
      <c r="C8" s="61">
        <v>27.9</v>
      </c>
      <c r="D8" s="61">
        <v>82.6</v>
      </c>
      <c r="E8" s="61">
        <v>226.9</v>
      </c>
      <c r="F8" s="61">
        <v>34.200000000000003</v>
      </c>
      <c r="G8" s="61">
        <v>103.5</v>
      </c>
      <c r="H8" s="61">
        <v>40.700000000000003</v>
      </c>
      <c r="I8" s="61">
        <v>11.3</v>
      </c>
      <c r="J8" s="61">
        <v>38.6</v>
      </c>
      <c r="K8" s="61">
        <v>478.7</v>
      </c>
      <c r="L8" s="61">
        <v>30.6</v>
      </c>
      <c r="M8" s="18">
        <f>SUM(B8:L8)</f>
        <v>1486.6999999999998</v>
      </c>
      <c r="N8" s="18">
        <f>SUM(H8:K8)</f>
        <v>569.29999999999995</v>
      </c>
      <c r="O8" s="18">
        <f t="shared" ref="O8:O10" si="0">M8-N8-L8</f>
        <v>886.79999999999984</v>
      </c>
      <c r="P8" s="4" t="s">
        <v>252</v>
      </c>
      <c r="S8" s="18"/>
    </row>
    <row r="9" spans="1:19" x14ac:dyDescent="0.25">
      <c r="K9" s="40"/>
      <c r="L9" s="40">
        <v>660</v>
      </c>
      <c r="M9" s="40">
        <f>SUM(K9:L9)</f>
        <v>660</v>
      </c>
      <c r="N9" s="40">
        <f t="shared" ref="N9" si="1">SUM(H9:K9)</f>
        <v>0</v>
      </c>
      <c r="O9" s="40">
        <f>M9-N9-L9</f>
        <v>0</v>
      </c>
      <c r="P9" s="40" t="s">
        <v>85</v>
      </c>
    </row>
    <row r="10" spans="1:19" x14ac:dyDescent="0.25">
      <c r="B10" s="18">
        <f t="shared" ref="B10:I10" si="2">B7+B8</f>
        <v>3904.1</v>
      </c>
      <c r="C10" s="18">
        <f t="shared" si="2"/>
        <v>808.4</v>
      </c>
      <c r="D10" s="18">
        <f t="shared" si="2"/>
        <v>6863.7000000000007</v>
      </c>
      <c r="E10" s="18">
        <f t="shared" si="2"/>
        <v>2145.4</v>
      </c>
      <c r="F10" s="18">
        <f t="shared" si="2"/>
        <v>1327.3</v>
      </c>
      <c r="G10" s="18">
        <f t="shared" si="2"/>
        <v>4879.1000000000004</v>
      </c>
      <c r="H10" s="18">
        <f t="shared" si="2"/>
        <v>4744.7</v>
      </c>
      <c r="I10" s="18">
        <f t="shared" si="2"/>
        <v>64.8</v>
      </c>
      <c r="J10" s="18">
        <f t="shared" ref="J10" si="3">J7+J8</f>
        <v>38.6</v>
      </c>
      <c r="K10" s="18">
        <f>K7+K8+K9</f>
        <v>9183.4000000000015</v>
      </c>
      <c r="L10" s="18">
        <f>L7+L8+L9</f>
        <v>5886.1</v>
      </c>
      <c r="M10">
        <f>SUM(B10:L10)</f>
        <v>39845.599999999999</v>
      </c>
      <c r="N10" s="18">
        <f>SUM(H10:K10)</f>
        <v>14031.500000000002</v>
      </c>
      <c r="O10" s="18">
        <f t="shared" si="0"/>
        <v>19928</v>
      </c>
      <c r="P10" t="s">
        <v>70</v>
      </c>
    </row>
    <row r="13" spans="1:19" x14ac:dyDescent="0.25">
      <c r="A13" t="s">
        <v>4</v>
      </c>
      <c r="B13" s="18">
        <v>3550.8</v>
      </c>
      <c r="C13" s="18">
        <v>784.4</v>
      </c>
      <c r="D13" s="18">
        <v>7062.6</v>
      </c>
      <c r="E13" s="18">
        <v>1918.1</v>
      </c>
      <c r="F13" s="18">
        <v>1328</v>
      </c>
      <c r="G13" s="18">
        <v>5308.8</v>
      </c>
      <c r="H13" s="18">
        <v>4947.3</v>
      </c>
      <c r="I13" s="18">
        <v>53.3</v>
      </c>
      <c r="J13" s="18">
        <v>0</v>
      </c>
      <c r="K13" s="18">
        <v>9371</v>
      </c>
      <c r="L13" s="18">
        <v>5646.7</v>
      </c>
      <c r="M13" s="18">
        <f>SUM(B13:L13)</f>
        <v>39971</v>
      </c>
      <c r="N13" s="18">
        <f>SUM(H13:K13)</f>
        <v>14371.6</v>
      </c>
      <c r="O13" s="18">
        <f>M13-N13-L13</f>
        <v>19952.7</v>
      </c>
      <c r="P13" t="s">
        <v>20</v>
      </c>
    </row>
    <row r="14" spans="1:19" x14ac:dyDescent="0.25">
      <c r="B14" s="61">
        <v>288.8</v>
      </c>
      <c r="C14" s="61">
        <v>25</v>
      </c>
      <c r="D14" s="61">
        <v>65.400000000000006</v>
      </c>
      <c r="E14" s="61">
        <v>218.2</v>
      </c>
      <c r="F14" s="61">
        <v>34.299999999999997</v>
      </c>
      <c r="G14" s="61">
        <v>51.9</v>
      </c>
      <c r="H14" s="61">
        <v>21.9</v>
      </c>
      <c r="I14" s="61">
        <v>7.5</v>
      </c>
      <c r="J14" s="61">
        <v>21.5</v>
      </c>
      <c r="K14" s="61">
        <v>278.5</v>
      </c>
      <c r="L14" s="61">
        <v>13.1</v>
      </c>
      <c r="M14" s="18">
        <f>SUM(B14:L14)</f>
        <v>1026.0999999999999</v>
      </c>
      <c r="N14" s="18">
        <f t="shared" ref="N14:N16" si="4">SUM(H14:K14)</f>
        <v>329.4</v>
      </c>
      <c r="O14" s="18">
        <f t="shared" ref="O14:O16" si="5">M14-N14-L14</f>
        <v>683.59999999999991</v>
      </c>
      <c r="P14" s="4" t="s">
        <v>252</v>
      </c>
    </row>
    <row r="15" spans="1:19" x14ac:dyDescent="0.25">
      <c r="K15" s="40">
        <v>0</v>
      </c>
      <c r="L15" s="40">
        <v>660</v>
      </c>
      <c r="M15" s="40">
        <f>SUM(K15:L15)</f>
        <v>660</v>
      </c>
      <c r="N15" s="40">
        <f t="shared" si="4"/>
        <v>0</v>
      </c>
      <c r="O15" s="40">
        <f t="shared" si="5"/>
        <v>0</v>
      </c>
      <c r="P15" s="40" t="s">
        <v>85</v>
      </c>
    </row>
    <row r="16" spans="1:19" x14ac:dyDescent="0.25">
      <c r="B16" s="18">
        <f>B13+B14</f>
        <v>3839.6000000000004</v>
      </c>
      <c r="C16" s="18">
        <f t="shared" ref="C16:J16" si="6">C13+C14</f>
        <v>809.4</v>
      </c>
      <c r="D16" s="18">
        <f t="shared" si="6"/>
        <v>7128</v>
      </c>
      <c r="E16" s="18">
        <f t="shared" si="6"/>
        <v>2136.2999999999997</v>
      </c>
      <c r="F16" s="18">
        <f t="shared" si="6"/>
        <v>1362.3</v>
      </c>
      <c r="G16" s="18">
        <f t="shared" si="6"/>
        <v>5360.7</v>
      </c>
      <c r="H16" s="18">
        <f t="shared" si="6"/>
        <v>4969.2</v>
      </c>
      <c r="I16" s="18">
        <f t="shared" si="6"/>
        <v>60.8</v>
      </c>
      <c r="J16" s="18">
        <f t="shared" si="6"/>
        <v>21.5</v>
      </c>
      <c r="K16" s="18">
        <f>K13+K14+K15</f>
        <v>9649.5</v>
      </c>
      <c r="L16" s="18">
        <f>L13+L14+L15</f>
        <v>6319.8</v>
      </c>
      <c r="M16" s="18">
        <f>SUM(B16:L16)</f>
        <v>41657.100000000006</v>
      </c>
      <c r="N16" s="18">
        <f t="shared" si="4"/>
        <v>14701</v>
      </c>
      <c r="O16" s="18">
        <f t="shared" si="5"/>
        <v>20636.300000000007</v>
      </c>
      <c r="P16" t="s">
        <v>70</v>
      </c>
    </row>
    <row r="18" spans="1:18" x14ac:dyDescent="0.25">
      <c r="A18" s="4" t="s">
        <v>186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61"/>
      <c r="N18" s="61"/>
      <c r="O18" s="61"/>
      <c r="Q18" s="4"/>
      <c r="R18" s="4"/>
    </row>
    <row r="19" spans="1:18" x14ac:dyDescent="0.25"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Q19" s="4"/>
      <c r="R19" s="4"/>
    </row>
    <row r="21" spans="1:18" x14ac:dyDescent="0.25">
      <c r="O21" s="18"/>
    </row>
    <row r="22" spans="1:18" x14ac:dyDescent="0.25">
      <c r="M22" s="18"/>
    </row>
    <row r="23" spans="1:18" x14ac:dyDescent="0.25">
      <c r="M23" s="18"/>
    </row>
    <row r="26" spans="1:18" x14ac:dyDescent="0.25">
      <c r="F26" s="11"/>
    </row>
    <row r="27" spans="1:18" x14ac:dyDescent="0.25">
      <c r="F27" s="11"/>
    </row>
    <row r="28" spans="1:18" x14ac:dyDescent="0.25">
      <c r="F28" s="11"/>
    </row>
    <row r="29" spans="1:18" x14ac:dyDescent="0.25">
      <c r="F29" s="11"/>
    </row>
    <row r="30" spans="1:18" x14ac:dyDescent="0.25">
      <c r="F30" s="11"/>
    </row>
    <row r="31" spans="1:18" x14ac:dyDescent="0.25">
      <c r="F31" s="11"/>
    </row>
    <row r="32" spans="1:18" x14ac:dyDescent="0.25">
      <c r="F32" s="11"/>
    </row>
  </sheetData>
  <pageMargins left="0.7" right="0.7" top="0.75" bottom="0.75" header="0.3" footer="0.3"/>
  <pageSetup scale="72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pageSetUpPr fitToPage="1"/>
  </sheetPr>
  <dimension ref="A1:R52"/>
  <sheetViews>
    <sheetView zoomScale="80" zoomScaleNormal="80" workbookViewId="0"/>
  </sheetViews>
  <sheetFormatPr defaultColWidth="8.85546875" defaultRowHeight="15" x14ac:dyDescent="0.25"/>
  <sheetData>
    <row r="1" spans="1:18" x14ac:dyDescent="0.25">
      <c r="A1" t="s">
        <v>72</v>
      </c>
    </row>
    <row r="2" spans="1:18" x14ac:dyDescent="0.25">
      <c r="A2" t="s">
        <v>238</v>
      </c>
    </row>
    <row r="3" spans="1:18" ht="15.75" thickBot="1" x14ac:dyDescent="0.3"/>
    <row r="4" spans="1:18" x14ac:dyDescent="0.25">
      <c r="A4" s="40" t="s">
        <v>42</v>
      </c>
      <c r="B4" s="31" t="s">
        <v>60</v>
      </c>
      <c r="C4" s="32"/>
      <c r="D4" s="32"/>
      <c r="E4" s="33"/>
      <c r="F4" s="31" t="s">
        <v>61</v>
      </c>
      <c r="G4" s="32"/>
      <c r="H4" s="32"/>
      <c r="I4" s="33"/>
      <c r="K4" s="14" t="s">
        <v>68</v>
      </c>
      <c r="L4" s="15"/>
      <c r="M4" s="15"/>
      <c r="N4" s="21"/>
      <c r="O4" s="14" t="s">
        <v>47</v>
      </c>
      <c r="P4" s="15"/>
      <c r="Q4" s="15"/>
      <c r="R4" s="21"/>
    </row>
    <row r="5" spans="1:18" ht="15.75" thickBot="1" x14ac:dyDescent="0.3">
      <c r="A5" s="40"/>
      <c r="B5" s="48" t="s">
        <v>5</v>
      </c>
      <c r="C5" s="49" t="s">
        <v>36</v>
      </c>
      <c r="D5" s="49" t="s">
        <v>37</v>
      </c>
      <c r="E5" s="50" t="s">
        <v>16</v>
      </c>
      <c r="F5" s="48" t="s">
        <v>5</v>
      </c>
      <c r="G5" s="49" t="s">
        <v>36</v>
      </c>
      <c r="H5" s="49" t="s">
        <v>37</v>
      </c>
      <c r="I5" s="50" t="s">
        <v>16</v>
      </c>
      <c r="K5" s="41" t="s">
        <v>5</v>
      </c>
      <c r="L5" s="42" t="s">
        <v>36</v>
      </c>
      <c r="M5" s="42" t="s">
        <v>37</v>
      </c>
      <c r="N5" s="43" t="s">
        <v>16</v>
      </c>
      <c r="O5" s="41" t="s">
        <v>5</v>
      </c>
      <c r="P5" s="42" t="s">
        <v>36</v>
      </c>
      <c r="Q5" s="42" t="s">
        <v>37</v>
      </c>
      <c r="R5" s="43" t="s">
        <v>6</v>
      </c>
    </row>
    <row r="6" spans="1:18" x14ac:dyDescent="0.25">
      <c r="A6" s="40">
        <f>'ICAP Prices'!A9</f>
        <v>2025</v>
      </c>
      <c r="B6" s="34">
        <f t="shared" ref="B6:B26" si="0">O6*K6+(P6-O6)*L6+(R6-P6)*N6</f>
        <v>11.353446050383461</v>
      </c>
      <c r="C6" s="35">
        <f t="shared" ref="C6:C26" si="1">L6*P6+N6*(R6-P6)</f>
        <v>4.7917378488263171</v>
      </c>
      <c r="D6" s="35">
        <f t="shared" ref="D6:D26" si="2">M6*Q6+(R6-Q6)*N6</f>
        <v>5.461562108621048</v>
      </c>
      <c r="E6" s="35">
        <f t="shared" ref="E6:E26" si="3">N6*R6</f>
        <v>4.7917378488263171</v>
      </c>
      <c r="F6" s="34">
        <f t="shared" ref="F6:F26" si="4">B6/(1-$E$30)</f>
        <v>12.23431686463735</v>
      </c>
      <c r="G6" s="35">
        <f t="shared" ref="G6:G26" si="5">C6/(1-$E$30)</f>
        <v>5.1635106129593931</v>
      </c>
      <c r="H6" s="35">
        <f t="shared" ref="H6:H26" si="6">D6/(1-$E$30)</f>
        <v>5.8853039963588873</v>
      </c>
      <c r="I6" s="36">
        <f t="shared" ref="I6:I26" si="7">E6/(1-$E$30)</f>
        <v>5.1635106129593931</v>
      </c>
      <c r="K6" s="51">
        <f>'ICAP Prices'!$C9</f>
        <v>11.580675807464477</v>
      </c>
      <c r="L6" s="52">
        <f>'ICAP Prices'!$F9</f>
        <v>3.6949029993859841</v>
      </c>
      <c r="M6" s="52">
        <f>'ICAP Prices'!$I9</f>
        <v>4.2845824085859627</v>
      </c>
      <c r="N6" s="53">
        <f>'ICAP Prices'!$L9</f>
        <v>3.6949029993859841</v>
      </c>
      <c r="O6" s="46">
        <f t="shared" ref="O6:O26" si="8">B$44*(1+0.18*(1-K6/B$40))</f>
        <v>0.83209450249886407</v>
      </c>
      <c r="P6" s="23">
        <f t="shared" ref="P6:P26" si="9">C$44*(1+0.15*(1-L6/C$40))</f>
        <v>0.83518576674350842</v>
      </c>
      <c r="Q6" s="23">
        <f t="shared" ref="Q6:Q26" si="10">D$44*(1+0.18*(1-M6/D$40))</f>
        <v>1.1359125812167752</v>
      </c>
      <c r="R6" s="24">
        <f t="shared" ref="R6:R26" si="11">E$44*(1+0.12*(1-N6/E$40))</f>
        <v>1.2968507832607796</v>
      </c>
    </row>
    <row r="7" spans="1:18" x14ac:dyDescent="0.25">
      <c r="A7" s="40">
        <f>'ICAP Prices'!A10</f>
        <v>2026</v>
      </c>
      <c r="B7" s="34">
        <f t="shared" si="0"/>
        <v>14.84254371707897</v>
      </c>
      <c r="C7" s="35">
        <f t="shared" si="1"/>
        <v>3.280284806827944</v>
      </c>
      <c r="D7" s="35">
        <f t="shared" si="2"/>
        <v>3.280284806827944</v>
      </c>
      <c r="E7" s="35">
        <f t="shared" si="3"/>
        <v>3.280284806827944</v>
      </c>
      <c r="F7" s="34">
        <f t="shared" si="4"/>
        <v>15.994120384783372</v>
      </c>
      <c r="G7" s="35">
        <f t="shared" si="5"/>
        <v>3.5347896625301121</v>
      </c>
      <c r="H7" s="35">
        <f t="shared" si="6"/>
        <v>3.5347896625301121</v>
      </c>
      <c r="I7" s="36">
        <f t="shared" si="7"/>
        <v>3.5347896625301121</v>
      </c>
      <c r="K7" s="27">
        <f>'ICAP Prices'!$C10</f>
        <v>17.166496901906207</v>
      </c>
      <c r="L7" s="12">
        <f>'ICAP Prices'!$F10</f>
        <v>2.4685003883180285</v>
      </c>
      <c r="M7" s="12">
        <f>'ICAP Prices'!$I10</f>
        <v>2.4685003883180285</v>
      </c>
      <c r="N7" s="28">
        <f>'ICAP Prices'!$L10</f>
        <v>2.4685003883180285</v>
      </c>
      <c r="O7" s="46">
        <f t="shared" si="8"/>
        <v>0.78665543970988228</v>
      </c>
      <c r="P7" s="23">
        <f t="shared" si="9"/>
        <v>0.85875662668305841</v>
      </c>
      <c r="Q7" s="23">
        <f t="shared" si="10"/>
        <v>1.1871100699352108</v>
      </c>
      <c r="R7" s="24">
        <f t="shared" si="11"/>
        <v>1.3288573185370427</v>
      </c>
    </row>
    <row r="8" spans="1:18" x14ac:dyDescent="0.25">
      <c r="A8" s="40">
        <f>'ICAP Prices'!A11</f>
        <v>2027</v>
      </c>
      <c r="B8" s="34">
        <f t="shared" si="0"/>
        <v>11.196192762972272</v>
      </c>
      <c r="C8" s="35">
        <f t="shared" si="1"/>
        <v>2.1518711344186823</v>
      </c>
      <c r="D8" s="35">
        <f t="shared" si="2"/>
        <v>2.1518711344186818</v>
      </c>
      <c r="E8" s="35">
        <f t="shared" si="3"/>
        <v>2.1518711344186818</v>
      </c>
      <c r="F8" s="34">
        <f t="shared" si="4"/>
        <v>12.064862891133913</v>
      </c>
      <c r="G8" s="35">
        <f t="shared" si="5"/>
        <v>2.3188266534684074</v>
      </c>
      <c r="H8" s="35">
        <f t="shared" si="6"/>
        <v>2.318826653468407</v>
      </c>
      <c r="I8" s="36">
        <f t="shared" si="7"/>
        <v>2.318826653468407</v>
      </c>
      <c r="K8" s="27">
        <f>'ICAP Prices'!$C11</f>
        <v>12.567119274714626</v>
      </c>
      <c r="L8" s="12">
        <f>'ICAP Prices'!$F11</f>
        <v>1.5919340305585852</v>
      </c>
      <c r="M8" s="12">
        <f>'ICAP Prices'!$I11</f>
        <v>1.5919340305585852</v>
      </c>
      <c r="N8" s="28">
        <f>'ICAP Prices'!$L11</f>
        <v>1.5919340305585852</v>
      </c>
      <c r="O8" s="46">
        <f t="shared" si="8"/>
        <v>0.82407006600361676</v>
      </c>
      <c r="P8" s="23">
        <f t="shared" si="9"/>
        <v>0.87560380448584973</v>
      </c>
      <c r="Q8" s="23">
        <f t="shared" si="10"/>
        <v>1.211821506814988</v>
      </c>
      <c r="R8" s="24">
        <f t="shared" si="11"/>
        <v>1.3517338615241634</v>
      </c>
    </row>
    <row r="9" spans="1:18" x14ac:dyDescent="0.25">
      <c r="A9" s="40">
        <f>'ICAP Prices'!A12</f>
        <v>2028</v>
      </c>
      <c r="B9" s="34">
        <f t="shared" si="0"/>
        <v>8.0316276413660681</v>
      </c>
      <c r="C9" s="35">
        <f t="shared" si="1"/>
        <v>3.142603880661049E-2</v>
      </c>
      <c r="D9" s="35">
        <f t="shared" si="2"/>
        <v>3.142603880661049E-2</v>
      </c>
      <c r="E9" s="35">
        <f t="shared" si="3"/>
        <v>3.142603880661049E-2</v>
      </c>
      <c r="F9" s="34">
        <f t="shared" si="4"/>
        <v>8.65477116526516</v>
      </c>
      <c r="G9" s="35">
        <f t="shared" si="5"/>
        <v>3.3864265955399236E-2</v>
      </c>
      <c r="H9" s="35">
        <f t="shared" si="6"/>
        <v>3.3864265955399236E-2</v>
      </c>
      <c r="I9" s="36">
        <f t="shared" si="7"/>
        <v>3.3864265955399236E-2</v>
      </c>
      <c r="K9" s="27">
        <f>'ICAP Prices'!$C12</f>
        <v>9.4400161420129152</v>
      </c>
      <c r="L9" s="12">
        <f>'ICAP Prices'!$F12</f>
        <v>2.2564974223282519E-2</v>
      </c>
      <c r="M9" s="12">
        <f>'ICAP Prices'!$I12</f>
        <v>2.2564974223282519E-2</v>
      </c>
      <c r="N9" s="28">
        <f>'ICAP Prices'!$L12</f>
        <v>2.2564974223282519E-2</v>
      </c>
      <c r="O9" s="46">
        <f t="shared" si="8"/>
        <v>0.84950815884476549</v>
      </c>
      <c r="P9" s="23">
        <f t="shared" si="9"/>
        <v>0.90576631220273296</v>
      </c>
      <c r="Q9" s="23">
        <f t="shared" si="10"/>
        <v>1.2560638668296171</v>
      </c>
      <c r="R9" s="24">
        <f t="shared" si="11"/>
        <v>1.3926911015118792</v>
      </c>
    </row>
    <row r="10" spans="1:18" x14ac:dyDescent="0.25">
      <c r="A10" s="40">
        <f>'ICAP Prices'!A13</f>
        <v>2029</v>
      </c>
      <c r="B10" s="34">
        <f t="shared" si="0"/>
        <v>8.1699290884506084</v>
      </c>
      <c r="C10" s="35">
        <f t="shared" si="1"/>
        <v>1.393019020979021E-2</v>
      </c>
      <c r="D10" s="35">
        <f t="shared" si="2"/>
        <v>1.393019020979021E-2</v>
      </c>
      <c r="E10" s="35">
        <f t="shared" si="3"/>
        <v>1.393019020979021E-2</v>
      </c>
      <c r="F10" s="34">
        <f t="shared" si="4"/>
        <v>8.8038028970372935</v>
      </c>
      <c r="G10" s="35">
        <f t="shared" si="5"/>
        <v>1.5010980829515311E-2</v>
      </c>
      <c r="H10" s="35">
        <f t="shared" si="6"/>
        <v>1.5010980829515311E-2</v>
      </c>
      <c r="I10" s="36">
        <f t="shared" si="7"/>
        <v>1.5010980829515311E-2</v>
      </c>
      <c r="K10" s="27">
        <f>'ICAP Prices'!$C13</f>
        <v>9.628178275090356</v>
      </c>
      <c r="L10" s="12">
        <f>'ICAP Prices'!$F13</f>
        <v>0.01</v>
      </c>
      <c r="M10" s="12">
        <f>'ICAP Prices'!$I13</f>
        <v>0.01</v>
      </c>
      <c r="N10" s="28">
        <f>'ICAP Prices'!$L13</f>
        <v>0.01</v>
      </c>
      <c r="O10" s="46">
        <f t="shared" si="8"/>
        <v>0.8479775135135138</v>
      </c>
      <c r="P10" s="23">
        <f t="shared" si="9"/>
        <v>0.90600780487804877</v>
      </c>
      <c r="Q10" s="23">
        <f t="shared" si="10"/>
        <v>1.256418088235294</v>
      </c>
      <c r="R10" s="24">
        <f t="shared" si="11"/>
        <v>1.393019020979021</v>
      </c>
    </row>
    <row r="11" spans="1:18" x14ac:dyDescent="0.25">
      <c r="A11" s="40">
        <f>'ICAP Prices'!A14</f>
        <v>2030</v>
      </c>
      <c r="B11" s="34">
        <f t="shared" si="0"/>
        <v>8.4902279556368221</v>
      </c>
      <c r="C11" s="35">
        <f t="shared" si="1"/>
        <v>0.46766121072772449</v>
      </c>
      <c r="D11" s="35">
        <f t="shared" si="2"/>
        <v>0.65275345636473248</v>
      </c>
      <c r="E11" s="35">
        <f t="shared" si="3"/>
        <v>0.46766121072772449</v>
      </c>
      <c r="F11" s="34">
        <f t="shared" si="4"/>
        <v>9.1489525384017476</v>
      </c>
      <c r="G11" s="35">
        <f t="shared" si="5"/>
        <v>0.50394527018073754</v>
      </c>
      <c r="H11" s="35">
        <f t="shared" si="6"/>
        <v>0.70339812108268585</v>
      </c>
      <c r="I11" s="36">
        <f t="shared" si="7"/>
        <v>0.50394527018073754</v>
      </c>
      <c r="K11" s="27">
        <f>'ICAP Prices'!$C14</f>
        <v>9.8156635659625042</v>
      </c>
      <c r="L11" s="12">
        <f>'ICAP Prices'!$F14</f>
        <v>0.33779216955657621</v>
      </c>
      <c r="M11" s="12">
        <f>'ICAP Prices'!$I14</f>
        <v>0.48670233026228882</v>
      </c>
      <c r="N11" s="28">
        <f>'ICAP Prices'!$L14</f>
        <v>0.33779216955657621</v>
      </c>
      <c r="O11" s="46">
        <f t="shared" si="8"/>
        <v>0.8464523741007195</v>
      </c>
      <c r="P11" s="23">
        <f t="shared" si="9"/>
        <v>0.89970779927779077</v>
      </c>
      <c r="Q11" s="23">
        <f t="shared" si="10"/>
        <v>1.242979288718929</v>
      </c>
      <c r="R11" s="24">
        <f t="shared" si="11"/>
        <v>1.3844643330294746</v>
      </c>
    </row>
    <row r="12" spans="1:18" x14ac:dyDescent="0.25">
      <c r="A12" s="40">
        <f>'ICAP Prices'!A15</f>
        <v>2031</v>
      </c>
      <c r="B12" s="34">
        <f t="shared" si="0"/>
        <v>12.641366518378394</v>
      </c>
      <c r="C12" s="35">
        <f t="shared" si="1"/>
        <v>1.7800032046963143</v>
      </c>
      <c r="D12" s="35">
        <f t="shared" si="2"/>
        <v>1.8735416567950112</v>
      </c>
      <c r="E12" s="35">
        <f t="shared" si="3"/>
        <v>1.7800032046963146</v>
      </c>
      <c r="F12" s="34">
        <f t="shared" si="4"/>
        <v>13.622162196528441</v>
      </c>
      <c r="G12" s="35">
        <f t="shared" si="5"/>
        <v>1.9181069016124077</v>
      </c>
      <c r="H12" s="35">
        <f t="shared" si="6"/>
        <v>2.0189026474084173</v>
      </c>
      <c r="I12" s="36">
        <f t="shared" si="7"/>
        <v>1.9181069016124079</v>
      </c>
      <c r="K12" s="27">
        <f>'ICAP Prices'!$C15</f>
        <v>14.784835164709836</v>
      </c>
      <c r="L12" s="12">
        <f>'ICAP Prices'!$F15</f>
        <v>1.3096928206077099</v>
      </c>
      <c r="M12" s="12">
        <f>'ICAP Prices'!$I15</f>
        <v>1.3865140171118782</v>
      </c>
      <c r="N12" s="28">
        <f>'ICAP Prices'!$L15</f>
        <v>1.3096928206077099</v>
      </c>
      <c r="O12" s="46">
        <f t="shared" si="8"/>
        <v>0.80602957923008067</v>
      </c>
      <c r="P12" s="23">
        <f t="shared" si="9"/>
        <v>0.88102834286246656</v>
      </c>
      <c r="Q12" s="23">
        <f t="shared" si="10"/>
        <v>1.2176125386646548</v>
      </c>
      <c r="R12" s="24">
        <f t="shared" si="11"/>
        <v>1.3590997649894547</v>
      </c>
    </row>
    <row r="13" spans="1:18" x14ac:dyDescent="0.25">
      <c r="A13" s="40">
        <f>'ICAP Prices'!A16</f>
        <v>2032</v>
      </c>
      <c r="B13" s="34">
        <f t="shared" si="0"/>
        <v>13.450280942021463</v>
      </c>
      <c r="C13" s="35">
        <f t="shared" si="1"/>
        <v>2.4524175992514547</v>
      </c>
      <c r="D13" s="35">
        <f t="shared" si="2"/>
        <v>2.5095277693741229</v>
      </c>
      <c r="E13" s="35">
        <f t="shared" si="3"/>
        <v>2.4524175992514547</v>
      </c>
      <c r="F13" s="34">
        <f t="shared" si="4"/>
        <v>14.493837222005887</v>
      </c>
      <c r="G13" s="35">
        <f t="shared" si="5"/>
        <v>2.6426913785037227</v>
      </c>
      <c r="H13" s="35">
        <f t="shared" si="6"/>
        <v>2.7042325101014253</v>
      </c>
      <c r="I13" s="36">
        <f t="shared" si="7"/>
        <v>2.6426913785037227</v>
      </c>
      <c r="K13" s="27">
        <f>'ICAP Prices'!$C16</f>
        <v>15.57681250353542</v>
      </c>
      <c r="L13" s="12">
        <f>'ICAP Prices'!$F16</f>
        <v>1.8223837922425346</v>
      </c>
      <c r="M13" s="12">
        <f>'ICAP Prices'!$I16</f>
        <v>1.8698179756422659</v>
      </c>
      <c r="N13" s="28">
        <f>'ICAP Prices'!$L16</f>
        <v>1.8223837922425346</v>
      </c>
      <c r="O13" s="46">
        <f t="shared" si="8"/>
        <v>0.79958706927175849</v>
      </c>
      <c r="P13" s="23">
        <f t="shared" si="9"/>
        <v>0.87117467248080205</v>
      </c>
      <c r="Q13" s="23">
        <f t="shared" si="10"/>
        <v>1.2039876314807909</v>
      </c>
      <c r="R13" s="24">
        <f t="shared" si="11"/>
        <v>1.3457196062052506</v>
      </c>
    </row>
    <row r="14" spans="1:18" x14ac:dyDescent="0.25">
      <c r="A14" s="40">
        <f>'ICAP Prices'!A17</f>
        <v>2033</v>
      </c>
      <c r="B14" s="34">
        <f t="shared" si="0"/>
        <v>14.125793758757105</v>
      </c>
      <c r="C14" s="35">
        <f t="shared" si="1"/>
        <v>3.1367268867649951</v>
      </c>
      <c r="D14" s="35">
        <f t="shared" si="2"/>
        <v>3.1585368867152983</v>
      </c>
      <c r="E14" s="35">
        <f t="shared" si="3"/>
        <v>3.1367268867649956</v>
      </c>
      <c r="F14" s="34">
        <f t="shared" si="4"/>
        <v>15.221760515902051</v>
      </c>
      <c r="G14" s="35">
        <f t="shared" si="5"/>
        <v>3.3800936279795204</v>
      </c>
      <c r="H14" s="35">
        <f t="shared" si="6"/>
        <v>3.4035957830983818</v>
      </c>
      <c r="I14" s="36">
        <f t="shared" si="7"/>
        <v>3.3800936279795208</v>
      </c>
      <c r="K14" s="27">
        <f>'ICAP Prices'!$C17</f>
        <v>16.184096097953127</v>
      </c>
      <c r="L14" s="12">
        <f>'ICAP Prices'!$F17</f>
        <v>2.3552299394538871</v>
      </c>
      <c r="M14" s="12">
        <f>'ICAP Prices'!$I17</f>
        <v>2.3735609589332114</v>
      </c>
      <c r="N14" s="28">
        <f>'ICAP Prices'!$L17</f>
        <v>2.3552299394538871</v>
      </c>
      <c r="O14" s="46">
        <f t="shared" si="8"/>
        <v>0.79464699029126218</v>
      </c>
      <c r="P14" s="23">
        <f t="shared" si="9"/>
        <v>0.86093362945634966</v>
      </c>
      <c r="Q14" s="23">
        <f t="shared" si="10"/>
        <v>1.1897865241430152</v>
      </c>
      <c r="R14" s="24">
        <f t="shared" si="11"/>
        <v>1.3318134396220846</v>
      </c>
    </row>
    <row r="15" spans="1:18" x14ac:dyDescent="0.25">
      <c r="A15" s="40">
        <f>'ICAP Prices'!A18</f>
        <v>2034</v>
      </c>
      <c r="B15" s="34">
        <f t="shared" si="0"/>
        <v>14.856829006979032</v>
      </c>
      <c r="C15" s="35">
        <f t="shared" si="1"/>
        <v>3.7006507184548658</v>
      </c>
      <c r="D15" s="35">
        <f t="shared" si="2"/>
        <v>3.7006507184548658</v>
      </c>
      <c r="E15" s="35">
        <f t="shared" si="3"/>
        <v>3.7006507184548658</v>
      </c>
      <c r="F15" s="34">
        <f t="shared" si="4"/>
        <v>16.009514016141196</v>
      </c>
      <c r="G15" s="35">
        <f t="shared" si="5"/>
        <v>3.9877701707487776</v>
      </c>
      <c r="H15" s="35">
        <f t="shared" si="6"/>
        <v>3.9877701707487776</v>
      </c>
      <c r="I15" s="36">
        <f t="shared" si="7"/>
        <v>3.9877701707487776</v>
      </c>
      <c r="K15" s="27">
        <f>'ICAP Prices'!$C18</f>
        <v>16.953949981594473</v>
      </c>
      <c r="L15" s="12">
        <f>'ICAP Prices'!$F18</f>
        <v>2.8032671363565509</v>
      </c>
      <c r="M15" s="12">
        <f>'ICAP Prices'!$I18</f>
        <v>2.8032671363565509</v>
      </c>
      <c r="N15" s="28">
        <f>'ICAP Prices'!$L18</f>
        <v>2.8032671363565509</v>
      </c>
      <c r="O15" s="46">
        <f t="shared" si="8"/>
        <v>0.78838444833625221</v>
      </c>
      <c r="P15" s="23">
        <f t="shared" si="9"/>
        <v>0.85232257308661064</v>
      </c>
      <c r="Q15" s="23">
        <f t="shared" si="10"/>
        <v>1.1776726014647718</v>
      </c>
      <c r="R15" s="24">
        <f t="shared" si="11"/>
        <v>1.3201206087211004</v>
      </c>
    </row>
    <row r="16" spans="1:18" x14ac:dyDescent="0.25">
      <c r="A16" s="40">
        <f>'ICAP Prices'!A19</f>
        <v>2035</v>
      </c>
      <c r="B16" s="34">
        <f t="shared" si="0"/>
        <v>15.341210349225097</v>
      </c>
      <c r="C16" s="35">
        <f t="shared" si="1"/>
        <v>4.2650854198714452</v>
      </c>
      <c r="D16" s="35">
        <f t="shared" si="2"/>
        <v>4.3218361516953596</v>
      </c>
      <c r="E16" s="35">
        <f t="shared" si="3"/>
        <v>4.2650854198714443</v>
      </c>
      <c r="F16" s="34">
        <f t="shared" si="4"/>
        <v>16.531476669423594</v>
      </c>
      <c r="G16" s="35">
        <f t="shared" si="5"/>
        <v>4.5959972196890568</v>
      </c>
      <c r="H16" s="35">
        <f t="shared" si="6"/>
        <v>4.6571510255337927</v>
      </c>
      <c r="I16" s="36">
        <f t="shared" si="7"/>
        <v>4.5959972196890559</v>
      </c>
      <c r="K16" s="27">
        <f>'ICAP Prices'!$C19</f>
        <v>17.37</v>
      </c>
      <c r="L16" s="12">
        <f>'ICAP Prices'!$F19</f>
        <v>3.2602867141991703</v>
      </c>
      <c r="M16" s="12">
        <f>'ICAP Prices'!$I19</f>
        <v>3.3090662155051844</v>
      </c>
      <c r="N16" s="28">
        <f>'ICAP Prices'!$L19</f>
        <v>3.2602867141991703</v>
      </c>
      <c r="O16" s="46">
        <f t="shared" si="8"/>
        <v>0.78500000000000003</v>
      </c>
      <c r="P16" s="23">
        <f t="shared" si="9"/>
        <v>0.84353887973685504</v>
      </c>
      <c r="Q16" s="23">
        <f t="shared" si="10"/>
        <v>1.1634135303658317</v>
      </c>
      <c r="R16" s="24">
        <f t="shared" si="11"/>
        <v>1.3081933565217392</v>
      </c>
    </row>
    <row r="17" spans="1:18" x14ac:dyDescent="0.25">
      <c r="A17" s="40">
        <f>'ICAP Prices'!A20</f>
        <v>2036</v>
      </c>
      <c r="B17" s="34">
        <f t="shared" si="0"/>
        <v>15.523000490519902</v>
      </c>
      <c r="C17" s="35">
        <f t="shared" si="1"/>
        <v>4.781083259468434</v>
      </c>
      <c r="D17" s="35">
        <f t="shared" si="2"/>
        <v>4.8553120829634544</v>
      </c>
      <c r="E17" s="35">
        <f t="shared" si="3"/>
        <v>4.781083259468434</v>
      </c>
      <c r="F17" s="34">
        <f t="shared" si="4"/>
        <v>16.727371218232651</v>
      </c>
      <c r="G17" s="35">
        <f t="shared" si="5"/>
        <v>5.1520293744271912</v>
      </c>
      <c r="H17" s="35">
        <f t="shared" si="6"/>
        <v>5.2320173307795841</v>
      </c>
      <c r="I17" s="36">
        <f t="shared" si="7"/>
        <v>5.1520293744271912</v>
      </c>
      <c r="K17" s="27">
        <f>'ICAP Prices'!$C20</f>
        <v>17.37</v>
      </c>
      <c r="L17" s="12">
        <f>'ICAP Prices'!$F20</f>
        <v>3.6860290050299787</v>
      </c>
      <c r="M17" s="12">
        <f>'ICAP Prices'!$I20</f>
        <v>3.7505215005357382</v>
      </c>
      <c r="N17" s="28">
        <f>'ICAP Prices'!$L20</f>
        <v>3.6860290050299787</v>
      </c>
      <c r="O17" s="46">
        <f t="shared" si="8"/>
        <v>0.78500000000000003</v>
      </c>
      <c r="P17" s="23">
        <f t="shared" si="9"/>
        <v>0.83535632058625309</v>
      </c>
      <c r="Q17" s="23">
        <f t="shared" si="10"/>
        <v>1.1509683865216616</v>
      </c>
      <c r="R17" s="24">
        <f t="shared" si="11"/>
        <v>1.2970823758967001</v>
      </c>
    </row>
    <row r="18" spans="1:18" x14ac:dyDescent="0.25">
      <c r="A18" s="40">
        <f>'ICAP Prices'!A21</f>
        <v>2037</v>
      </c>
      <c r="B18" s="34">
        <f t="shared" si="0"/>
        <v>15.684312762025442</v>
      </c>
      <c r="C18" s="35">
        <f t="shared" si="1"/>
        <v>5.2546748400111376</v>
      </c>
      <c r="D18" s="35">
        <f t="shared" si="2"/>
        <v>5.3266362552540887</v>
      </c>
      <c r="E18" s="35">
        <f t="shared" si="3"/>
        <v>5.2546748400111376</v>
      </c>
      <c r="F18" s="34">
        <f t="shared" si="4"/>
        <v>16.901199097010174</v>
      </c>
      <c r="G18" s="35">
        <f t="shared" si="5"/>
        <v>5.662365129322346</v>
      </c>
      <c r="H18" s="35">
        <f t="shared" si="6"/>
        <v>5.739909757816906</v>
      </c>
      <c r="I18" s="36">
        <f t="shared" si="7"/>
        <v>5.662365129322346</v>
      </c>
      <c r="K18" s="27">
        <f>'ICAP Prices'!$C21</f>
        <v>17.37</v>
      </c>
      <c r="L18" s="12">
        <f>'ICAP Prices'!$F21</f>
        <v>4.0838370420199954</v>
      </c>
      <c r="M18" s="12">
        <f>'ICAP Prices'!$I21</f>
        <v>4.1469726119849444</v>
      </c>
      <c r="N18" s="28">
        <f>'ICAP Prices'!$L21</f>
        <v>4.0838370420199954</v>
      </c>
      <c r="O18" s="46">
        <f t="shared" si="8"/>
        <v>0.78500000000000003</v>
      </c>
      <c r="P18" s="23">
        <f t="shared" si="9"/>
        <v>0.82771064416800599</v>
      </c>
      <c r="Q18" s="23">
        <f t="shared" si="10"/>
        <v>1.1397919632768361</v>
      </c>
      <c r="R18" s="24">
        <f t="shared" si="11"/>
        <v>1.2867004206935762</v>
      </c>
    </row>
    <row r="19" spans="1:18" x14ac:dyDescent="0.25">
      <c r="A19" s="40">
        <f>'ICAP Prices'!A22</f>
        <v>2038</v>
      </c>
      <c r="B19" s="34">
        <f t="shared" si="0"/>
        <v>15.834595641719401</v>
      </c>
      <c r="C19" s="35">
        <f t="shared" si="1"/>
        <v>5.7114329075379775</v>
      </c>
      <c r="D19" s="35">
        <f t="shared" si="2"/>
        <v>5.7492990934280241</v>
      </c>
      <c r="E19" s="35">
        <f t="shared" si="3"/>
        <v>5.7114329075379784</v>
      </c>
      <c r="F19" s="34">
        <f t="shared" si="4"/>
        <v>17.06314185530108</v>
      </c>
      <c r="G19" s="35">
        <f t="shared" si="5"/>
        <v>6.1545613227779929</v>
      </c>
      <c r="H19" s="35">
        <f t="shared" si="6"/>
        <v>6.1953654024008875</v>
      </c>
      <c r="I19" s="36">
        <f t="shared" si="7"/>
        <v>6.1545613227779938</v>
      </c>
      <c r="K19" s="27">
        <f>'ICAP Prices'!$C22</f>
        <v>17.37</v>
      </c>
      <c r="L19" s="12">
        <f>'ICAP Prices'!$F22</f>
        <v>4.474251294036403</v>
      </c>
      <c r="M19" s="12">
        <f>'ICAP Prices'!$I22</f>
        <v>4.5077724481101278</v>
      </c>
      <c r="N19" s="28">
        <f>'ICAP Prices'!$L22</f>
        <v>4.474251294036403</v>
      </c>
      <c r="O19" s="46">
        <f t="shared" si="8"/>
        <v>0.78500000000000003</v>
      </c>
      <c r="P19" s="23">
        <f t="shared" si="9"/>
        <v>0.8202070726902273</v>
      </c>
      <c r="Q19" s="23">
        <f t="shared" si="10"/>
        <v>1.1296205914260717</v>
      </c>
      <c r="R19" s="24">
        <f t="shared" si="11"/>
        <v>1.2765114277668261</v>
      </c>
    </row>
    <row r="20" spans="1:18" x14ac:dyDescent="0.25">
      <c r="A20" s="40">
        <f>'ICAP Prices'!A23</f>
        <v>2039</v>
      </c>
      <c r="B20" s="34">
        <f t="shared" si="0"/>
        <v>15.962903962618745</v>
      </c>
      <c r="C20" s="35">
        <f t="shared" si="1"/>
        <v>6.1152517070110353</v>
      </c>
      <c r="D20" s="35">
        <f t="shared" si="2"/>
        <v>6.1180536124331653</v>
      </c>
      <c r="E20" s="35">
        <f t="shared" si="3"/>
        <v>6.1152517070110353</v>
      </c>
      <c r="F20" s="34">
        <f t="shared" si="4"/>
        <v>17.201405132132265</v>
      </c>
      <c r="G20" s="35">
        <f t="shared" si="5"/>
        <v>6.5897108911756845</v>
      </c>
      <c r="H20" s="35">
        <f t="shared" si="6"/>
        <v>6.5927301858116003</v>
      </c>
      <c r="I20" s="36">
        <f t="shared" si="7"/>
        <v>6.5897108911756845</v>
      </c>
      <c r="K20" s="27">
        <f>'ICAP Prices'!$C23</f>
        <v>17.37</v>
      </c>
      <c r="L20" s="12">
        <f>'ICAP Prices'!$F23</f>
        <v>4.8252200565506893</v>
      </c>
      <c r="M20" s="12">
        <f>'ICAP Prices'!$I23</f>
        <v>4.8277204163734044</v>
      </c>
      <c r="N20" s="28">
        <f>'ICAP Prices'!$L23</f>
        <v>4.8252200565506893</v>
      </c>
      <c r="O20" s="46">
        <f t="shared" si="8"/>
        <v>0.78500000000000003</v>
      </c>
      <c r="P20" s="23">
        <f t="shared" si="9"/>
        <v>0.81346162427897695</v>
      </c>
      <c r="Q20" s="23">
        <f t="shared" si="10"/>
        <v>1.1206008817913555</v>
      </c>
      <c r="R20" s="24">
        <f t="shared" si="11"/>
        <v>1.2673518793633063</v>
      </c>
    </row>
    <row r="21" spans="1:18" x14ac:dyDescent="0.25">
      <c r="A21" s="40">
        <f>'ICAP Prices'!A24</f>
        <v>2040</v>
      </c>
      <c r="B21" s="34">
        <f t="shared" si="0"/>
        <v>16.260929999999998</v>
      </c>
      <c r="C21" s="35">
        <f t="shared" si="1"/>
        <v>7.1156799999999993</v>
      </c>
      <c r="D21" s="35">
        <f t="shared" si="2"/>
        <v>7.1156799999999993</v>
      </c>
      <c r="E21" s="35">
        <f t="shared" si="3"/>
        <v>7.1156799999999993</v>
      </c>
      <c r="F21" s="34">
        <f t="shared" si="4"/>
        <v>17.522553879310344</v>
      </c>
      <c r="G21" s="35">
        <f t="shared" si="5"/>
        <v>7.6677586206896544</v>
      </c>
      <c r="H21" s="35">
        <f t="shared" si="6"/>
        <v>7.6677586206896544</v>
      </c>
      <c r="I21" s="36">
        <f t="shared" si="7"/>
        <v>7.6677586206896544</v>
      </c>
      <c r="K21" s="27">
        <f>'ICAP Prices'!$C24</f>
        <v>17.37</v>
      </c>
      <c r="L21" s="12">
        <f>'ICAP Prices'!$F24</f>
        <v>5.72</v>
      </c>
      <c r="M21" s="12">
        <f>'ICAP Prices'!$I24</f>
        <v>5.72</v>
      </c>
      <c r="N21" s="28">
        <f>'ICAP Prices'!$L24</f>
        <v>5.72</v>
      </c>
      <c r="O21" s="46">
        <f t="shared" si="8"/>
        <v>0.78500000000000003</v>
      </c>
      <c r="P21" s="23">
        <f t="shared" si="9"/>
        <v>0.7962643902439025</v>
      </c>
      <c r="Q21" s="23">
        <f t="shared" si="10"/>
        <v>1.0954464705882352</v>
      </c>
      <c r="R21" s="24">
        <f t="shared" si="11"/>
        <v>1.244</v>
      </c>
    </row>
    <row r="22" spans="1:18" x14ac:dyDescent="0.25">
      <c r="A22" s="40">
        <f>'ICAP Prices'!A25</f>
        <v>2041</v>
      </c>
      <c r="B22" s="34">
        <f t="shared" si="0"/>
        <v>16.260929999999998</v>
      </c>
      <c r="C22" s="35">
        <f t="shared" si="1"/>
        <v>7.1156799999999993</v>
      </c>
      <c r="D22" s="35">
        <f t="shared" si="2"/>
        <v>7.1156799999999993</v>
      </c>
      <c r="E22" s="35">
        <f t="shared" si="3"/>
        <v>7.1156799999999993</v>
      </c>
      <c r="F22" s="34">
        <f t="shared" si="4"/>
        <v>17.522553879310344</v>
      </c>
      <c r="G22" s="35">
        <f t="shared" si="5"/>
        <v>7.6677586206896544</v>
      </c>
      <c r="H22" s="35">
        <f t="shared" si="6"/>
        <v>7.6677586206896544</v>
      </c>
      <c r="I22" s="36">
        <f t="shared" si="7"/>
        <v>7.6677586206896544</v>
      </c>
      <c r="K22" s="27">
        <f>'ICAP Prices'!$C25</f>
        <v>17.37</v>
      </c>
      <c r="L22" s="12">
        <f>'ICAP Prices'!$F25</f>
        <v>5.72</v>
      </c>
      <c r="M22" s="12">
        <f>'ICAP Prices'!$I25</f>
        <v>5.72</v>
      </c>
      <c r="N22" s="28">
        <f>'ICAP Prices'!$L25</f>
        <v>5.72</v>
      </c>
      <c r="O22" s="46">
        <f t="shared" si="8"/>
        <v>0.78500000000000003</v>
      </c>
      <c r="P22" s="23">
        <f t="shared" si="9"/>
        <v>0.7962643902439025</v>
      </c>
      <c r="Q22" s="23">
        <f t="shared" si="10"/>
        <v>1.0954464705882352</v>
      </c>
      <c r="R22" s="24">
        <f t="shared" si="11"/>
        <v>1.244</v>
      </c>
    </row>
    <row r="23" spans="1:18" x14ac:dyDescent="0.25">
      <c r="A23" s="40">
        <f>'ICAP Prices'!A26</f>
        <v>2042</v>
      </c>
      <c r="B23" s="34">
        <f t="shared" si="0"/>
        <v>16.260929999999998</v>
      </c>
      <c r="C23" s="35">
        <f t="shared" si="1"/>
        <v>7.1156799999999993</v>
      </c>
      <c r="D23" s="35">
        <f t="shared" si="2"/>
        <v>7.1156799999999993</v>
      </c>
      <c r="E23" s="35">
        <f t="shared" si="3"/>
        <v>7.1156799999999993</v>
      </c>
      <c r="F23" s="34">
        <f t="shared" si="4"/>
        <v>17.522553879310344</v>
      </c>
      <c r="G23" s="35">
        <f t="shared" si="5"/>
        <v>7.6677586206896544</v>
      </c>
      <c r="H23" s="35">
        <f t="shared" si="6"/>
        <v>7.6677586206896544</v>
      </c>
      <c r="I23" s="36">
        <f t="shared" si="7"/>
        <v>7.6677586206896544</v>
      </c>
      <c r="K23" s="27">
        <f>'ICAP Prices'!$C26</f>
        <v>17.37</v>
      </c>
      <c r="L23" s="12">
        <f>'ICAP Prices'!$F26</f>
        <v>5.72</v>
      </c>
      <c r="M23" s="12">
        <f>'ICAP Prices'!$I26</f>
        <v>5.72</v>
      </c>
      <c r="N23" s="28">
        <f>'ICAP Prices'!$L26</f>
        <v>5.72</v>
      </c>
      <c r="O23" s="46">
        <f t="shared" si="8"/>
        <v>0.78500000000000003</v>
      </c>
      <c r="P23" s="23">
        <f t="shared" si="9"/>
        <v>0.7962643902439025</v>
      </c>
      <c r="Q23" s="23">
        <f t="shared" si="10"/>
        <v>1.0954464705882352</v>
      </c>
      <c r="R23" s="24">
        <f t="shared" si="11"/>
        <v>1.244</v>
      </c>
    </row>
    <row r="24" spans="1:18" x14ac:dyDescent="0.25">
      <c r="A24" s="40">
        <f>'ICAP Prices'!A27</f>
        <v>2043</v>
      </c>
      <c r="B24" s="34">
        <f t="shared" si="0"/>
        <v>16.260929999999998</v>
      </c>
      <c r="C24" s="35">
        <f t="shared" si="1"/>
        <v>7.1156799999999993</v>
      </c>
      <c r="D24" s="35">
        <f t="shared" si="2"/>
        <v>7.2571091422046239</v>
      </c>
      <c r="E24" s="35">
        <f t="shared" si="3"/>
        <v>7.1156799999999993</v>
      </c>
      <c r="F24" s="34">
        <f t="shared" si="4"/>
        <v>17.522553879310344</v>
      </c>
      <c r="G24" s="35">
        <f t="shared" si="5"/>
        <v>7.6677586206896544</v>
      </c>
      <c r="H24" s="35">
        <f t="shared" si="6"/>
        <v>7.8201607135825686</v>
      </c>
      <c r="I24" s="36">
        <f t="shared" si="7"/>
        <v>7.6677586206896544</v>
      </c>
      <c r="K24" s="27">
        <f>'ICAP Prices'!$C27</f>
        <v>17.37</v>
      </c>
      <c r="L24" s="12">
        <f>'ICAP Prices'!$F27</f>
        <v>5.72</v>
      </c>
      <c r="M24" s="12">
        <f>'ICAP Prices'!$I27</f>
        <v>5.849538227794584</v>
      </c>
      <c r="N24" s="28">
        <f>'ICAP Prices'!$L27</f>
        <v>5.72</v>
      </c>
      <c r="O24" s="46">
        <f t="shared" si="8"/>
        <v>0.78500000000000003</v>
      </c>
      <c r="P24" s="23">
        <f t="shared" si="9"/>
        <v>0.7962643902439025</v>
      </c>
      <c r="Q24" s="23">
        <f t="shared" si="10"/>
        <v>1.0917946355487909</v>
      </c>
      <c r="R24" s="24">
        <f t="shared" si="11"/>
        <v>1.244</v>
      </c>
    </row>
    <row r="25" spans="1:18" x14ac:dyDescent="0.25">
      <c r="A25" s="40">
        <f>'ICAP Prices'!A28</f>
        <v>2044</v>
      </c>
      <c r="B25" s="34">
        <f t="shared" si="0"/>
        <v>16.260929999999998</v>
      </c>
      <c r="C25" s="35">
        <f t="shared" si="1"/>
        <v>7.1156799999999993</v>
      </c>
      <c r="D25" s="35">
        <f t="shared" si="2"/>
        <v>7.5175326595156839</v>
      </c>
      <c r="E25" s="35">
        <f t="shared" si="3"/>
        <v>7.1156799999999993</v>
      </c>
      <c r="F25" s="34">
        <f t="shared" si="4"/>
        <v>17.522553879310344</v>
      </c>
      <c r="G25" s="35">
        <f t="shared" si="5"/>
        <v>7.6677586206896544</v>
      </c>
      <c r="H25" s="35">
        <f t="shared" si="6"/>
        <v>8.1007895037884516</v>
      </c>
      <c r="I25" s="36">
        <f t="shared" si="7"/>
        <v>7.6677586206896544</v>
      </c>
      <c r="K25" s="27">
        <f>'ICAP Prices'!$C28</f>
        <v>17.37</v>
      </c>
      <c r="L25" s="12">
        <f>'ICAP Prices'!$F28</f>
        <v>5.72</v>
      </c>
      <c r="M25" s="12">
        <f>'ICAP Prices'!$I28</f>
        <v>6.0903692972650711</v>
      </c>
      <c r="N25" s="28">
        <f>'ICAP Prices'!$L28</f>
        <v>5.72</v>
      </c>
      <c r="O25" s="46">
        <f t="shared" si="8"/>
        <v>0.78500000000000003</v>
      </c>
      <c r="P25" s="23">
        <f t="shared" si="9"/>
        <v>0.7962643902439025</v>
      </c>
      <c r="Q25" s="23">
        <f t="shared" si="10"/>
        <v>1.0850053243697477</v>
      </c>
      <c r="R25" s="24">
        <f t="shared" si="11"/>
        <v>1.244</v>
      </c>
    </row>
    <row r="26" spans="1:18" ht="15.75" thickBot="1" x14ac:dyDescent="0.3">
      <c r="A26" s="40">
        <f>'ICAP Prices'!A29</f>
        <v>2045</v>
      </c>
      <c r="B26" s="37">
        <f t="shared" si="0"/>
        <v>16.260929999999998</v>
      </c>
      <c r="C26" s="38">
        <f t="shared" si="1"/>
        <v>7.1156799999999993</v>
      </c>
      <c r="D26" s="38">
        <f t="shared" si="2"/>
        <v>7.7647457914190428</v>
      </c>
      <c r="E26" s="38">
        <f t="shared" si="3"/>
        <v>7.1156799999999993</v>
      </c>
      <c r="F26" s="37">
        <f t="shared" si="4"/>
        <v>17.522553879310344</v>
      </c>
      <c r="G26" s="38">
        <f t="shared" si="5"/>
        <v>7.6677586206896544</v>
      </c>
      <c r="H26" s="38">
        <f t="shared" si="6"/>
        <v>8.3671829648912102</v>
      </c>
      <c r="I26" s="39">
        <f t="shared" si="7"/>
        <v>7.6677586206896544</v>
      </c>
      <c r="K26" s="29">
        <f>'ICAP Prices'!$C29</f>
        <v>17.37</v>
      </c>
      <c r="L26" s="13">
        <f>'ICAP Prices'!$F29</f>
        <v>5.72</v>
      </c>
      <c r="M26" s="13">
        <f>'ICAP Prices'!$I29</f>
        <v>6.321833832062671</v>
      </c>
      <c r="N26" s="30">
        <f>'ICAP Prices'!$L29</f>
        <v>5.72</v>
      </c>
      <c r="O26" s="47">
        <f t="shared" si="8"/>
        <v>0.78500000000000003</v>
      </c>
      <c r="P26" s="25">
        <f t="shared" si="9"/>
        <v>0.7962643902439025</v>
      </c>
      <c r="Q26" s="25">
        <f t="shared" si="10"/>
        <v>1.0784800668225862</v>
      </c>
      <c r="R26" s="26">
        <f t="shared" si="11"/>
        <v>1.244</v>
      </c>
    </row>
    <row r="28" spans="1:18" x14ac:dyDescent="0.25">
      <c r="A28" t="s">
        <v>239</v>
      </c>
      <c r="F28" s="4"/>
      <c r="G28" s="4"/>
      <c r="H28" s="4"/>
      <c r="I28" s="4"/>
    </row>
    <row r="29" spans="1:18" x14ac:dyDescent="0.25">
      <c r="A29" t="s">
        <v>67</v>
      </c>
      <c r="G29" s="4"/>
      <c r="H29" s="4"/>
      <c r="I29" s="4"/>
    </row>
    <row r="30" spans="1:18" x14ac:dyDescent="0.25">
      <c r="B30" t="s">
        <v>65</v>
      </c>
      <c r="E30" s="2">
        <v>7.1999999999999995E-2</v>
      </c>
      <c r="G30" s="4"/>
      <c r="H30" s="4"/>
      <c r="I30" s="4"/>
    </row>
    <row r="31" spans="1:18" x14ac:dyDescent="0.25">
      <c r="A31" s="4"/>
      <c r="B31" s="4"/>
      <c r="C31" s="4"/>
      <c r="D31" s="4"/>
      <c r="E31" s="4"/>
      <c r="G31" s="4"/>
      <c r="H31" s="4"/>
      <c r="I31" s="4"/>
    </row>
    <row r="32" spans="1:18" x14ac:dyDescent="0.25">
      <c r="A32" t="s">
        <v>63</v>
      </c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t="s">
        <v>48</v>
      </c>
      <c r="B33" s="4"/>
      <c r="C33" s="4"/>
      <c r="D33" s="4"/>
      <c r="E33" s="4"/>
      <c r="F33" s="4"/>
      <c r="G33" s="4"/>
      <c r="H33" s="4"/>
      <c r="I33" s="4"/>
    </row>
    <row r="34" spans="1:9" x14ac:dyDescent="0.25">
      <c r="A34" t="s">
        <v>64</v>
      </c>
      <c r="F34" s="4"/>
      <c r="G34" s="4"/>
      <c r="H34" s="4"/>
      <c r="I34" s="4"/>
    </row>
    <row r="35" spans="1:9" x14ac:dyDescent="0.25">
      <c r="A35" t="s">
        <v>49</v>
      </c>
    </row>
    <row r="36" spans="1:9" x14ac:dyDescent="0.25">
      <c r="A36" t="s">
        <v>91</v>
      </c>
    </row>
    <row r="38" spans="1:9" x14ac:dyDescent="0.25">
      <c r="A38" t="s">
        <v>240</v>
      </c>
    </row>
    <row r="39" spans="1:9" x14ac:dyDescent="0.25">
      <c r="B39" t="s">
        <v>5</v>
      </c>
      <c r="C39" t="s">
        <v>36</v>
      </c>
      <c r="D39" t="s">
        <v>37</v>
      </c>
      <c r="E39" t="s">
        <v>90</v>
      </c>
    </row>
    <row r="40" spans="1:9" x14ac:dyDescent="0.25">
      <c r="B40" s="1">
        <f>'DC Model'!E12</f>
        <v>17.37</v>
      </c>
      <c r="C40" s="1">
        <f>'DC Model'!H12</f>
        <v>6.15</v>
      </c>
      <c r="D40" s="1">
        <f>'DC Model'!K12</f>
        <v>6.8</v>
      </c>
      <c r="E40" s="1">
        <f>'DC Model'!N12</f>
        <v>5.72</v>
      </c>
      <c r="F40" s="1"/>
      <c r="G40" s="1"/>
      <c r="H40" s="1"/>
      <c r="I40" s="1"/>
    </row>
    <row r="42" spans="1:9" x14ac:dyDescent="0.25">
      <c r="A42" t="s">
        <v>241</v>
      </c>
    </row>
    <row r="43" spans="1:9" x14ac:dyDescent="0.25">
      <c r="B43" t="s">
        <v>5</v>
      </c>
      <c r="C43" t="s">
        <v>36</v>
      </c>
      <c r="D43" t="s">
        <v>37</v>
      </c>
      <c r="E43" t="s">
        <v>94</v>
      </c>
    </row>
    <row r="44" spans="1:9" x14ac:dyDescent="0.25">
      <c r="B44" s="19">
        <f>'DC Model'!D6</f>
        <v>0.78500000000000003</v>
      </c>
      <c r="C44" s="19">
        <f>'DC Model'!G6</f>
        <v>0.78800000000000003</v>
      </c>
      <c r="D44" s="19">
        <f>'DC Model'!J6</f>
        <v>1.0649999999999999</v>
      </c>
      <c r="E44" s="19">
        <f>'DC Model'!M6</f>
        <v>1.244</v>
      </c>
      <c r="F44" s="19"/>
      <c r="G44" s="19"/>
      <c r="H44" s="19"/>
      <c r="I44" s="19"/>
    </row>
    <row r="49" spans="2:9" x14ac:dyDescent="0.25">
      <c r="B49" s="20"/>
      <c r="C49" s="20"/>
      <c r="D49" s="20"/>
      <c r="E49" s="20"/>
      <c r="F49" s="20"/>
      <c r="G49" s="20"/>
      <c r="H49" s="20"/>
      <c r="I49" s="20"/>
    </row>
    <row r="50" spans="2:9" x14ac:dyDescent="0.25">
      <c r="B50" s="4"/>
      <c r="C50" s="4"/>
      <c r="D50" s="4"/>
      <c r="E50" s="20"/>
      <c r="F50" s="20"/>
      <c r="G50" s="20"/>
      <c r="H50" s="20"/>
      <c r="I50" s="20"/>
    </row>
    <row r="51" spans="2:9" x14ac:dyDescent="0.25">
      <c r="E51" s="20"/>
      <c r="F51" s="20"/>
      <c r="G51" s="20"/>
      <c r="H51" s="20"/>
      <c r="I51" s="20"/>
    </row>
    <row r="52" spans="2:9" x14ac:dyDescent="0.25">
      <c r="E52" s="20"/>
      <c r="F52" s="20"/>
      <c r="G52" s="20"/>
      <c r="H52" s="20"/>
      <c r="I52" s="20"/>
    </row>
  </sheetData>
  <pageMargins left="0.7" right="0.7" top="0.75" bottom="0.75" header="0.3" footer="0.3"/>
  <pageSetup scale="76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R52"/>
  <sheetViews>
    <sheetView zoomScale="80" zoomScaleNormal="80" workbookViewId="0"/>
  </sheetViews>
  <sheetFormatPr defaultColWidth="8.85546875" defaultRowHeight="15" x14ac:dyDescent="0.25"/>
  <sheetData>
    <row r="1" spans="1:18" x14ac:dyDescent="0.25">
      <c r="A1" t="s">
        <v>73</v>
      </c>
    </row>
    <row r="2" spans="1:18" x14ac:dyDescent="0.25">
      <c r="A2" t="s">
        <v>238</v>
      </c>
    </row>
    <row r="3" spans="1:18" ht="15.75" thickBot="1" x14ac:dyDescent="0.3"/>
    <row r="4" spans="1:18" x14ac:dyDescent="0.25">
      <c r="A4" s="40" t="s">
        <v>42</v>
      </c>
      <c r="B4" s="31" t="s">
        <v>60</v>
      </c>
      <c r="C4" s="32"/>
      <c r="D4" s="32"/>
      <c r="E4" s="33"/>
      <c r="F4" s="31" t="s">
        <v>61</v>
      </c>
      <c r="G4" s="32"/>
      <c r="H4" s="32"/>
      <c r="I4" s="33"/>
      <c r="K4" s="14" t="s">
        <v>68</v>
      </c>
      <c r="L4" s="15"/>
      <c r="M4" s="15"/>
      <c r="N4" s="21"/>
      <c r="O4" s="14" t="s">
        <v>47</v>
      </c>
      <c r="P4" s="15"/>
      <c r="Q4" s="15"/>
      <c r="R4" s="21"/>
    </row>
    <row r="5" spans="1:18" ht="15.75" thickBot="1" x14ac:dyDescent="0.3">
      <c r="A5" s="40"/>
      <c r="B5" s="48" t="s">
        <v>5</v>
      </c>
      <c r="C5" s="49" t="s">
        <v>36</v>
      </c>
      <c r="D5" s="49" t="s">
        <v>37</v>
      </c>
      <c r="E5" s="50" t="s">
        <v>16</v>
      </c>
      <c r="F5" s="48" t="s">
        <v>5</v>
      </c>
      <c r="G5" s="49" t="s">
        <v>36</v>
      </c>
      <c r="H5" s="49" t="s">
        <v>37</v>
      </c>
      <c r="I5" s="50" t="s">
        <v>16</v>
      </c>
      <c r="K5" s="41" t="s">
        <v>5</v>
      </c>
      <c r="L5" s="42" t="s">
        <v>36</v>
      </c>
      <c r="M5" s="42" t="s">
        <v>37</v>
      </c>
      <c r="N5" s="43" t="s">
        <v>16</v>
      </c>
      <c r="O5" s="41" t="s">
        <v>5</v>
      </c>
      <c r="P5" s="42" t="s">
        <v>36</v>
      </c>
      <c r="Q5" s="42" t="s">
        <v>37</v>
      </c>
      <c r="R5" s="43" t="s">
        <v>6</v>
      </c>
    </row>
    <row r="6" spans="1:18" x14ac:dyDescent="0.25">
      <c r="A6" s="40">
        <f>'ICAP Prices'!A9</f>
        <v>2025</v>
      </c>
      <c r="B6" s="34">
        <f t="shared" ref="B6:B26" si="0">O6*K6+(P6-O6)*L6+(R6-P6)*N6</f>
        <v>6.4508759488357708</v>
      </c>
      <c r="C6" s="35">
        <f t="shared" ref="C6:C26" si="1">L6*P6+N6*(R6-P6)</f>
        <v>2.6203389867047635</v>
      </c>
      <c r="D6" s="35">
        <f t="shared" ref="D6:D26" si="2">M6*Q6+(R6-Q6)*N6</f>
        <v>2.6203389867047635</v>
      </c>
      <c r="E6" s="35">
        <f t="shared" ref="E6:E26" si="3">N6*R6</f>
        <v>2.6203389867047635</v>
      </c>
      <c r="F6" s="34">
        <f t="shared" ref="F6:F26" si="4">B6/(1-$E$30)</f>
        <v>6.9513749448661315</v>
      </c>
      <c r="G6" s="35">
        <f t="shared" ref="G6:G26" si="5">C6/(1-$E$30)</f>
        <v>2.82364114946634</v>
      </c>
      <c r="H6" s="35">
        <f t="shared" ref="H6:H26" si="6">D6/(1-$E$30)</f>
        <v>2.82364114946634</v>
      </c>
      <c r="I6" s="36">
        <f t="shared" ref="I6:I26" si="7">E6/(1-$E$30)</f>
        <v>2.82364114946634</v>
      </c>
      <c r="K6" s="51">
        <f>'ICAP Prices'!$D9</f>
        <v>6.3308302827030101</v>
      </c>
      <c r="L6" s="52">
        <f>'ICAP Prices'!$G9</f>
        <v>1.9520753973025942</v>
      </c>
      <c r="M6" s="52">
        <f>'ICAP Prices'!$J9</f>
        <v>1.9520753973025942</v>
      </c>
      <c r="N6" s="53">
        <f>'ICAP Prices'!$M9</f>
        <v>1.9520753973025942</v>
      </c>
      <c r="O6" s="46">
        <f t="shared" ref="O6:O26" si="8">B$44*(1+0.18*(1-K6/B$40))</f>
        <v>0.87480049977283059</v>
      </c>
      <c r="P6" s="23">
        <f t="shared" ref="P6:P26" si="9">C$44*(1+0.15*(1-L6/C$40))</f>
        <v>0.86868206309574536</v>
      </c>
      <c r="Q6" s="23">
        <f t="shared" ref="Q6:Q26" si="10">D$44*(1+0.18*(1-M6/D$40))</f>
        <v>1.2016686979907489</v>
      </c>
      <c r="R6" s="24">
        <f t="shared" ref="R6:R26" si="11">E$44*(1+0.12*(1-N6/E$40))</f>
        <v>1.3423349273934735</v>
      </c>
    </row>
    <row r="7" spans="1:18" x14ac:dyDescent="0.25">
      <c r="A7" s="40">
        <f>'ICAP Prices'!A10</f>
        <v>2026</v>
      </c>
      <c r="B7" s="34">
        <f t="shared" si="0"/>
        <v>2.4156975225015747</v>
      </c>
      <c r="C7" s="35">
        <f t="shared" si="1"/>
        <v>1.7790426308761926</v>
      </c>
      <c r="D7" s="35">
        <f t="shared" si="2"/>
        <v>1.7790426308761924</v>
      </c>
      <c r="E7" s="35">
        <f t="shared" si="3"/>
        <v>1.7790426308761926</v>
      </c>
      <c r="F7" s="34">
        <f t="shared" si="4"/>
        <v>2.6031223302818689</v>
      </c>
      <c r="G7" s="35">
        <f t="shared" si="5"/>
        <v>1.9170718005131384</v>
      </c>
      <c r="H7" s="35">
        <f t="shared" si="6"/>
        <v>1.9170718005131382</v>
      </c>
      <c r="I7" s="36">
        <f t="shared" si="7"/>
        <v>1.9170718005131384</v>
      </c>
      <c r="K7" s="27">
        <f>'ICAP Prices'!$D10</f>
        <v>2.008618988167779</v>
      </c>
      <c r="L7" s="12">
        <f>'ICAP Prices'!$G10</f>
        <v>1.3089678255564143</v>
      </c>
      <c r="M7" s="12">
        <f>'ICAP Prices'!$J10</f>
        <v>1.3089678255564143</v>
      </c>
      <c r="N7" s="28">
        <f>'ICAP Prices'!$M10</f>
        <v>1.3089678255564143</v>
      </c>
      <c r="O7" s="46">
        <f t="shared" si="8"/>
        <v>0.9099604569356301</v>
      </c>
      <c r="P7" s="23">
        <f t="shared" si="9"/>
        <v>0.8810422769136963</v>
      </c>
      <c r="Q7" s="23">
        <f t="shared" si="10"/>
        <v>1.2197986570354169</v>
      </c>
      <c r="R7" s="24">
        <f t="shared" si="11"/>
        <v>1.3591186858393249</v>
      </c>
    </row>
    <row r="8" spans="1:18" x14ac:dyDescent="0.25">
      <c r="A8" s="40">
        <f>'ICAP Prices'!A11</f>
        <v>2027</v>
      </c>
      <c r="B8" s="34">
        <f t="shared" si="0"/>
        <v>4.9092402351861422E-2</v>
      </c>
      <c r="C8" s="35">
        <f t="shared" si="1"/>
        <v>4.9092402351861415E-2</v>
      </c>
      <c r="D8" s="35">
        <f t="shared" si="2"/>
        <v>4.9092402351861415E-2</v>
      </c>
      <c r="E8" s="35">
        <f t="shared" si="3"/>
        <v>4.9092402351861415E-2</v>
      </c>
      <c r="F8" s="34">
        <f t="shared" si="4"/>
        <v>5.2901295637781703E-2</v>
      </c>
      <c r="G8" s="35">
        <f t="shared" si="5"/>
        <v>5.2901295637781696E-2</v>
      </c>
      <c r="H8" s="35">
        <f t="shared" si="6"/>
        <v>5.2901295637781696E-2</v>
      </c>
      <c r="I8" s="36">
        <f t="shared" si="7"/>
        <v>5.2901295637781696E-2</v>
      </c>
      <c r="K8" s="27">
        <f>'ICAP Prices'!$D11</f>
        <v>3.5258416192837316E-2</v>
      </c>
      <c r="L8" s="12">
        <f>'ICAP Prices'!$G11</f>
        <v>3.5258416192837316E-2</v>
      </c>
      <c r="M8" s="12">
        <f>'ICAP Prices'!$J11</f>
        <v>3.5258416192837316E-2</v>
      </c>
      <c r="N8" s="28">
        <f>'ICAP Prices'!$M11</f>
        <v>3.5258416192837316E-2</v>
      </c>
      <c r="O8" s="46">
        <f t="shared" si="8"/>
        <v>0.9260131828320064</v>
      </c>
      <c r="P8" s="23">
        <f t="shared" si="9"/>
        <v>0.90552235044000118</v>
      </c>
      <c r="Q8" s="23">
        <f t="shared" si="10"/>
        <v>1.2557060237670341</v>
      </c>
      <c r="R8" s="24">
        <f t="shared" si="11"/>
        <v>1.3923598293060722</v>
      </c>
    </row>
    <row r="9" spans="1:18" x14ac:dyDescent="0.25">
      <c r="A9" s="40">
        <f>'ICAP Prices'!A12</f>
        <v>2028</v>
      </c>
      <c r="B9" s="34">
        <f t="shared" si="0"/>
        <v>1.3930190209790212E-2</v>
      </c>
      <c r="C9" s="35">
        <f t="shared" si="1"/>
        <v>1.393019020979021E-2</v>
      </c>
      <c r="D9" s="35">
        <f t="shared" si="2"/>
        <v>1.393019020979021E-2</v>
      </c>
      <c r="E9" s="35">
        <f t="shared" si="3"/>
        <v>1.393019020979021E-2</v>
      </c>
      <c r="F9" s="34">
        <f t="shared" si="4"/>
        <v>1.5010980829515314E-2</v>
      </c>
      <c r="G9" s="35">
        <f t="shared" si="5"/>
        <v>1.5010980829515311E-2</v>
      </c>
      <c r="H9" s="35">
        <f t="shared" si="6"/>
        <v>1.5010980829515311E-2</v>
      </c>
      <c r="I9" s="36">
        <f t="shared" si="7"/>
        <v>1.5010980829515311E-2</v>
      </c>
      <c r="K9" s="27">
        <f>'ICAP Prices'!$D12</f>
        <v>0.01</v>
      </c>
      <c r="L9" s="12">
        <f>'ICAP Prices'!$G12</f>
        <v>0.01</v>
      </c>
      <c r="M9" s="12">
        <f>'ICAP Prices'!$J12</f>
        <v>0.01</v>
      </c>
      <c r="N9" s="28">
        <f>'ICAP Prices'!$M12</f>
        <v>0.01</v>
      </c>
      <c r="O9" s="46">
        <f t="shared" si="8"/>
        <v>0.92621865284974103</v>
      </c>
      <c r="P9" s="23">
        <f t="shared" si="9"/>
        <v>0.90600780487804877</v>
      </c>
      <c r="Q9" s="23">
        <f t="shared" si="10"/>
        <v>1.256418088235294</v>
      </c>
      <c r="R9" s="24">
        <f t="shared" si="11"/>
        <v>1.393019020979021</v>
      </c>
    </row>
    <row r="10" spans="1:18" x14ac:dyDescent="0.25">
      <c r="A10" s="40">
        <f>'ICAP Prices'!A13</f>
        <v>2029</v>
      </c>
      <c r="B10" s="34">
        <f t="shared" si="0"/>
        <v>1.3930190209790212E-2</v>
      </c>
      <c r="C10" s="35">
        <f t="shared" si="1"/>
        <v>1.393019020979021E-2</v>
      </c>
      <c r="D10" s="35">
        <f t="shared" si="2"/>
        <v>1.393019020979021E-2</v>
      </c>
      <c r="E10" s="35">
        <f t="shared" si="3"/>
        <v>1.393019020979021E-2</v>
      </c>
      <c r="F10" s="34">
        <f t="shared" si="4"/>
        <v>1.5010980829515314E-2</v>
      </c>
      <c r="G10" s="35">
        <f t="shared" si="5"/>
        <v>1.5010980829515311E-2</v>
      </c>
      <c r="H10" s="35">
        <f t="shared" si="6"/>
        <v>1.5010980829515311E-2</v>
      </c>
      <c r="I10" s="36">
        <f t="shared" si="7"/>
        <v>1.5010980829515311E-2</v>
      </c>
      <c r="K10" s="27">
        <f>'ICAP Prices'!$D13</f>
        <v>0.01</v>
      </c>
      <c r="L10" s="12">
        <f>'ICAP Prices'!$G13</f>
        <v>0.01</v>
      </c>
      <c r="M10" s="12">
        <f>'ICAP Prices'!$J13</f>
        <v>0.01</v>
      </c>
      <c r="N10" s="28">
        <f>'ICAP Prices'!$M13</f>
        <v>0.01</v>
      </c>
      <c r="O10" s="46">
        <f t="shared" si="8"/>
        <v>0.92621865284974103</v>
      </c>
      <c r="P10" s="23">
        <f t="shared" si="9"/>
        <v>0.90600780487804877</v>
      </c>
      <c r="Q10" s="23">
        <f t="shared" si="10"/>
        <v>1.256418088235294</v>
      </c>
      <c r="R10" s="24">
        <f t="shared" si="11"/>
        <v>1.393019020979021</v>
      </c>
    </row>
    <row r="11" spans="1:18" x14ac:dyDescent="0.25">
      <c r="A11" s="40">
        <f>'ICAP Prices'!A14</f>
        <v>2030</v>
      </c>
      <c r="B11" s="34">
        <f t="shared" si="0"/>
        <v>2.9933587620065265</v>
      </c>
      <c r="C11" s="35">
        <f t="shared" si="1"/>
        <v>0.85541265113795806</v>
      </c>
      <c r="D11" s="35">
        <f t="shared" si="2"/>
        <v>0.85541265113795806</v>
      </c>
      <c r="E11" s="35">
        <f t="shared" si="3"/>
        <v>0.85541265113795806</v>
      </c>
      <c r="F11" s="34">
        <f t="shared" si="4"/>
        <v>3.2256021142311706</v>
      </c>
      <c r="G11" s="35">
        <f t="shared" si="5"/>
        <v>0.92178087407107545</v>
      </c>
      <c r="H11" s="35">
        <f t="shared" si="6"/>
        <v>0.92178087407107545</v>
      </c>
      <c r="I11" s="36">
        <f t="shared" si="7"/>
        <v>0.92178087407107545</v>
      </c>
      <c r="K11" s="27">
        <f>'ICAP Prices'!$D14</f>
        <v>2.9915044219401707</v>
      </c>
      <c r="L11" s="12">
        <f>'ICAP Prices'!$G14</f>
        <v>0.62118384837922491</v>
      </c>
      <c r="M11" s="12">
        <f>'ICAP Prices'!$J14</f>
        <v>0.62118384837922491</v>
      </c>
      <c r="N11" s="28">
        <f>'ICAP Prices'!$M14</f>
        <v>0.62118384837922491</v>
      </c>
      <c r="O11" s="46">
        <f t="shared" si="8"/>
        <v>0.90196496402877702</v>
      </c>
      <c r="P11" s="23">
        <f t="shared" si="9"/>
        <v>0.89426114945066282</v>
      </c>
      <c r="Q11" s="23">
        <f t="shared" si="10"/>
        <v>1.239188096509662</v>
      </c>
      <c r="R11" s="24">
        <f t="shared" si="11"/>
        <v>1.3770684047402009</v>
      </c>
    </row>
    <row r="12" spans="1:18" x14ac:dyDescent="0.25">
      <c r="A12" s="40">
        <f>'ICAP Prices'!A15</f>
        <v>2031</v>
      </c>
      <c r="B12" s="34">
        <f t="shared" si="0"/>
        <v>3.6303494450637888</v>
      </c>
      <c r="C12" s="35">
        <f t="shared" si="1"/>
        <v>1.4560187473510644</v>
      </c>
      <c r="D12" s="35">
        <f t="shared" si="2"/>
        <v>1.4560187473510644</v>
      </c>
      <c r="E12" s="35">
        <f t="shared" si="3"/>
        <v>1.4560187473510644</v>
      </c>
      <c r="F12" s="34">
        <f t="shared" si="4"/>
        <v>3.9120144882152896</v>
      </c>
      <c r="G12" s="35">
        <f t="shared" si="5"/>
        <v>1.5689857191283021</v>
      </c>
      <c r="H12" s="35">
        <f t="shared" si="6"/>
        <v>1.5689857191283021</v>
      </c>
      <c r="I12" s="36">
        <f t="shared" si="7"/>
        <v>1.5689857191283021</v>
      </c>
      <c r="K12" s="27">
        <f>'ICAP Prices'!$D15</f>
        <v>3.4878271416270987</v>
      </c>
      <c r="L12" s="12">
        <f>'ICAP Prices'!$G15</f>
        <v>1.0663280240080431</v>
      </c>
      <c r="M12" s="12">
        <f>'ICAP Prices'!$J15</f>
        <v>1.0663280240080431</v>
      </c>
      <c r="N12" s="28">
        <f>'ICAP Prices'!$M15</f>
        <v>1.0663280240080431</v>
      </c>
      <c r="O12" s="46">
        <f t="shared" si="8"/>
        <v>0.89792752014324073</v>
      </c>
      <c r="P12" s="23">
        <f t="shared" si="9"/>
        <v>0.88570569553857725</v>
      </c>
      <c r="Q12" s="23">
        <f t="shared" si="10"/>
        <v>1.2266389584996555</v>
      </c>
      <c r="R12" s="24">
        <f t="shared" si="11"/>
        <v>1.3654510756251887</v>
      </c>
    </row>
    <row r="13" spans="1:18" x14ac:dyDescent="0.25">
      <c r="A13" s="40">
        <f>'ICAP Prices'!A16</f>
        <v>2032</v>
      </c>
      <c r="B13" s="34">
        <f t="shared" si="0"/>
        <v>4.6221090478984568</v>
      </c>
      <c r="C13" s="35">
        <f t="shared" si="1"/>
        <v>2.1380861979659009</v>
      </c>
      <c r="D13" s="35">
        <f t="shared" si="2"/>
        <v>2.1380861979659009</v>
      </c>
      <c r="E13" s="35">
        <f t="shared" si="3"/>
        <v>2.1380861979659009</v>
      </c>
      <c r="F13" s="34">
        <f t="shared" si="4"/>
        <v>4.9807209567871302</v>
      </c>
      <c r="G13" s="35">
        <f t="shared" si="5"/>
        <v>2.303972196083945</v>
      </c>
      <c r="H13" s="35">
        <f t="shared" si="6"/>
        <v>2.303972196083945</v>
      </c>
      <c r="I13" s="36">
        <f t="shared" si="7"/>
        <v>2.303972196083945</v>
      </c>
      <c r="K13" s="27">
        <f>'ICAP Prices'!$D16</f>
        <v>4.3701002817029</v>
      </c>
      <c r="L13" s="12">
        <f>'ICAP Prices'!$G16</f>
        <v>1.5814148901201319</v>
      </c>
      <c r="M13" s="12">
        <f>'ICAP Prices'!$J16</f>
        <v>1.5814148901201319</v>
      </c>
      <c r="N13" s="28">
        <f>'ICAP Prices'!$M16</f>
        <v>1.5814148901201319</v>
      </c>
      <c r="O13" s="46">
        <f t="shared" si="8"/>
        <v>0.89075047957371223</v>
      </c>
      <c r="P13" s="23">
        <f t="shared" si="9"/>
        <v>0.87580597723378872</v>
      </c>
      <c r="Q13" s="23">
        <f t="shared" si="10"/>
        <v>1.2121180537594074</v>
      </c>
      <c r="R13" s="24">
        <f t="shared" si="11"/>
        <v>1.3520083890214802</v>
      </c>
    </row>
    <row r="14" spans="1:18" x14ac:dyDescent="0.25">
      <c r="A14" s="40">
        <f>'ICAP Prices'!A17</f>
        <v>2033</v>
      </c>
      <c r="B14" s="34">
        <f t="shared" si="0"/>
        <v>5.4259518641963673</v>
      </c>
      <c r="C14" s="35">
        <f t="shared" si="1"/>
        <v>2.8322918195697526</v>
      </c>
      <c r="D14" s="35">
        <f t="shared" si="2"/>
        <v>2.8322918195697526</v>
      </c>
      <c r="E14" s="35">
        <f t="shared" si="3"/>
        <v>2.8322918195697526</v>
      </c>
      <c r="F14" s="34">
        <f t="shared" si="4"/>
        <v>5.8469308881426372</v>
      </c>
      <c r="G14" s="35">
        <f t="shared" si="5"/>
        <v>3.0520385986743022</v>
      </c>
      <c r="H14" s="35">
        <f t="shared" si="6"/>
        <v>3.0520385986743022</v>
      </c>
      <c r="I14" s="36">
        <f t="shared" si="7"/>
        <v>3.0520385986743022</v>
      </c>
      <c r="K14" s="27">
        <f>'ICAP Prices'!$D17</f>
        <v>5.046622168753288</v>
      </c>
      <c r="L14" s="12">
        <f>'ICAP Prices'!$G17</f>
        <v>2.1167511204653149</v>
      </c>
      <c r="M14" s="12">
        <f>'ICAP Prices'!$J17</f>
        <v>2.1167511204653149</v>
      </c>
      <c r="N14" s="28">
        <f>'ICAP Prices'!$M17</f>
        <v>2.1167511204653149</v>
      </c>
      <c r="O14" s="46">
        <f t="shared" si="8"/>
        <v>0.88524716681376869</v>
      </c>
      <c r="P14" s="23">
        <f t="shared" si="9"/>
        <v>0.86551707602617878</v>
      </c>
      <c r="Q14" s="23">
        <f t="shared" si="10"/>
        <v>1.1970262956186468</v>
      </c>
      <c r="R14" s="24">
        <f t="shared" si="11"/>
        <v>1.3380372364924715</v>
      </c>
    </row>
    <row r="15" spans="1:18" x14ac:dyDescent="0.25">
      <c r="A15" s="40">
        <f>'ICAP Prices'!A18</f>
        <v>2034</v>
      </c>
      <c r="B15" s="34">
        <f t="shared" si="0"/>
        <v>6.3355411430323691</v>
      </c>
      <c r="C15" s="35">
        <f t="shared" si="1"/>
        <v>3.4044294167310056</v>
      </c>
      <c r="D15" s="35">
        <f t="shared" si="2"/>
        <v>3.4044294167310056</v>
      </c>
      <c r="E15" s="35">
        <f t="shared" si="3"/>
        <v>3.4044294167310056</v>
      </c>
      <c r="F15" s="34">
        <f t="shared" si="4"/>
        <v>6.8270917489572938</v>
      </c>
      <c r="G15" s="35">
        <f t="shared" si="5"/>
        <v>3.6685661818222042</v>
      </c>
      <c r="H15" s="35">
        <f t="shared" si="6"/>
        <v>3.6685661818222042</v>
      </c>
      <c r="I15" s="36">
        <f t="shared" si="7"/>
        <v>3.6685661818222042</v>
      </c>
      <c r="K15" s="27">
        <f>'ICAP Prices'!$D18</f>
        <v>5.9042494896650339</v>
      </c>
      <c r="L15" s="12">
        <f>'ICAP Prices'!$G18</f>
        <v>2.5668820734609423</v>
      </c>
      <c r="M15" s="12">
        <f>'ICAP Prices'!$J18</f>
        <v>2.5668820734609423</v>
      </c>
      <c r="N15" s="28">
        <f>'ICAP Prices'!$M18</f>
        <v>2.5668820734609423</v>
      </c>
      <c r="O15" s="46">
        <f t="shared" si="8"/>
        <v>0.87827061295971975</v>
      </c>
      <c r="P15" s="23">
        <f t="shared" si="9"/>
        <v>0.85686577868567759</v>
      </c>
      <c r="Q15" s="23">
        <f t="shared" si="10"/>
        <v>1.1843365744878731</v>
      </c>
      <c r="R15" s="24">
        <f t="shared" si="11"/>
        <v>1.3262897629499564</v>
      </c>
    </row>
    <row r="16" spans="1:18" x14ac:dyDescent="0.25">
      <c r="A16" s="40">
        <f>'ICAP Prices'!A19</f>
        <v>2035</v>
      </c>
      <c r="B16" s="34">
        <f t="shared" si="0"/>
        <v>6.904567936125761</v>
      </c>
      <c r="C16" s="35">
        <f t="shared" si="1"/>
        <v>3.9744135107573966</v>
      </c>
      <c r="D16" s="35">
        <f t="shared" si="2"/>
        <v>3.9744135107573961</v>
      </c>
      <c r="E16" s="35">
        <f t="shared" si="3"/>
        <v>3.9744135107573961</v>
      </c>
      <c r="F16" s="34">
        <f t="shared" si="4"/>
        <v>7.4402671725493112</v>
      </c>
      <c r="G16" s="35">
        <f t="shared" si="5"/>
        <v>4.2827731796954707</v>
      </c>
      <c r="H16" s="35">
        <f t="shared" si="6"/>
        <v>4.2827731796954698</v>
      </c>
      <c r="I16" s="36">
        <f t="shared" si="7"/>
        <v>4.2827731796954698</v>
      </c>
      <c r="K16" s="27">
        <f>'ICAP Prices'!$D19</f>
        <v>6.374708062387171</v>
      </c>
      <c r="L16" s="12">
        <f>'ICAP Prices'!$G19</f>
        <v>3.023829243568342</v>
      </c>
      <c r="M16" s="12">
        <f>'ICAP Prices'!$J19</f>
        <v>3.023829243568342</v>
      </c>
      <c r="N16" s="28">
        <f>'ICAP Prices'!$M19</f>
        <v>3.023829243568342</v>
      </c>
      <c r="O16" s="46">
        <f t="shared" si="8"/>
        <v>0.87444356653913025</v>
      </c>
      <c r="P16" s="23">
        <f t="shared" si="9"/>
        <v>0.84808347697727193</v>
      </c>
      <c r="Q16" s="23">
        <f t="shared" si="10"/>
        <v>1.1714546961776393</v>
      </c>
      <c r="R16" s="24">
        <f t="shared" si="11"/>
        <v>1.3143644004405799</v>
      </c>
    </row>
    <row r="17" spans="1:18" x14ac:dyDescent="0.25">
      <c r="A17" s="40">
        <f>'ICAP Prices'!A20</f>
        <v>2036</v>
      </c>
      <c r="B17" s="34">
        <f t="shared" si="0"/>
        <v>7.0692162469386215</v>
      </c>
      <c r="C17" s="35">
        <f t="shared" si="1"/>
        <v>4.4903474322269137</v>
      </c>
      <c r="D17" s="35">
        <f t="shared" si="2"/>
        <v>4.4903474322269146</v>
      </c>
      <c r="E17" s="35">
        <f t="shared" si="3"/>
        <v>4.4903474322269146</v>
      </c>
      <c r="F17" s="34">
        <f t="shared" si="4"/>
        <v>7.6176899212700659</v>
      </c>
      <c r="G17" s="35">
        <f t="shared" si="5"/>
        <v>4.8387364571410707</v>
      </c>
      <c r="H17" s="35">
        <f t="shared" si="6"/>
        <v>4.8387364571410716</v>
      </c>
      <c r="I17" s="36">
        <f t="shared" si="7"/>
        <v>4.8387364571410716</v>
      </c>
      <c r="K17" s="27">
        <f>'ICAP Prices'!$D20</f>
        <v>6.3948962655265351</v>
      </c>
      <c r="L17" s="12">
        <f>'ICAP Prices'!$G20</f>
        <v>3.4451882111237615</v>
      </c>
      <c r="M17" s="12">
        <f>'ICAP Prices'!$J20</f>
        <v>3.4451882111237615</v>
      </c>
      <c r="N17" s="28">
        <f>'ICAP Prices'!$M20</f>
        <v>3.4451882111237615</v>
      </c>
      <c r="O17" s="46">
        <f t="shared" si="8"/>
        <v>0.87427934125970652</v>
      </c>
      <c r="P17" s="23">
        <f t="shared" si="9"/>
        <v>0.83998516316181648</v>
      </c>
      <c r="Q17" s="23">
        <f t="shared" si="10"/>
        <v>1.1595760911658199</v>
      </c>
      <c r="R17" s="24">
        <f t="shared" si="11"/>
        <v>1.3033678153572457</v>
      </c>
    </row>
    <row r="18" spans="1:18" x14ac:dyDescent="0.25">
      <c r="A18" s="40">
        <f>'ICAP Prices'!A21</f>
        <v>2037</v>
      </c>
      <c r="B18" s="34">
        <f t="shared" si="0"/>
        <v>7.2139277368267027</v>
      </c>
      <c r="C18" s="35">
        <f t="shared" si="1"/>
        <v>4.9645364380586168</v>
      </c>
      <c r="D18" s="35">
        <f t="shared" si="2"/>
        <v>4.9645364380586168</v>
      </c>
      <c r="E18" s="35">
        <f t="shared" si="3"/>
        <v>4.9645364380586168</v>
      </c>
      <c r="F18" s="34">
        <f t="shared" si="4"/>
        <v>7.7736290267529125</v>
      </c>
      <c r="G18" s="35">
        <f t="shared" si="5"/>
        <v>5.3497159892873025</v>
      </c>
      <c r="H18" s="35">
        <f t="shared" si="6"/>
        <v>5.3497159892873025</v>
      </c>
      <c r="I18" s="36">
        <f t="shared" si="7"/>
        <v>5.3497159892873025</v>
      </c>
      <c r="K18" s="27">
        <f>'ICAP Prices'!$D21</f>
        <v>6.4125799243746719</v>
      </c>
      <c r="L18" s="12">
        <f>'ICAP Prices'!$G21</f>
        <v>3.8393045852717522</v>
      </c>
      <c r="M18" s="12">
        <f>'ICAP Prices'!$J21</f>
        <v>3.8393045852717522</v>
      </c>
      <c r="N18" s="28">
        <f>'ICAP Prices'!$M21</f>
        <v>3.8393045852717522</v>
      </c>
      <c r="O18" s="46">
        <f t="shared" si="8"/>
        <v>0.8741354897343615</v>
      </c>
      <c r="P18" s="23">
        <f t="shared" si="9"/>
        <v>0.83241043870258202</v>
      </c>
      <c r="Q18" s="23">
        <f t="shared" si="10"/>
        <v>1.1484654869122655</v>
      </c>
      <c r="R18" s="24">
        <f t="shared" si="11"/>
        <v>1.2930822048095512</v>
      </c>
    </row>
    <row r="19" spans="1:18" x14ac:dyDescent="0.25">
      <c r="A19" s="40">
        <f>'ICAP Prices'!A22</f>
        <v>2038</v>
      </c>
      <c r="B19" s="34">
        <f t="shared" si="0"/>
        <v>7.3482472768953233</v>
      </c>
      <c r="C19" s="35">
        <f t="shared" si="1"/>
        <v>5.4220291943886476</v>
      </c>
      <c r="D19" s="35">
        <f t="shared" si="2"/>
        <v>5.4220291943886476</v>
      </c>
      <c r="E19" s="35">
        <f t="shared" si="3"/>
        <v>5.4220291943886476</v>
      </c>
      <c r="F19" s="34">
        <f t="shared" si="4"/>
        <v>7.918369910447546</v>
      </c>
      <c r="G19" s="35">
        <f t="shared" si="5"/>
        <v>5.8427038732636287</v>
      </c>
      <c r="H19" s="35">
        <f t="shared" si="6"/>
        <v>5.8427038732636287</v>
      </c>
      <c r="I19" s="36">
        <f t="shared" si="7"/>
        <v>5.8427038732636287</v>
      </c>
      <c r="K19" s="27">
        <f>'ICAP Prices'!$D22</f>
        <v>6.4300227844640432</v>
      </c>
      <c r="L19" s="12">
        <f>'ICAP Prices'!$G22</f>
        <v>4.2260957888498281</v>
      </c>
      <c r="M19" s="12">
        <f>'ICAP Prices'!$J22</f>
        <v>4.2260957888498281</v>
      </c>
      <c r="N19" s="28">
        <f>'ICAP Prices'!$M22</f>
        <v>4.2260957888498281</v>
      </c>
      <c r="O19" s="46">
        <f t="shared" si="8"/>
        <v>0.87399359703829771</v>
      </c>
      <c r="P19" s="23">
        <f t="shared" si="9"/>
        <v>0.82497650044844717</v>
      </c>
      <c r="Q19" s="23">
        <f t="shared" si="10"/>
        <v>1.1375613878349247</v>
      </c>
      <c r="R19" s="24">
        <f t="shared" si="11"/>
        <v>1.2829877658462407</v>
      </c>
    </row>
    <row r="20" spans="1:18" x14ac:dyDescent="0.25">
      <c r="A20" s="40">
        <f>'ICAP Prices'!A23</f>
        <v>2039</v>
      </c>
      <c r="B20" s="34">
        <f t="shared" si="0"/>
        <v>7.4619566977504066</v>
      </c>
      <c r="C20" s="35">
        <f t="shared" si="1"/>
        <v>5.8268885488962958</v>
      </c>
      <c r="D20" s="35">
        <f t="shared" si="2"/>
        <v>5.8268885488962958</v>
      </c>
      <c r="E20" s="35">
        <f t="shared" si="3"/>
        <v>5.8268885488962958</v>
      </c>
      <c r="F20" s="34">
        <f t="shared" si="4"/>
        <v>8.0409016139551799</v>
      </c>
      <c r="G20" s="35">
        <f t="shared" si="5"/>
        <v>6.2789747294141112</v>
      </c>
      <c r="H20" s="35">
        <f t="shared" si="6"/>
        <v>6.2789747294141112</v>
      </c>
      <c r="I20" s="36">
        <f t="shared" si="7"/>
        <v>6.2789747294141112</v>
      </c>
      <c r="K20" s="27">
        <f>'ICAP Prices'!$D23</f>
        <v>6.445091600461291</v>
      </c>
      <c r="L20" s="12">
        <f>'ICAP Prices'!$G23</f>
        <v>4.5740281163147145</v>
      </c>
      <c r="M20" s="12">
        <f>'ICAP Prices'!$J23</f>
        <v>4.5740281163147145</v>
      </c>
      <c r="N20" s="28">
        <f>'ICAP Prices'!$M23</f>
        <v>4.5740281163147145</v>
      </c>
      <c r="O20" s="46">
        <f t="shared" si="8"/>
        <v>0.87387101651438226</v>
      </c>
      <c r="P20" s="23">
        <f t="shared" si="9"/>
        <v>0.81828941083765872</v>
      </c>
      <c r="Q20" s="23">
        <f t="shared" si="10"/>
        <v>1.1277527661915394</v>
      </c>
      <c r="R20" s="24">
        <f t="shared" si="11"/>
        <v>1.2739074620273669</v>
      </c>
    </row>
    <row r="21" spans="1:18" x14ac:dyDescent="0.25">
      <c r="A21" s="40">
        <f>'ICAP Prices'!A24</f>
        <v>2040</v>
      </c>
      <c r="B21" s="34">
        <f t="shared" si="0"/>
        <v>7.4028550825722599</v>
      </c>
      <c r="C21" s="35">
        <f t="shared" si="1"/>
        <v>5.5435954433566428</v>
      </c>
      <c r="D21" s="35">
        <f t="shared" si="2"/>
        <v>5.5435954433566428</v>
      </c>
      <c r="E21" s="35">
        <f t="shared" si="3"/>
        <v>5.5435954433566428</v>
      </c>
      <c r="F21" s="34">
        <f t="shared" si="4"/>
        <v>7.9772145286339002</v>
      </c>
      <c r="G21" s="35">
        <f t="shared" si="5"/>
        <v>5.9737019863756924</v>
      </c>
      <c r="H21" s="35">
        <f t="shared" si="6"/>
        <v>5.9737019863756924</v>
      </c>
      <c r="I21" s="36">
        <f t="shared" si="7"/>
        <v>5.9737019863756924</v>
      </c>
      <c r="K21" s="27">
        <f>'ICAP Prices'!$D24</f>
        <v>6.4578663903579496</v>
      </c>
      <c r="L21" s="12">
        <f>'ICAP Prices'!$G24</f>
        <v>4.33</v>
      </c>
      <c r="M21" s="12">
        <f>'ICAP Prices'!$J24</f>
        <v>4.33</v>
      </c>
      <c r="N21" s="28">
        <f>'ICAP Prices'!$M24</f>
        <v>4.33</v>
      </c>
      <c r="O21" s="46">
        <f t="shared" si="8"/>
        <v>0.87376709723905721</v>
      </c>
      <c r="P21" s="23">
        <f t="shared" si="9"/>
        <v>0.822979512195122</v>
      </c>
      <c r="Q21" s="23">
        <f t="shared" si="10"/>
        <v>1.134632205882353</v>
      </c>
      <c r="R21" s="24">
        <f t="shared" si="11"/>
        <v>1.2802760839160838</v>
      </c>
    </row>
    <row r="22" spans="1:18" x14ac:dyDescent="0.25">
      <c r="A22" s="40">
        <f>'ICAP Prices'!A25</f>
        <v>2041</v>
      </c>
      <c r="B22" s="34">
        <f t="shared" si="0"/>
        <v>7.4154790287871108</v>
      </c>
      <c r="C22" s="35">
        <f t="shared" si="1"/>
        <v>5.5435954433566428</v>
      </c>
      <c r="D22" s="35">
        <f t="shared" si="2"/>
        <v>5.5435954433566428</v>
      </c>
      <c r="E22" s="35">
        <f t="shared" si="3"/>
        <v>5.5435954433566428</v>
      </c>
      <c r="F22" s="34">
        <f t="shared" si="4"/>
        <v>7.9908179189516275</v>
      </c>
      <c r="G22" s="35">
        <f t="shared" si="5"/>
        <v>5.9737019863756924</v>
      </c>
      <c r="H22" s="35">
        <f t="shared" si="6"/>
        <v>5.9737019863756924</v>
      </c>
      <c r="I22" s="36">
        <f t="shared" si="7"/>
        <v>5.9737019863756924</v>
      </c>
      <c r="K22" s="27">
        <f>'ICAP Prices'!$D25</f>
        <v>6.4726081771926829</v>
      </c>
      <c r="L22" s="12">
        <f>'ICAP Prices'!$G25</f>
        <v>4.33</v>
      </c>
      <c r="M22" s="12">
        <f>'ICAP Prices'!$J25</f>
        <v>4.33</v>
      </c>
      <c r="N22" s="28">
        <f>'ICAP Prices'!$M25</f>
        <v>4.33</v>
      </c>
      <c r="O22" s="46">
        <f t="shared" si="8"/>
        <v>0.87364717700418393</v>
      </c>
      <c r="P22" s="23">
        <f t="shared" si="9"/>
        <v>0.822979512195122</v>
      </c>
      <c r="Q22" s="23">
        <f t="shared" si="10"/>
        <v>1.134632205882353</v>
      </c>
      <c r="R22" s="24">
        <f t="shared" si="11"/>
        <v>1.2802760839160838</v>
      </c>
    </row>
    <row r="23" spans="1:18" x14ac:dyDescent="0.25">
      <c r="A23" s="40">
        <f>'ICAP Prices'!A26</f>
        <v>2042</v>
      </c>
      <c r="B23" s="34">
        <f t="shared" si="0"/>
        <v>7.4244038280580318</v>
      </c>
      <c r="C23" s="35">
        <f t="shared" si="1"/>
        <v>5.5435954433566428</v>
      </c>
      <c r="D23" s="35">
        <f t="shared" si="2"/>
        <v>5.5435954433566428</v>
      </c>
      <c r="E23" s="35">
        <f t="shared" si="3"/>
        <v>5.5435954433566428</v>
      </c>
      <c r="F23" s="34">
        <f t="shared" si="4"/>
        <v>8.0004351595452921</v>
      </c>
      <c r="G23" s="35">
        <f t="shared" si="5"/>
        <v>5.9737019863756924</v>
      </c>
      <c r="H23" s="35">
        <f t="shared" si="6"/>
        <v>5.9737019863756924</v>
      </c>
      <c r="I23" s="36">
        <f t="shared" si="7"/>
        <v>5.9737019863756924</v>
      </c>
      <c r="K23" s="27">
        <f>'ICAP Prices'!$D26</f>
        <v>6.4830327264543808</v>
      </c>
      <c r="L23" s="12">
        <f>'ICAP Prices'!$G26</f>
        <v>4.33</v>
      </c>
      <c r="M23" s="12">
        <f>'ICAP Prices'!$J26</f>
        <v>4.33</v>
      </c>
      <c r="N23" s="28">
        <f>'ICAP Prices'!$M26</f>
        <v>4.33</v>
      </c>
      <c r="O23" s="46">
        <f t="shared" si="8"/>
        <v>0.87356237626666644</v>
      </c>
      <c r="P23" s="23">
        <f t="shared" si="9"/>
        <v>0.822979512195122</v>
      </c>
      <c r="Q23" s="23">
        <f t="shared" si="10"/>
        <v>1.134632205882353</v>
      </c>
      <c r="R23" s="24">
        <f t="shared" si="11"/>
        <v>1.2802760839160838</v>
      </c>
    </row>
    <row r="24" spans="1:18" x14ac:dyDescent="0.25">
      <c r="A24" s="40">
        <f>'ICAP Prices'!A27</f>
        <v>2043</v>
      </c>
      <c r="B24" s="34">
        <f t="shared" si="0"/>
        <v>7.4350136018195778</v>
      </c>
      <c r="C24" s="35">
        <f t="shared" si="1"/>
        <v>5.5435954433566428</v>
      </c>
      <c r="D24" s="35">
        <f t="shared" si="2"/>
        <v>5.5435954433566428</v>
      </c>
      <c r="E24" s="35">
        <f t="shared" si="3"/>
        <v>5.5435954433566428</v>
      </c>
      <c r="F24" s="34">
        <f t="shared" si="4"/>
        <v>8.0118681054090271</v>
      </c>
      <c r="G24" s="35">
        <f t="shared" si="5"/>
        <v>5.9737019863756924</v>
      </c>
      <c r="H24" s="35">
        <f t="shared" si="6"/>
        <v>5.9737019863756924</v>
      </c>
      <c r="I24" s="36">
        <f t="shared" si="7"/>
        <v>5.9737019863756924</v>
      </c>
      <c r="K24" s="27">
        <f>'ICAP Prices'!$D27</f>
        <v>6.4954280860242566</v>
      </c>
      <c r="L24" s="12">
        <f>'ICAP Prices'!$G27</f>
        <v>4.33</v>
      </c>
      <c r="M24" s="12">
        <f>'ICAP Prices'!$J27</f>
        <v>4.33</v>
      </c>
      <c r="N24" s="28">
        <f>'ICAP Prices'!$M27</f>
        <v>4.33</v>
      </c>
      <c r="O24" s="46">
        <f t="shared" si="8"/>
        <v>0.87346154354892191</v>
      </c>
      <c r="P24" s="23">
        <f t="shared" si="9"/>
        <v>0.822979512195122</v>
      </c>
      <c r="Q24" s="23">
        <f t="shared" si="10"/>
        <v>1.134632205882353</v>
      </c>
      <c r="R24" s="24">
        <f t="shared" si="11"/>
        <v>1.2802760839160838</v>
      </c>
    </row>
    <row r="25" spans="1:18" x14ac:dyDescent="0.25">
      <c r="A25" s="40">
        <f>'ICAP Prices'!A28</f>
        <v>2044</v>
      </c>
      <c r="B25" s="34">
        <f t="shared" si="0"/>
        <v>7.4455158656025393</v>
      </c>
      <c r="C25" s="35">
        <f t="shared" si="1"/>
        <v>5.5435954433566428</v>
      </c>
      <c r="D25" s="35">
        <f t="shared" si="2"/>
        <v>5.5435954433566428</v>
      </c>
      <c r="E25" s="35">
        <f t="shared" si="3"/>
        <v>5.5435954433566428</v>
      </c>
      <c r="F25" s="34">
        <f t="shared" si="4"/>
        <v>8.0231852000027359</v>
      </c>
      <c r="G25" s="35">
        <f t="shared" si="5"/>
        <v>5.9737019863756924</v>
      </c>
      <c r="H25" s="35">
        <f t="shared" si="6"/>
        <v>5.9737019863756924</v>
      </c>
      <c r="I25" s="36">
        <f t="shared" si="7"/>
        <v>5.9737019863756924</v>
      </c>
      <c r="K25" s="27">
        <f>'ICAP Prices'!$D28</f>
        <v>6.5077007192617593</v>
      </c>
      <c r="L25" s="12">
        <f>'ICAP Prices'!$G28</f>
        <v>4.33</v>
      </c>
      <c r="M25" s="12">
        <f>'ICAP Prices'!$J28</f>
        <v>4.33</v>
      </c>
      <c r="N25" s="28">
        <f>'ICAP Prices'!$M28</f>
        <v>4.33</v>
      </c>
      <c r="O25" s="46">
        <f t="shared" si="8"/>
        <v>0.87336170917491729</v>
      </c>
      <c r="P25" s="23">
        <f t="shared" si="9"/>
        <v>0.822979512195122</v>
      </c>
      <c r="Q25" s="23">
        <f t="shared" si="10"/>
        <v>1.134632205882353</v>
      </c>
      <c r="R25" s="24">
        <f t="shared" si="11"/>
        <v>1.2802760839160838</v>
      </c>
    </row>
    <row r="26" spans="1:18" ht="15.75" thickBot="1" x14ac:dyDescent="0.3">
      <c r="A26" s="40">
        <f>'ICAP Prices'!A29</f>
        <v>2045</v>
      </c>
      <c r="B26" s="37">
        <f t="shared" si="0"/>
        <v>7.4541867997760809</v>
      </c>
      <c r="C26" s="38">
        <f t="shared" si="1"/>
        <v>5.5435954433566428</v>
      </c>
      <c r="D26" s="38">
        <f t="shared" si="2"/>
        <v>5.5435954433566428</v>
      </c>
      <c r="E26" s="38">
        <f t="shared" si="3"/>
        <v>5.5435954433566428</v>
      </c>
      <c r="F26" s="37">
        <f t="shared" si="4"/>
        <v>8.0325288790690514</v>
      </c>
      <c r="G26" s="38">
        <f t="shared" si="5"/>
        <v>5.9737019863756924</v>
      </c>
      <c r="H26" s="38">
        <f t="shared" si="6"/>
        <v>5.9737019863756924</v>
      </c>
      <c r="I26" s="39">
        <f t="shared" si="7"/>
        <v>5.9737019863756924</v>
      </c>
      <c r="K26" s="29">
        <f>'ICAP Prices'!$D29</f>
        <v>6.5178354739073576</v>
      </c>
      <c r="L26" s="13">
        <f>'ICAP Prices'!$G29</f>
        <v>4.33</v>
      </c>
      <c r="M26" s="13">
        <f>'ICAP Prices'!$J29</f>
        <v>4.33</v>
      </c>
      <c r="N26" s="30">
        <f>'ICAP Prices'!$M29</f>
        <v>4.33</v>
      </c>
      <c r="O26" s="47">
        <f t="shared" si="8"/>
        <v>0.87327926583401794</v>
      </c>
      <c r="P26" s="25">
        <f t="shared" si="9"/>
        <v>0.822979512195122</v>
      </c>
      <c r="Q26" s="25">
        <f t="shared" si="10"/>
        <v>1.134632205882353</v>
      </c>
      <c r="R26" s="26">
        <f t="shared" si="11"/>
        <v>1.2802760839160838</v>
      </c>
    </row>
    <row r="28" spans="1:18" x14ac:dyDescent="0.25">
      <c r="A28" t="s">
        <v>239</v>
      </c>
      <c r="E28" s="4"/>
      <c r="F28" s="4"/>
      <c r="G28" s="4"/>
      <c r="H28" s="4"/>
      <c r="I28" s="4"/>
    </row>
    <row r="29" spans="1:18" x14ac:dyDescent="0.25">
      <c r="A29" t="s">
        <v>67</v>
      </c>
      <c r="E29" s="4"/>
      <c r="F29" s="4"/>
      <c r="G29" s="4"/>
      <c r="H29" s="4"/>
      <c r="I29" s="4"/>
    </row>
    <row r="30" spans="1:18" x14ac:dyDescent="0.25">
      <c r="B30" t="s">
        <v>65</v>
      </c>
      <c r="E30" s="2">
        <v>7.1999999999999995E-2</v>
      </c>
      <c r="F30" s="4"/>
      <c r="G30" s="4"/>
      <c r="H30" s="4"/>
      <c r="I30" s="4"/>
    </row>
    <row r="31" spans="1:18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8" x14ac:dyDescent="0.25">
      <c r="A32" t="s">
        <v>63</v>
      </c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t="s">
        <v>48</v>
      </c>
      <c r="G33" s="4"/>
      <c r="H33" s="4"/>
      <c r="I33" s="4"/>
    </row>
    <row r="34" spans="1:9" x14ac:dyDescent="0.25">
      <c r="A34" t="s">
        <v>64</v>
      </c>
    </row>
    <row r="35" spans="1:9" x14ac:dyDescent="0.25">
      <c r="A35" t="s">
        <v>49</v>
      </c>
    </row>
    <row r="36" spans="1:9" x14ac:dyDescent="0.25">
      <c r="A36" t="s">
        <v>91</v>
      </c>
    </row>
    <row r="38" spans="1:9" x14ac:dyDescent="0.25">
      <c r="A38" t="s">
        <v>240</v>
      </c>
    </row>
    <row r="39" spans="1:9" x14ac:dyDescent="0.25">
      <c r="B39" t="s">
        <v>5</v>
      </c>
      <c r="C39" t="s">
        <v>36</v>
      </c>
      <c r="D39" t="s">
        <v>37</v>
      </c>
      <c r="E39" t="s">
        <v>90</v>
      </c>
    </row>
    <row r="40" spans="1:9" x14ac:dyDescent="0.25">
      <c r="B40" s="1">
        <f>'DC Model'!E12</f>
        <v>17.37</v>
      </c>
      <c r="C40" s="1">
        <f>'DC Model'!H12</f>
        <v>6.15</v>
      </c>
      <c r="D40" s="1">
        <f>'DC Model'!K12</f>
        <v>6.8</v>
      </c>
      <c r="E40" s="1">
        <f>'DC Model'!N12</f>
        <v>5.72</v>
      </c>
      <c r="F40" s="1"/>
      <c r="G40" s="1"/>
      <c r="H40" s="1"/>
      <c r="I40" s="1"/>
    </row>
    <row r="42" spans="1:9" x14ac:dyDescent="0.25">
      <c r="A42" t="s">
        <v>241</v>
      </c>
    </row>
    <row r="43" spans="1:9" x14ac:dyDescent="0.25">
      <c r="B43" t="s">
        <v>5</v>
      </c>
      <c r="C43" t="s">
        <v>36</v>
      </c>
      <c r="D43" t="s">
        <v>37</v>
      </c>
      <c r="E43" t="s">
        <v>94</v>
      </c>
    </row>
    <row r="44" spans="1:9" x14ac:dyDescent="0.25">
      <c r="B44" s="19">
        <f>'DC Model'!D6</f>
        <v>0.78500000000000003</v>
      </c>
      <c r="C44" s="19">
        <f>'DC Model'!G6</f>
        <v>0.78800000000000003</v>
      </c>
      <c r="D44" s="19">
        <f>'DC Model'!J6</f>
        <v>1.0649999999999999</v>
      </c>
      <c r="E44" s="19">
        <f>'DC Model'!M6</f>
        <v>1.244</v>
      </c>
      <c r="F44" s="19"/>
      <c r="G44" s="19"/>
      <c r="H44" s="19"/>
      <c r="I44" s="19"/>
    </row>
    <row r="49" spans="2:9" x14ac:dyDescent="0.25">
      <c r="B49" s="20"/>
      <c r="C49" s="20"/>
      <c r="D49" s="20"/>
      <c r="E49" s="20"/>
      <c r="F49" s="20"/>
      <c r="G49" s="20"/>
      <c r="H49" s="20"/>
      <c r="I49" s="20"/>
    </row>
    <row r="50" spans="2:9" x14ac:dyDescent="0.25">
      <c r="B50" s="20"/>
      <c r="C50" s="20"/>
      <c r="D50" s="20"/>
      <c r="E50" s="20"/>
      <c r="F50" s="20"/>
      <c r="G50" s="20"/>
      <c r="H50" s="20"/>
      <c r="I50" s="20"/>
    </row>
    <row r="51" spans="2:9" x14ac:dyDescent="0.25">
      <c r="B51" s="20"/>
      <c r="C51" s="20"/>
      <c r="D51" s="20"/>
      <c r="E51" s="20"/>
      <c r="F51" s="20"/>
      <c r="G51" s="20"/>
      <c r="H51" s="20"/>
      <c r="I51" s="20"/>
    </row>
    <row r="52" spans="2:9" x14ac:dyDescent="0.25">
      <c r="B52" s="20"/>
      <c r="C52" s="20"/>
      <c r="D52" s="20"/>
      <c r="E52" s="20"/>
      <c r="F52" s="20"/>
      <c r="G52" s="20"/>
      <c r="H52" s="20"/>
      <c r="I52" s="20"/>
    </row>
  </sheetData>
  <pageMargins left="0.7" right="0.7" top="0.75" bottom="0.75" header="0.3" footer="0.3"/>
  <pageSetup scale="76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Z357"/>
  <sheetViews>
    <sheetView tabSelected="1" topLeftCell="E1" zoomScale="80" zoomScaleNormal="80" workbookViewId="0">
      <selection activeCell="N208" sqref="N208"/>
    </sheetView>
  </sheetViews>
  <sheetFormatPr defaultColWidth="8.85546875" defaultRowHeight="15" x14ac:dyDescent="0.25"/>
  <cols>
    <col min="6" max="6" width="11.140625" bestFit="1" customWidth="1"/>
    <col min="14" max="14" width="40.7109375" bestFit="1" customWidth="1"/>
    <col min="15" max="15" width="6.140625" customWidth="1"/>
    <col min="16" max="17" width="9.140625" bestFit="1" customWidth="1"/>
    <col min="18" max="18" width="9.140625" style="96" customWidth="1"/>
    <col min="19" max="19" width="6" customWidth="1"/>
    <col min="20" max="20" width="5.28515625" customWidth="1"/>
    <col min="21" max="21" width="5.7109375" customWidth="1"/>
    <col min="22" max="22" width="8.85546875" bestFit="1" customWidth="1"/>
  </cols>
  <sheetData>
    <row r="1" spans="1:26" x14ac:dyDescent="0.25">
      <c r="A1" t="s">
        <v>242</v>
      </c>
    </row>
    <row r="2" spans="1:26" x14ac:dyDescent="0.25">
      <c r="A2" t="s">
        <v>243</v>
      </c>
    </row>
    <row r="4" spans="1:26" x14ac:dyDescent="0.25">
      <c r="B4" t="s">
        <v>57</v>
      </c>
      <c r="E4" s="4" t="s">
        <v>86</v>
      </c>
      <c r="F4" s="4"/>
      <c r="G4" s="4"/>
      <c r="H4" t="s">
        <v>58</v>
      </c>
      <c r="K4" t="s">
        <v>88</v>
      </c>
    </row>
    <row r="5" spans="1:26" x14ac:dyDescent="0.25">
      <c r="B5" t="s">
        <v>31</v>
      </c>
      <c r="C5" s="1" t="s">
        <v>3</v>
      </c>
      <c r="D5" t="s">
        <v>4</v>
      </c>
      <c r="E5" s="4" t="s">
        <v>31</v>
      </c>
      <c r="F5" s="5" t="s">
        <v>3</v>
      </c>
      <c r="G5" s="4" t="s">
        <v>4</v>
      </c>
      <c r="H5" t="s">
        <v>31</v>
      </c>
      <c r="I5" s="1" t="s">
        <v>3</v>
      </c>
      <c r="J5" t="s">
        <v>4</v>
      </c>
      <c r="K5" t="s">
        <v>31</v>
      </c>
      <c r="L5" s="1" t="s">
        <v>3</v>
      </c>
      <c r="M5" t="s">
        <v>4</v>
      </c>
    </row>
    <row r="6" spans="1:26" x14ac:dyDescent="0.25">
      <c r="A6" t="s">
        <v>46</v>
      </c>
      <c r="B6" s="1">
        <f>'DC Model'!D12</f>
        <v>16.005000000000003</v>
      </c>
      <c r="C6" s="1">
        <f>'DC Model'!E12</f>
        <v>17.37</v>
      </c>
      <c r="D6" s="1">
        <f>'DC Model'!F12</f>
        <v>14.64</v>
      </c>
      <c r="E6" s="1">
        <f>'DC Model'!G12</f>
        <v>5.7200000000000006</v>
      </c>
      <c r="F6" s="1">
        <f>'DC Model'!H12</f>
        <v>6.15</v>
      </c>
      <c r="G6" s="1">
        <f>'DC Model'!I12</f>
        <v>5.29</v>
      </c>
      <c r="H6" s="1">
        <f>'DC Model'!J12</f>
        <v>7.7899999999999991</v>
      </c>
      <c r="I6" s="1">
        <f>'DC Model'!K12</f>
        <v>6.8</v>
      </c>
      <c r="J6" s="1">
        <f>'DC Model'!L12</f>
        <v>8.7799999999999994</v>
      </c>
      <c r="K6" s="1">
        <f>'DC Model'!M12</f>
        <v>5.0250000000000004</v>
      </c>
      <c r="L6" s="1">
        <f>'DC Model'!N12</f>
        <v>5.72</v>
      </c>
      <c r="M6" s="1">
        <f>'DC Model'!O12</f>
        <v>4.33</v>
      </c>
    </row>
    <row r="9" spans="1:26" x14ac:dyDescent="0.25">
      <c r="A9">
        <v>2025</v>
      </c>
      <c r="B9" s="7">
        <v>8.9557530450837426</v>
      </c>
      <c r="C9" s="1">
        <v>11.580675807464477</v>
      </c>
      <c r="D9" s="1">
        <v>6.3308302827030101</v>
      </c>
      <c r="E9" s="7">
        <v>2.8234891983442889</v>
      </c>
      <c r="F9" s="1">
        <v>3.6949029993859841</v>
      </c>
      <c r="G9" s="1">
        <v>1.9520753973025942</v>
      </c>
      <c r="H9" s="7">
        <v>3.1183289029442784</v>
      </c>
      <c r="I9" s="1">
        <v>4.2845824085859627</v>
      </c>
      <c r="J9" s="1">
        <v>1.9520753973025942</v>
      </c>
      <c r="K9" s="7">
        <v>2.8234891983442889</v>
      </c>
      <c r="L9" s="1">
        <v>3.6949029993859841</v>
      </c>
      <c r="M9" s="1">
        <v>1.9520753973025942</v>
      </c>
    </row>
    <row r="10" spans="1:26" x14ac:dyDescent="0.25">
      <c r="A10">
        <f t="shared" ref="A10:A29" si="0">1+A9</f>
        <v>2026</v>
      </c>
      <c r="B10" s="7">
        <v>9.587557945036993</v>
      </c>
      <c r="C10" s="1">
        <v>17.166496901906207</v>
      </c>
      <c r="D10" s="1">
        <v>2.008618988167779</v>
      </c>
      <c r="E10" s="7">
        <v>1.8887341069372214</v>
      </c>
      <c r="F10" s="1">
        <v>2.4685003883180285</v>
      </c>
      <c r="G10" s="1">
        <v>1.3089678255564143</v>
      </c>
      <c r="H10" s="7">
        <v>1.8887341069372214</v>
      </c>
      <c r="I10" s="1">
        <v>2.4685003883180285</v>
      </c>
      <c r="J10" s="1">
        <v>1.3089678255564143</v>
      </c>
      <c r="K10" s="7">
        <v>1.8887341069372214</v>
      </c>
      <c r="L10" s="1">
        <v>2.4685003883180285</v>
      </c>
      <c r="M10" s="1">
        <v>1.3089678255564143</v>
      </c>
      <c r="W10" s="1"/>
      <c r="X10" s="1"/>
      <c r="Y10" s="1"/>
      <c r="Z10" s="1"/>
    </row>
    <row r="11" spans="1:26" x14ac:dyDescent="0.25">
      <c r="A11">
        <f t="shared" si="0"/>
        <v>2027</v>
      </c>
      <c r="B11" s="7">
        <v>6.3011888454537317</v>
      </c>
      <c r="C11" s="1">
        <v>12.567119274714626</v>
      </c>
      <c r="D11" s="1">
        <v>3.5258416192837316E-2</v>
      </c>
      <c r="E11" s="7">
        <v>0.81359622337571125</v>
      </c>
      <c r="F11" s="1">
        <v>1.5919340305585852</v>
      </c>
      <c r="G11" s="1">
        <v>3.5258416192837316E-2</v>
      </c>
      <c r="H11" s="7">
        <v>0.81359622337571125</v>
      </c>
      <c r="I11" s="1">
        <v>1.5919340305585852</v>
      </c>
      <c r="J11" s="1">
        <v>3.5258416192837316E-2</v>
      </c>
      <c r="K11" s="7">
        <v>0.81359622337571125</v>
      </c>
      <c r="L11" s="1">
        <v>1.5919340305585852</v>
      </c>
      <c r="M11" s="1">
        <v>3.5258416192837316E-2</v>
      </c>
      <c r="W11" s="2"/>
      <c r="X11" s="2"/>
      <c r="Y11" s="2"/>
      <c r="Z11" s="2"/>
    </row>
    <row r="12" spans="1:26" x14ac:dyDescent="0.25">
      <c r="A12">
        <f t="shared" si="0"/>
        <v>2028</v>
      </c>
      <c r="B12" s="7">
        <v>4.7250080710064575</v>
      </c>
      <c r="C12" s="1">
        <v>9.4400161420129152</v>
      </c>
      <c r="D12" s="1">
        <v>0.01</v>
      </c>
      <c r="E12" s="7">
        <v>1.628248711164126E-2</v>
      </c>
      <c r="F12" s="1">
        <v>2.2564974223282519E-2</v>
      </c>
      <c r="G12" s="1">
        <v>0.01</v>
      </c>
      <c r="H12" s="7">
        <v>1.628248711164126E-2</v>
      </c>
      <c r="I12" s="1">
        <v>2.2564974223282519E-2</v>
      </c>
      <c r="J12" s="1">
        <v>0.01</v>
      </c>
      <c r="K12" s="7">
        <v>1.628248711164126E-2</v>
      </c>
      <c r="L12" s="1">
        <v>2.2564974223282519E-2</v>
      </c>
      <c r="M12" s="1">
        <v>0.01</v>
      </c>
      <c r="W12" s="1"/>
      <c r="X12" s="1"/>
      <c r="Y12" s="1"/>
      <c r="Z12" s="1"/>
    </row>
    <row r="13" spans="1:26" x14ac:dyDescent="0.25">
      <c r="A13">
        <f t="shared" si="0"/>
        <v>2029</v>
      </c>
      <c r="B13" s="7">
        <v>4.8190891375451779</v>
      </c>
      <c r="C13" s="1">
        <v>9.628178275090356</v>
      </c>
      <c r="D13" s="1">
        <v>0.01</v>
      </c>
      <c r="E13" s="7">
        <v>0.01</v>
      </c>
      <c r="F13" s="1">
        <v>0.01</v>
      </c>
      <c r="G13" s="1">
        <v>0.01</v>
      </c>
      <c r="H13" s="7">
        <v>0.01</v>
      </c>
      <c r="I13" s="1">
        <v>0.01</v>
      </c>
      <c r="J13" s="1">
        <v>0.01</v>
      </c>
      <c r="K13" s="7">
        <v>0.01</v>
      </c>
      <c r="L13" s="1">
        <v>0.01</v>
      </c>
      <c r="M13" s="1">
        <v>0.01</v>
      </c>
      <c r="W13" s="1"/>
      <c r="X13" s="1"/>
      <c r="Y13" s="1"/>
      <c r="Z13" s="1"/>
    </row>
    <row r="14" spans="1:26" x14ac:dyDescent="0.25">
      <c r="A14">
        <f t="shared" si="0"/>
        <v>2030</v>
      </c>
      <c r="B14" s="7">
        <v>6.4035839939513375</v>
      </c>
      <c r="C14" s="1">
        <v>9.8156635659625042</v>
      </c>
      <c r="D14" s="1">
        <v>2.9915044219401707</v>
      </c>
      <c r="E14" s="7">
        <v>0.47948800896790056</v>
      </c>
      <c r="F14" s="1">
        <v>0.33779216955657621</v>
      </c>
      <c r="G14" s="1">
        <v>0.62118384837922491</v>
      </c>
      <c r="H14" s="7">
        <v>0.55394308932075687</v>
      </c>
      <c r="I14" s="1">
        <v>0.48670233026228882</v>
      </c>
      <c r="J14" s="1">
        <v>0.62118384837922491</v>
      </c>
      <c r="K14" s="7">
        <v>0.47948800896790056</v>
      </c>
      <c r="L14" s="1">
        <v>0.33779216955657621</v>
      </c>
      <c r="M14" s="1">
        <v>0.62118384837922491</v>
      </c>
      <c r="W14" s="1"/>
      <c r="X14" s="1"/>
      <c r="Y14" s="1"/>
      <c r="Z14" s="1"/>
    </row>
    <row r="15" spans="1:26" x14ac:dyDescent="0.25">
      <c r="A15">
        <f t="shared" si="0"/>
        <v>2031</v>
      </c>
      <c r="B15" s="7">
        <v>9.1363311531684666</v>
      </c>
      <c r="C15" s="1">
        <v>14.784835164709836</v>
      </c>
      <c r="D15" s="1">
        <v>3.4878271416270987</v>
      </c>
      <c r="E15" s="7">
        <v>1.1880104223078765</v>
      </c>
      <c r="F15" s="1">
        <v>1.3096928206077099</v>
      </c>
      <c r="G15" s="1">
        <v>1.0663280240080431</v>
      </c>
      <c r="H15" s="7">
        <v>1.2264210205599606</v>
      </c>
      <c r="I15" s="1">
        <v>1.3865140171118782</v>
      </c>
      <c r="J15" s="1">
        <v>1.0663280240080431</v>
      </c>
      <c r="K15" s="7">
        <v>1.1880104223078765</v>
      </c>
      <c r="L15" s="1">
        <v>1.3096928206077099</v>
      </c>
      <c r="M15" s="1">
        <v>1.0663280240080431</v>
      </c>
      <c r="W15" s="3"/>
    </row>
    <row r="16" spans="1:26" x14ac:dyDescent="0.25">
      <c r="A16">
        <f t="shared" si="0"/>
        <v>2032</v>
      </c>
      <c r="B16" s="7">
        <v>9.9734563926191591</v>
      </c>
      <c r="C16" s="1">
        <v>15.57681250353542</v>
      </c>
      <c r="D16" s="1">
        <v>4.3701002817029</v>
      </c>
      <c r="E16" s="7">
        <v>1.7018993411813332</v>
      </c>
      <c r="F16" s="1">
        <v>1.8223837922425346</v>
      </c>
      <c r="G16" s="1">
        <v>1.5814148901201319</v>
      </c>
      <c r="H16" s="7">
        <v>1.7256164328811989</v>
      </c>
      <c r="I16" s="1">
        <v>1.8698179756422659</v>
      </c>
      <c r="J16" s="1">
        <v>1.5814148901201319</v>
      </c>
      <c r="K16" s="7">
        <v>1.7018993411813332</v>
      </c>
      <c r="L16" s="1">
        <v>1.8223837922425346</v>
      </c>
      <c r="M16" s="1">
        <v>1.5814148901201319</v>
      </c>
      <c r="W16" s="67"/>
      <c r="X16" s="67"/>
      <c r="Y16" s="67"/>
      <c r="Z16" s="67"/>
    </row>
    <row r="17" spans="1:19" x14ac:dyDescent="0.25">
      <c r="A17">
        <f t="shared" si="0"/>
        <v>2033</v>
      </c>
      <c r="B17" s="7">
        <v>10.615359133353207</v>
      </c>
      <c r="C17" s="1">
        <v>16.184096097953127</v>
      </c>
      <c r="D17" s="1">
        <v>5.046622168753288</v>
      </c>
      <c r="E17" s="7">
        <v>2.2359905299596008</v>
      </c>
      <c r="F17" s="1">
        <v>2.3552299394538871</v>
      </c>
      <c r="G17" s="1">
        <v>2.1167511204653149</v>
      </c>
      <c r="H17" s="7">
        <v>2.2451560396992631</v>
      </c>
      <c r="I17" s="1">
        <v>2.3735609589332114</v>
      </c>
      <c r="J17" s="1">
        <v>2.1167511204653149</v>
      </c>
      <c r="K17" s="7">
        <v>2.2359905299596008</v>
      </c>
      <c r="L17" s="1">
        <v>2.3552299394538871</v>
      </c>
      <c r="M17" s="1">
        <v>2.1167511204653149</v>
      </c>
    </row>
    <row r="18" spans="1:19" x14ac:dyDescent="0.25">
      <c r="A18">
        <f t="shared" si="0"/>
        <v>2034</v>
      </c>
      <c r="B18" s="7">
        <v>11.429099735629753</v>
      </c>
      <c r="C18" s="1">
        <v>16.953949981594473</v>
      </c>
      <c r="D18" s="1">
        <v>5.9042494896650339</v>
      </c>
      <c r="E18" s="7">
        <v>2.6850746049087464</v>
      </c>
      <c r="F18" s="1">
        <v>2.8032671363565509</v>
      </c>
      <c r="G18" s="1">
        <v>2.5668820734609423</v>
      </c>
      <c r="H18" s="7">
        <v>2.6850746049087464</v>
      </c>
      <c r="I18" s="1">
        <v>2.8032671363565509</v>
      </c>
      <c r="J18" s="1">
        <v>2.5668820734609423</v>
      </c>
      <c r="K18" s="7">
        <v>2.6850746049087464</v>
      </c>
      <c r="L18" s="1">
        <v>2.8032671363565509</v>
      </c>
      <c r="M18" s="1">
        <v>2.5668820734609423</v>
      </c>
    </row>
    <row r="19" spans="1:19" x14ac:dyDescent="0.25">
      <c r="A19">
        <f t="shared" si="0"/>
        <v>2035</v>
      </c>
      <c r="B19" s="7">
        <v>11.872354031193586</v>
      </c>
      <c r="C19" s="1">
        <v>17.37</v>
      </c>
      <c r="D19" s="1">
        <v>6.374708062387171</v>
      </c>
      <c r="E19" s="7">
        <v>3.1420579788837562</v>
      </c>
      <c r="F19" s="1">
        <v>3.2602867141991703</v>
      </c>
      <c r="G19" s="1">
        <v>3.023829243568342</v>
      </c>
      <c r="H19" s="7">
        <v>3.1664477295367632</v>
      </c>
      <c r="I19" s="1">
        <v>3.3090662155051844</v>
      </c>
      <c r="J19" s="1">
        <v>3.023829243568342</v>
      </c>
      <c r="K19" s="7">
        <v>3.1420579788837562</v>
      </c>
      <c r="L19" s="1">
        <v>3.2602867141991703</v>
      </c>
      <c r="M19" s="1">
        <v>3.023829243568342</v>
      </c>
    </row>
    <row r="20" spans="1:19" x14ac:dyDescent="0.25">
      <c r="A20">
        <f t="shared" si="0"/>
        <v>2036</v>
      </c>
      <c r="B20" s="7">
        <v>11.882448132763269</v>
      </c>
      <c r="C20" s="1">
        <v>17.37</v>
      </c>
      <c r="D20" s="1">
        <v>6.3948962655265351</v>
      </c>
      <c r="E20" s="7">
        <v>3.5656086080768699</v>
      </c>
      <c r="F20" s="1">
        <v>3.6860290050299787</v>
      </c>
      <c r="G20" s="1">
        <v>3.4451882111237615</v>
      </c>
      <c r="H20" s="7">
        <v>3.5978548558297501</v>
      </c>
      <c r="I20" s="1">
        <v>3.7505215005357382</v>
      </c>
      <c r="J20" s="1">
        <v>3.4451882111237615</v>
      </c>
      <c r="K20" s="7">
        <v>3.5656086080768699</v>
      </c>
      <c r="L20" s="1">
        <v>3.6860290050299787</v>
      </c>
      <c r="M20" s="1">
        <v>3.4451882111237615</v>
      </c>
    </row>
    <row r="21" spans="1:19" x14ac:dyDescent="0.25">
      <c r="A21">
        <f t="shared" si="0"/>
        <v>2037</v>
      </c>
      <c r="B21" s="7">
        <v>11.891289962187336</v>
      </c>
      <c r="C21" s="1">
        <v>17.37</v>
      </c>
      <c r="D21" s="1">
        <v>6.4125799243746719</v>
      </c>
      <c r="E21" s="7">
        <v>3.9615708136458738</v>
      </c>
      <c r="F21" s="1">
        <v>4.0838370420199954</v>
      </c>
      <c r="G21" s="1">
        <v>3.8393045852717522</v>
      </c>
      <c r="H21" s="7">
        <v>3.9931385986283483</v>
      </c>
      <c r="I21" s="1">
        <v>4.1469726119849444</v>
      </c>
      <c r="J21" s="1">
        <v>3.8393045852717522</v>
      </c>
      <c r="K21" s="7">
        <v>3.9615708136458738</v>
      </c>
      <c r="L21" s="1">
        <v>4.0838370420199954</v>
      </c>
      <c r="M21" s="1">
        <v>3.8393045852717522</v>
      </c>
    </row>
    <row r="22" spans="1:19" x14ac:dyDescent="0.25">
      <c r="A22">
        <f t="shared" si="0"/>
        <v>2038</v>
      </c>
      <c r="B22" s="7">
        <v>11.900011392232022</v>
      </c>
      <c r="C22" s="1">
        <v>17.37</v>
      </c>
      <c r="D22" s="1">
        <v>6.4300227844640432</v>
      </c>
      <c r="E22" s="7">
        <v>4.350173541443116</v>
      </c>
      <c r="F22" s="1">
        <v>4.474251294036403</v>
      </c>
      <c r="G22" s="1">
        <v>4.2260957888498281</v>
      </c>
      <c r="H22" s="7">
        <v>4.3669341184799784</v>
      </c>
      <c r="I22" s="1">
        <v>4.5077724481101278</v>
      </c>
      <c r="J22" s="1">
        <v>4.2260957888498281</v>
      </c>
      <c r="K22" s="7">
        <v>4.350173541443116</v>
      </c>
      <c r="L22" s="1">
        <v>4.474251294036403</v>
      </c>
      <c r="M22" s="1">
        <v>4.2260957888498281</v>
      </c>
    </row>
    <row r="23" spans="1:19" x14ac:dyDescent="0.25">
      <c r="A23">
        <f t="shared" si="0"/>
        <v>2039</v>
      </c>
      <c r="B23" s="7">
        <v>11.907545800230647</v>
      </c>
      <c r="C23" s="1">
        <v>17.37</v>
      </c>
      <c r="D23" s="1">
        <v>6.445091600461291</v>
      </c>
      <c r="E23" s="7">
        <v>4.6996240864327019</v>
      </c>
      <c r="F23" s="1">
        <v>4.8252200565506893</v>
      </c>
      <c r="G23" s="1">
        <v>4.5740281163147145</v>
      </c>
      <c r="H23" s="7">
        <v>4.7008742663440595</v>
      </c>
      <c r="I23" s="1">
        <v>4.8277204163734044</v>
      </c>
      <c r="J23" s="1">
        <v>4.5740281163147145</v>
      </c>
      <c r="K23" s="7">
        <v>4.6996240864327019</v>
      </c>
      <c r="L23" s="1">
        <v>4.8252200565506893</v>
      </c>
      <c r="M23" s="1">
        <v>4.5740281163147145</v>
      </c>
    </row>
    <row r="24" spans="1:19" ht="15.75" thickBot="1" x14ac:dyDescent="0.3">
      <c r="A24">
        <f t="shared" si="0"/>
        <v>2040</v>
      </c>
      <c r="B24" s="7">
        <v>11.913933195178975</v>
      </c>
      <c r="C24" s="1">
        <v>17.37</v>
      </c>
      <c r="D24" s="1">
        <v>6.4578663903579496</v>
      </c>
      <c r="E24" s="7">
        <v>5.0250000000000004</v>
      </c>
      <c r="F24" s="1">
        <v>5.72</v>
      </c>
      <c r="G24" s="1">
        <v>4.33</v>
      </c>
      <c r="H24" s="7">
        <v>5.0250000000000004</v>
      </c>
      <c r="I24" s="1">
        <v>5.72</v>
      </c>
      <c r="J24" s="1">
        <v>4.33</v>
      </c>
      <c r="K24" s="7">
        <v>5.0250000000000004</v>
      </c>
      <c r="L24" s="1">
        <v>5.72</v>
      </c>
      <c r="M24" s="1">
        <v>4.33</v>
      </c>
    </row>
    <row r="25" spans="1:19" x14ac:dyDescent="0.25">
      <c r="A25">
        <f t="shared" si="0"/>
        <v>2041</v>
      </c>
      <c r="B25" s="7">
        <v>11.921304088596342</v>
      </c>
      <c r="C25" s="1">
        <v>17.37</v>
      </c>
      <c r="D25" s="1">
        <v>6.4726081771926829</v>
      </c>
      <c r="E25" s="7">
        <v>5.0250000000000004</v>
      </c>
      <c r="F25" s="1">
        <v>5.72</v>
      </c>
      <c r="G25" s="1">
        <v>4.33</v>
      </c>
      <c r="H25" s="7">
        <v>5.0250000000000004</v>
      </c>
      <c r="I25" s="1">
        <v>5.72</v>
      </c>
      <c r="J25" s="1">
        <v>4.33</v>
      </c>
      <c r="K25" s="7">
        <v>5.0250000000000004</v>
      </c>
      <c r="L25" s="1">
        <v>5.72</v>
      </c>
      <c r="M25" s="1">
        <v>4.33</v>
      </c>
      <c r="N25" s="14" t="s">
        <v>71</v>
      </c>
      <c r="O25" s="15"/>
      <c r="P25" s="15"/>
      <c r="Q25" s="15"/>
      <c r="R25" s="15"/>
      <c r="S25" s="21"/>
    </row>
    <row r="26" spans="1:19" x14ac:dyDescent="0.25">
      <c r="A26">
        <f t="shared" si="0"/>
        <v>2042</v>
      </c>
      <c r="B26" s="7">
        <v>11.92651636322719</v>
      </c>
      <c r="C26" s="1">
        <v>17.37</v>
      </c>
      <c r="D26" s="1">
        <v>6.4830327264543808</v>
      </c>
      <c r="E26" s="7">
        <v>5.0250000000000004</v>
      </c>
      <c r="F26" s="1">
        <v>5.72</v>
      </c>
      <c r="G26" s="1">
        <v>4.33</v>
      </c>
      <c r="H26" s="7">
        <v>5.0250000000000004</v>
      </c>
      <c r="I26" s="1">
        <v>5.72</v>
      </c>
      <c r="J26" s="1">
        <v>4.33</v>
      </c>
      <c r="K26" s="7">
        <v>5.0250000000000004</v>
      </c>
      <c r="L26" s="1">
        <v>5.72</v>
      </c>
      <c r="M26" s="1">
        <v>4.33</v>
      </c>
      <c r="N26" s="17"/>
      <c r="O26" s="11" t="s">
        <v>42</v>
      </c>
      <c r="P26" s="11" t="s">
        <v>43</v>
      </c>
      <c r="Q26" s="11" t="s">
        <v>43</v>
      </c>
      <c r="R26" s="60" t="s">
        <v>203</v>
      </c>
      <c r="S26" s="22" t="s">
        <v>12</v>
      </c>
    </row>
    <row r="27" spans="1:19" x14ac:dyDescent="0.25">
      <c r="A27">
        <f t="shared" si="0"/>
        <v>2043</v>
      </c>
      <c r="B27" s="7">
        <v>11.93271404301213</v>
      </c>
      <c r="C27" s="1">
        <v>17.37</v>
      </c>
      <c r="D27" s="1">
        <v>6.4954280860242566</v>
      </c>
      <c r="E27" s="7">
        <v>5.0250000000000004</v>
      </c>
      <c r="F27" s="1">
        <v>5.72</v>
      </c>
      <c r="G27" s="1">
        <v>4.33</v>
      </c>
      <c r="H27" s="7">
        <v>5.089769113897292</v>
      </c>
      <c r="I27" s="1">
        <v>5.849538227794584</v>
      </c>
      <c r="J27" s="1">
        <v>4.33</v>
      </c>
      <c r="K27" s="7">
        <v>5.0250000000000004</v>
      </c>
      <c r="L27" s="1">
        <v>5.72</v>
      </c>
      <c r="M27" s="1">
        <v>4.33</v>
      </c>
      <c r="N27" s="17"/>
      <c r="O27" s="11"/>
      <c r="P27" s="11" t="s">
        <v>10</v>
      </c>
      <c r="Q27" s="11" t="s">
        <v>11</v>
      </c>
      <c r="R27" s="11"/>
      <c r="S27" s="22"/>
    </row>
    <row r="28" spans="1:19" ht="15.75" thickBot="1" x14ac:dyDescent="0.3">
      <c r="A28">
        <f t="shared" si="0"/>
        <v>2044</v>
      </c>
      <c r="B28" s="7">
        <v>11.93885035963088</v>
      </c>
      <c r="C28" s="1">
        <v>17.37</v>
      </c>
      <c r="D28" s="1">
        <v>6.5077007192617593</v>
      </c>
      <c r="E28" s="7">
        <v>5.0250000000000004</v>
      </c>
      <c r="F28" s="1">
        <v>5.72</v>
      </c>
      <c r="G28" s="1">
        <v>4.33</v>
      </c>
      <c r="H28" s="7">
        <v>5.2101846486325361</v>
      </c>
      <c r="I28" s="1">
        <v>6.0903692972650711</v>
      </c>
      <c r="J28" s="1">
        <v>4.33</v>
      </c>
      <c r="K28" s="7">
        <v>5.0250000000000004</v>
      </c>
      <c r="L28" s="1">
        <v>5.72</v>
      </c>
      <c r="M28" s="1">
        <v>4.33</v>
      </c>
      <c r="N28" s="41" t="s">
        <v>53</v>
      </c>
      <c r="O28" s="42"/>
      <c r="P28" s="42"/>
      <c r="Q28" s="42"/>
      <c r="R28" s="92"/>
      <c r="S28" s="43"/>
    </row>
    <row r="29" spans="1:19" x14ac:dyDescent="0.25">
      <c r="A29">
        <f t="shared" si="0"/>
        <v>2045</v>
      </c>
      <c r="B29" s="7">
        <v>11.943917736953679</v>
      </c>
      <c r="C29" s="1">
        <v>17.37</v>
      </c>
      <c r="D29" s="1">
        <v>6.5178354739073576</v>
      </c>
      <c r="E29" s="7">
        <v>5.0250000000000004</v>
      </c>
      <c r="F29" s="1">
        <v>5.72</v>
      </c>
      <c r="G29" s="1">
        <v>4.33</v>
      </c>
      <c r="H29" s="7">
        <v>5.3259169160313355</v>
      </c>
      <c r="I29" s="1">
        <v>6.321833832062671</v>
      </c>
      <c r="J29" s="1">
        <v>4.33</v>
      </c>
      <c r="K29" s="7">
        <v>5.0250000000000004</v>
      </c>
      <c r="L29" s="1">
        <v>5.72</v>
      </c>
      <c r="M29" s="12">
        <v>4.33</v>
      </c>
      <c r="N29" s="101" t="s">
        <v>96</v>
      </c>
      <c r="O29" s="102">
        <v>2020</v>
      </c>
      <c r="P29" s="102">
        <v>-676.4</v>
      </c>
      <c r="Q29" s="102">
        <v>-684.4</v>
      </c>
      <c r="R29" s="102"/>
      <c r="S29" s="21" t="s">
        <v>16</v>
      </c>
    </row>
    <row r="30" spans="1:19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2"/>
      <c r="N30" s="62" t="s">
        <v>97</v>
      </c>
      <c r="O30" s="60">
        <v>2020</v>
      </c>
      <c r="P30" s="60">
        <v>-5.6</v>
      </c>
      <c r="Q30" s="60">
        <v>-5.6</v>
      </c>
      <c r="R30" s="60"/>
      <c r="S30" s="22" t="s">
        <v>16</v>
      </c>
    </row>
    <row r="31" spans="1:19" x14ac:dyDescent="0.25">
      <c r="A31" t="s">
        <v>244</v>
      </c>
      <c r="L31" s="1"/>
      <c r="M31" s="12"/>
      <c r="N31" s="62" t="s">
        <v>82</v>
      </c>
      <c r="O31" s="60">
        <v>2020</v>
      </c>
      <c r="P31" s="60">
        <v>-1011.5</v>
      </c>
      <c r="Q31" s="60">
        <v>-1029.4000000000001</v>
      </c>
      <c r="R31" s="60"/>
      <c r="S31" s="22" t="s">
        <v>41</v>
      </c>
    </row>
    <row r="32" spans="1:19" x14ac:dyDescent="0.25">
      <c r="B32" t="s">
        <v>5</v>
      </c>
      <c r="E32" t="s">
        <v>75</v>
      </c>
      <c r="H32" t="s">
        <v>76</v>
      </c>
      <c r="K32" t="s">
        <v>89</v>
      </c>
      <c r="L32" s="1"/>
      <c r="M32" s="12"/>
      <c r="N32" s="17" t="s">
        <v>83</v>
      </c>
      <c r="O32" s="60">
        <v>2021</v>
      </c>
      <c r="P32" s="60">
        <v>-1036.3</v>
      </c>
      <c r="Q32" s="60">
        <v>-1038.3</v>
      </c>
      <c r="R32" s="60"/>
      <c r="S32" s="22" t="s">
        <v>41</v>
      </c>
    </row>
    <row r="33" spans="1:19" x14ac:dyDescent="0.25">
      <c r="A33">
        <f t="shared" ref="A33:A48" si="1">A9</f>
        <v>2025</v>
      </c>
      <c r="B33" s="1">
        <f t="shared" ref="B33:B48" si="2">B9*12</f>
        <v>107.46903654100491</v>
      </c>
      <c r="E33" s="1">
        <f t="shared" ref="E33:E48" si="3">E9*12</f>
        <v>33.881870380131467</v>
      </c>
      <c r="H33" s="1">
        <f t="shared" ref="H33:H48" si="4">H9*12</f>
        <v>37.419946835331345</v>
      </c>
      <c r="K33" s="1">
        <f t="shared" ref="K33:K48" si="5">K9*12</f>
        <v>33.881870380131467</v>
      </c>
      <c r="L33" s="1"/>
      <c r="M33" s="12"/>
      <c r="N33" s="17" t="s">
        <v>126</v>
      </c>
      <c r="O33" s="11">
        <v>2021</v>
      </c>
      <c r="P33" s="11">
        <v>-16</v>
      </c>
      <c r="Q33" s="11">
        <v>-21</v>
      </c>
      <c r="R33" s="11"/>
      <c r="S33" s="22" t="s">
        <v>2</v>
      </c>
    </row>
    <row r="34" spans="1:19" x14ac:dyDescent="0.25">
      <c r="A34">
        <f t="shared" si="1"/>
        <v>2026</v>
      </c>
      <c r="B34" s="1">
        <f t="shared" si="2"/>
        <v>115.05069534044392</v>
      </c>
      <c r="E34" s="1">
        <f t="shared" si="3"/>
        <v>22.664809283246658</v>
      </c>
      <c r="F34" s="1"/>
      <c r="H34" s="1">
        <f t="shared" si="4"/>
        <v>22.664809283246658</v>
      </c>
      <c r="K34" s="1">
        <f t="shared" si="5"/>
        <v>22.664809283246658</v>
      </c>
      <c r="L34" s="1"/>
      <c r="M34" s="12"/>
      <c r="N34" s="17" t="s">
        <v>205</v>
      </c>
      <c r="O34" s="60">
        <v>2021</v>
      </c>
      <c r="P34" s="103">
        <f>126.5*$P$255</f>
        <v>21.302599999999998</v>
      </c>
      <c r="Q34" s="103">
        <f>126.5*$Q$255</f>
        <v>21.302599999999998</v>
      </c>
      <c r="R34" s="11" t="s">
        <v>11</v>
      </c>
      <c r="S34" s="22" t="s">
        <v>16</v>
      </c>
    </row>
    <row r="35" spans="1:19" x14ac:dyDescent="0.25">
      <c r="A35">
        <f t="shared" si="1"/>
        <v>2027</v>
      </c>
      <c r="B35" s="1">
        <f t="shared" si="2"/>
        <v>75.614266145444788</v>
      </c>
      <c r="E35" s="1">
        <f t="shared" si="3"/>
        <v>9.763154680508535</v>
      </c>
      <c r="H35" s="1">
        <f t="shared" si="4"/>
        <v>9.763154680508535</v>
      </c>
      <c r="K35" s="1">
        <f t="shared" si="5"/>
        <v>9.763154680508535</v>
      </c>
      <c r="L35" s="1"/>
      <c r="M35" s="12"/>
      <c r="N35" s="62" t="s">
        <v>206</v>
      </c>
      <c r="O35" s="60">
        <v>2021</v>
      </c>
      <c r="P35" s="100">
        <f>79.7*$P$255</f>
        <v>13.421480000000001</v>
      </c>
      <c r="Q35" s="100">
        <f>79.7*$Q$255</f>
        <v>13.421480000000001</v>
      </c>
      <c r="R35" s="60" t="s">
        <v>11</v>
      </c>
      <c r="S35" s="72" t="s">
        <v>16</v>
      </c>
    </row>
    <row r="36" spans="1:19" x14ac:dyDescent="0.25">
      <c r="A36">
        <f t="shared" si="1"/>
        <v>2028</v>
      </c>
      <c r="B36" s="1">
        <f t="shared" si="2"/>
        <v>56.700096852077493</v>
      </c>
      <c r="E36" s="1">
        <f t="shared" si="3"/>
        <v>0.19538984533969511</v>
      </c>
      <c r="H36" s="1">
        <f t="shared" si="4"/>
        <v>0.19538984533969511</v>
      </c>
      <c r="K36" s="1">
        <f t="shared" si="5"/>
        <v>0.19538984533969511</v>
      </c>
      <c r="M36" s="11"/>
      <c r="N36" s="62" t="s">
        <v>98</v>
      </c>
      <c r="O36" s="60">
        <v>2022</v>
      </c>
      <c r="P36" s="11">
        <v>-41.2</v>
      </c>
      <c r="Q36" s="11">
        <v>-63.4</v>
      </c>
      <c r="R36" s="11"/>
      <c r="S36" s="22" t="s">
        <v>15</v>
      </c>
    </row>
    <row r="37" spans="1:19" x14ac:dyDescent="0.25">
      <c r="A37">
        <f t="shared" si="1"/>
        <v>2029</v>
      </c>
      <c r="B37" s="1">
        <f t="shared" si="2"/>
        <v>57.829069650542138</v>
      </c>
      <c r="E37" s="1">
        <f t="shared" si="3"/>
        <v>0.12</v>
      </c>
      <c r="H37" s="1">
        <f t="shared" si="4"/>
        <v>0.12</v>
      </c>
      <c r="K37" s="1">
        <f t="shared" si="5"/>
        <v>0.12</v>
      </c>
      <c r="M37" s="11"/>
      <c r="N37" s="17" t="s">
        <v>127</v>
      </c>
      <c r="O37" s="11">
        <v>2022</v>
      </c>
      <c r="P37" s="11">
        <v>-13</v>
      </c>
      <c r="Q37" s="11">
        <v>-15.3</v>
      </c>
      <c r="R37" s="11"/>
      <c r="S37" s="22" t="s">
        <v>15</v>
      </c>
    </row>
    <row r="38" spans="1:19" x14ac:dyDescent="0.25">
      <c r="A38">
        <f t="shared" si="1"/>
        <v>2030</v>
      </c>
      <c r="B38" s="1">
        <f t="shared" si="2"/>
        <v>76.843007927416053</v>
      </c>
      <c r="E38" s="1">
        <f t="shared" si="3"/>
        <v>5.7538561076148067</v>
      </c>
      <c r="H38" s="1">
        <f t="shared" si="4"/>
        <v>6.6473170718490824</v>
      </c>
      <c r="K38" s="1">
        <f t="shared" si="5"/>
        <v>5.7538561076148067</v>
      </c>
      <c r="M38" s="11"/>
      <c r="N38" s="17" t="s">
        <v>147</v>
      </c>
      <c r="O38" s="11">
        <v>2022</v>
      </c>
      <c r="P38" s="103">
        <v>-62</v>
      </c>
      <c r="Q38" s="11">
        <v>-62.7</v>
      </c>
      <c r="R38" s="11"/>
      <c r="S38" s="22" t="s">
        <v>16</v>
      </c>
    </row>
    <row r="39" spans="1:19" x14ac:dyDescent="0.25">
      <c r="A39">
        <f t="shared" si="1"/>
        <v>2031</v>
      </c>
      <c r="B39" s="1">
        <f t="shared" si="2"/>
        <v>109.6359738380216</v>
      </c>
      <c r="E39" s="1">
        <f t="shared" si="3"/>
        <v>14.256125067694517</v>
      </c>
      <c r="H39" s="1">
        <f t="shared" si="4"/>
        <v>14.717052246719527</v>
      </c>
      <c r="K39" s="1">
        <f t="shared" si="5"/>
        <v>14.256125067694517</v>
      </c>
      <c r="M39" s="11"/>
      <c r="N39" s="17" t="s">
        <v>148</v>
      </c>
      <c r="O39" s="11">
        <v>2022</v>
      </c>
      <c r="P39" s="103">
        <v>-48.7</v>
      </c>
      <c r="Q39" s="103">
        <v>-59</v>
      </c>
      <c r="R39" s="103"/>
      <c r="S39" s="22" t="s">
        <v>16</v>
      </c>
    </row>
    <row r="40" spans="1:19" x14ac:dyDescent="0.25">
      <c r="A40">
        <f t="shared" si="1"/>
        <v>2032</v>
      </c>
      <c r="B40" s="1">
        <f t="shared" si="2"/>
        <v>119.68147671142991</v>
      </c>
      <c r="E40" s="1">
        <f t="shared" si="3"/>
        <v>20.422792094176</v>
      </c>
      <c r="H40" s="1">
        <f t="shared" si="4"/>
        <v>20.707397194574387</v>
      </c>
      <c r="K40" s="1">
        <f t="shared" si="5"/>
        <v>20.422792094176</v>
      </c>
      <c r="M40" s="11"/>
      <c r="N40" s="17" t="s">
        <v>149</v>
      </c>
      <c r="O40" s="11">
        <v>2022</v>
      </c>
      <c r="P40" s="103">
        <v>-49.2</v>
      </c>
      <c r="Q40" s="11">
        <v>-61.9</v>
      </c>
      <c r="R40" s="11"/>
      <c r="S40" s="22" t="s">
        <v>16</v>
      </c>
    </row>
    <row r="41" spans="1:19" x14ac:dyDescent="0.25">
      <c r="A41">
        <f t="shared" si="1"/>
        <v>2033</v>
      </c>
      <c r="B41" s="1">
        <f t="shared" si="2"/>
        <v>127.38430960023848</v>
      </c>
      <c r="E41" s="1">
        <f t="shared" si="3"/>
        <v>26.83188635951521</v>
      </c>
      <c r="H41" s="1">
        <f t="shared" si="4"/>
        <v>26.941872476391158</v>
      </c>
      <c r="K41" s="1">
        <f t="shared" si="5"/>
        <v>26.83188635951521</v>
      </c>
      <c r="M41" s="11"/>
      <c r="N41" s="17" t="s">
        <v>150</v>
      </c>
      <c r="O41" s="11">
        <v>2022</v>
      </c>
      <c r="P41" s="103">
        <v>-38.5</v>
      </c>
      <c r="Q41" s="103">
        <v>-51</v>
      </c>
      <c r="R41" s="103"/>
      <c r="S41" s="22" t="s">
        <v>15</v>
      </c>
    </row>
    <row r="42" spans="1:19" x14ac:dyDescent="0.25">
      <c r="A42">
        <f t="shared" si="1"/>
        <v>2034</v>
      </c>
      <c r="B42" s="1">
        <f t="shared" si="2"/>
        <v>137.14919682755703</v>
      </c>
      <c r="E42" s="1">
        <f t="shared" si="3"/>
        <v>32.22089525890496</v>
      </c>
      <c r="H42" s="1">
        <f t="shared" si="4"/>
        <v>32.22089525890496</v>
      </c>
      <c r="K42" s="1">
        <f t="shared" si="5"/>
        <v>32.22089525890496</v>
      </c>
      <c r="M42" s="11"/>
      <c r="N42" s="17" t="s">
        <v>151</v>
      </c>
      <c r="O42" s="11">
        <v>2022</v>
      </c>
      <c r="P42" s="103"/>
      <c r="Q42" s="103">
        <v>-344.6</v>
      </c>
      <c r="R42" s="103"/>
      <c r="S42" s="22" t="s">
        <v>2</v>
      </c>
    </row>
    <row r="43" spans="1:19" x14ac:dyDescent="0.25">
      <c r="A43">
        <f t="shared" si="1"/>
        <v>2035</v>
      </c>
      <c r="B43" s="1">
        <f t="shared" si="2"/>
        <v>142.46824837432303</v>
      </c>
      <c r="E43" s="1">
        <f t="shared" si="3"/>
        <v>37.704695746605076</v>
      </c>
      <c r="H43" s="1">
        <f t="shared" si="4"/>
        <v>37.997372754441159</v>
      </c>
      <c r="K43" s="1">
        <f t="shared" si="5"/>
        <v>37.704695746605076</v>
      </c>
      <c r="M43" s="11"/>
      <c r="N43" s="104" t="s">
        <v>207</v>
      </c>
      <c r="O43" s="75">
        <v>2022</v>
      </c>
      <c r="P43" s="78">
        <f>20*$P$264</f>
        <v>15.782</v>
      </c>
      <c r="Q43" s="78">
        <f>20*$Q$264</f>
        <v>15.782</v>
      </c>
      <c r="R43" s="77" t="s">
        <v>204</v>
      </c>
      <c r="S43" s="79" t="s">
        <v>16</v>
      </c>
    </row>
    <row r="44" spans="1:19" x14ac:dyDescent="0.25">
      <c r="A44">
        <f t="shared" si="1"/>
        <v>2036</v>
      </c>
      <c r="B44" s="1">
        <f t="shared" si="2"/>
        <v>142.58937759315921</v>
      </c>
      <c r="E44" s="1">
        <f t="shared" si="3"/>
        <v>42.787303296922438</v>
      </c>
      <c r="H44" s="1">
        <f t="shared" si="4"/>
        <v>43.174258269957001</v>
      </c>
      <c r="K44" s="1">
        <f t="shared" si="5"/>
        <v>42.787303296922438</v>
      </c>
      <c r="M44" s="11"/>
      <c r="N44" s="104" t="s">
        <v>208</v>
      </c>
      <c r="O44" s="76">
        <v>2022</v>
      </c>
      <c r="P44" s="78">
        <f>20*$P$256</f>
        <v>2.448</v>
      </c>
      <c r="Q44" s="77">
        <f>20*$Q$256</f>
        <v>2.448</v>
      </c>
      <c r="R44" s="77" t="s">
        <v>10</v>
      </c>
      <c r="S44" s="80" t="s">
        <v>16</v>
      </c>
    </row>
    <row r="45" spans="1:19" x14ac:dyDescent="0.25">
      <c r="A45">
        <f t="shared" si="1"/>
        <v>2037</v>
      </c>
      <c r="B45" s="1">
        <f t="shared" si="2"/>
        <v>142.69547954624804</v>
      </c>
      <c r="E45" s="1">
        <f t="shared" si="3"/>
        <v>47.538849763750484</v>
      </c>
      <c r="H45" s="1">
        <f t="shared" si="4"/>
        <v>47.917663183540178</v>
      </c>
      <c r="K45" s="1">
        <f t="shared" si="5"/>
        <v>47.538849763750484</v>
      </c>
      <c r="M45" s="11"/>
      <c r="N45" s="104" t="s">
        <v>209</v>
      </c>
      <c r="O45" s="76">
        <v>2022</v>
      </c>
      <c r="P45" s="78">
        <f>20*$P$256</f>
        <v>2.448</v>
      </c>
      <c r="Q45" s="77">
        <f>20*$Q$256</f>
        <v>2.448</v>
      </c>
      <c r="R45" s="77" t="s">
        <v>10</v>
      </c>
      <c r="S45" s="80" t="s">
        <v>16</v>
      </c>
    </row>
    <row r="46" spans="1:19" x14ac:dyDescent="0.25">
      <c r="A46">
        <f t="shared" si="1"/>
        <v>2038</v>
      </c>
      <c r="B46" s="1">
        <f t="shared" si="2"/>
        <v>142.80013670678426</v>
      </c>
      <c r="E46" s="1">
        <f t="shared" si="3"/>
        <v>52.202082497317392</v>
      </c>
      <c r="H46" s="1">
        <f t="shared" si="4"/>
        <v>52.40320942175974</v>
      </c>
      <c r="K46" s="1">
        <f t="shared" si="5"/>
        <v>52.202082497317392</v>
      </c>
      <c r="M46" s="11"/>
      <c r="N46" s="104" t="s">
        <v>210</v>
      </c>
      <c r="O46" s="76">
        <v>2022</v>
      </c>
      <c r="P46" s="78">
        <f>20*$P$256</f>
        <v>2.448</v>
      </c>
      <c r="Q46" s="77">
        <f>20*$Q$256</f>
        <v>2.448</v>
      </c>
      <c r="R46" s="77" t="s">
        <v>10</v>
      </c>
      <c r="S46" s="80" t="s">
        <v>16</v>
      </c>
    </row>
    <row r="47" spans="1:19" x14ac:dyDescent="0.25">
      <c r="A47">
        <f t="shared" si="1"/>
        <v>2039</v>
      </c>
      <c r="B47" s="1">
        <f t="shared" si="2"/>
        <v>142.89054960276775</v>
      </c>
      <c r="E47" s="1">
        <f t="shared" si="3"/>
        <v>56.395489037192419</v>
      </c>
      <c r="H47" s="1">
        <f t="shared" si="4"/>
        <v>56.410491196128717</v>
      </c>
      <c r="K47" s="1">
        <f t="shared" si="5"/>
        <v>56.395489037192419</v>
      </c>
      <c r="M47" s="11"/>
      <c r="N47" s="104" t="s">
        <v>211</v>
      </c>
      <c r="O47" s="76">
        <v>2022</v>
      </c>
      <c r="P47" s="78">
        <f>20*$P$256</f>
        <v>2.448</v>
      </c>
      <c r="Q47" s="77">
        <f>20*$Q$256</f>
        <v>2.448</v>
      </c>
      <c r="R47" s="77" t="s">
        <v>10</v>
      </c>
      <c r="S47" s="80" t="s">
        <v>16</v>
      </c>
    </row>
    <row r="48" spans="1:19" x14ac:dyDescent="0.25">
      <c r="A48">
        <f t="shared" si="1"/>
        <v>2040</v>
      </c>
      <c r="B48" s="1">
        <f t="shared" si="2"/>
        <v>142.9671983421477</v>
      </c>
      <c r="E48" s="1">
        <f t="shared" si="3"/>
        <v>60.300000000000004</v>
      </c>
      <c r="H48" s="1">
        <f t="shared" si="4"/>
        <v>60.300000000000004</v>
      </c>
      <c r="K48" s="1">
        <f t="shared" si="5"/>
        <v>60.300000000000004</v>
      </c>
      <c r="M48" s="11"/>
      <c r="N48" s="62" t="s">
        <v>212</v>
      </c>
      <c r="O48" s="60">
        <v>2022</v>
      </c>
      <c r="P48" s="99">
        <f>22.9*$P$259</f>
        <v>2.30145</v>
      </c>
      <c r="Q48" s="99">
        <f>22.9*$Q$259</f>
        <v>2.30145</v>
      </c>
      <c r="R48" s="99" t="s">
        <v>10</v>
      </c>
      <c r="S48" s="72" t="s">
        <v>15</v>
      </c>
    </row>
    <row r="49" spans="1:19" x14ac:dyDescent="0.25">
      <c r="A49">
        <f>A25</f>
        <v>2041</v>
      </c>
      <c r="B49" s="1">
        <f>B25*12</f>
        <v>143.0556490631561</v>
      </c>
      <c r="E49" s="1">
        <f>E25*12</f>
        <v>60.300000000000004</v>
      </c>
      <c r="H49" s="1">
        <f>H25*12</f>
        <v>60.300000000000004</v>
      </c>
      <c r="K49" s="1">
        <f>K25*12</f>
        <v>60.300000000000004</v>
      </c>
      <c r="M49" s="11"/>
      <c r="N49" s="17" t="s">
        <v>213</v>
      </c>
      <c r="O49" s="11">
        <v>2022</v>
      </c>
      <c r="P49" s="77"/>
      <c r="Q49" s="77">
        <f>101.8*$Q$255</f>
        <v>17.14312</v>
      </c>
      <c r="R49" s="77" t="s">
        <v>11</v>
      </c>
      <c r="S49" s="22" t="s">
        <v>16</v>
      </c>
    </row>
    <row r="50" spans="1:19" x14ac:dyDescent="0.25">
      <c r="A50">
        <f>A26</f>
        <v>2042</v>
      </c>
      <c r="B50" s="1">
        <f>B26*12</f>
        <v>143.11819635872627</v>
      </c>
      <c r="E50" s="1">
        <f>E26*12</f>
        <v>60.300000000000004</v>
      </c>
      <c r="H50" s="1">
        <f>H26*12</f>
        <v>60.300000000000004</v>
      </c>
      <c r="K50" s="1">
        <f>K26*12</f>
        <v>60.300000000000004</v>
      </c>
      <c r="M50" s="11"/>
      <c r="N50" s="17" t="s">
        <v>151</v>
      </c>
      <c r="O50" s="11">
        <v>2023</v>
      </c>
      <c r="P50" s="11">
        <v>-255.9</v>
      </c>
      <c r="Q50" s="11"/>
      <c r="R50" s="11"/>
      <c r="S50" s="22" t="s">
        <v>2</v>
      </c>
    </row>
    <row r="51" spans="1:19" x14ac:dyDescent="0.25">
      <c r="A51">
        <f>A27</f>
        <v>2043</v>
      </c>
      <c r="B51" s="1">
        <f>B27*12</f>
        <v>143.19256851614557</v>
      </c>
      <c r="E51" s="1">
        <f>E27*12</f>
        <v>60.300000000000004</v>
      </c>
      <c r="H51" s="1">
        <f>H27*12</f>
        <v>61.077229366767504</v>
      </c>
      <c r="K51" s="1">
        <f>K27*12</f>
        <v>60.300000000000004</v>
      </c>
      <c r="M51" s="11"/>
      <c r="N51" s="17" t="s">
        <v>213</v>
      </c>
      <c r="O51" s="11">
        <v>2023</v>
      </c>
      <c r="P51" s="77">
        <f>101.8*$P$255</f>
        <v>17.14312</v>
      </c>
      <c r="Q51" s="77"/>
      <c r="R51" s="77" t="s">
        <v>11</v>
      </c>
      <c r="S51" s="22" t="s">
        <v>16</v>
      </c>
    </row>
    <row r="52" spans="1:19" x14ac:dyDescent="0.25">
      <c r="A52">
        <f>A28</f>
        <v>2044</v>
      </c>
      <c r="B52" s="1">
        <f>B28*12</f>
        <v>143.26620431557058</v>
      </c>
      <c r="E52" s="1">
        <f>E28*12</f>
        <v>60.300000000000004</v>
      </c>
      <c r="H52" s="1">
        <f>H28*12</f>
        <v>62.522215783590433</v>
      </c>
      <c r="K52" s="1">
        <f>K28*12</f>
        <v>60.300000000000004</v>
      </c>
      <c r="M52" s="11"/>
      <c r="N52" s="105" t="s">
        <v>108</v>
      </c>
      <c r="O52" s="76">
        <v>2023</v>
      </c>
      <c r="P52" s="99">
        <f>111.8*$P$255</f>
        <v>18.827119999999997</v>
      </c>
      <c r="Q52" s="95">
        <f>111.8*$Q$255</f>
        <v>18.827119999999997</v>
      </c>
      <c r="R52" s="99" t="s">
        <v>11</v>
      </c>
      <c r="S52" s="80" t="s">
        <v>16</v>
      </c>
    </row>
    <row r="53" spans="1:19" x14ac:dyDescent="0.25">
      <c r="A53">
        <f>A29</f>
        <v>2045</v>
      </c>
      <c r="B53" s="1">
        <f>B29*12</f>
        <v>143.32701284344415</v>
      </c>
      <c r="E53" s="1">
        <f>E29*12</f>
        <v>60.300000000000004</v>
      </c>
      <c r="H53" s="1">
        <f>H29*12</f>
        <v>63.911002992376027</v>
      </c>
      <c r="K53" s="1">
        <f>K29*12</f>
        <v>60.300000000000004</v>
      </c>
      <c r="M53" s="11"/>
      <c r="N53" s="105" t="s">
        <v>181</v>
      </c>
      <c r="O53" s="76">
        <v>2023</v>
      </c>
      <c r="P53" s="99">
        <f>20*$P$264</f>
        <v>15.782</v>
      </c>
      <c r="Q53" s="99">
        <f>20*$Q$264</f>
        <v>15.782</v>
      </c>
      <c r="R53" s="99" t="s">
        <v>204</v>
      </c>
      <c r="S53" s="80" t="s">
        <v>16</v>
      </c>
    </row>
    <row r="54" spans="1:19" x14ac:dyDescent="0.25">
      <c r="M54" s="11"/>
      <c r="N54" s="105" t="s">
        <v>107</v>
      </c>
      <c r="O54" s="76">
        <v>2023</v>
      </c>
      <c r="P54" s="99">
        <f>103.9*$P$255</f>
        <v>17.496760000000002</v>
      </c>
      <c r="Q54" s="99">
        <f>103.9*$Q$255</f>
        <v>17.496760000000002</v>
      </c>
      <c r="R54" s="99" t="s">
        <v>11</v>
      </c>
      <c r="S54" s="80" t="s">
        <v>16</v>
      </c>
    </row>
    <row r="55" spans="1:19" x14ac:dyDescent="0.25">
      <c r="M55" s="11"/>
      <c r="N55" s="106" t="s">
        <v>178</v>
      </c>
      <c r="O55" s="60">
        <v>2023</v>
      </c>
      <c r="P55" s="107">
        <f>20*$P$256</f>
        <v>2.448</v>
      </c>
      <c r="Q55" s="107">
        <f>20*$Q$256</f>
        <v>2.448</v>
      </c>
      <c r="R55" s="107" t="s">
        <v>10</v>
      </c>
      <c r="S55" s="72" t="s">
        <v>16</v>
      </c>
    </row>
    <row r="56" spans="1:19" x14ac:dyDescent="0.25">
      <c r="M56" s="11"/>
      <c r="N56" s="106" t="s">
        <v>179</v>
      </c>
      <c r="O56" s="60">
        <v>2023</v>
      </c>
      <c r="P56" s="107">
        <f>20*$P$256</f>
        <v>2.448</v>
      </c>
      <c r="Q56" s="107">
        <f>20*$Q$256</f>
        <v>2.448</v>
      </c>
      <c r="R56" s="107" t="s">
        <v>10</v>
      </c>
      <c r="S56" s="72" t="s">
        <v>16</v>
      </c>
    </row>
    <row r="57" spans="1:19" x14ac:dyDescent="0.25">
      <c r="M57" s="11"/>
      <c r="N57" s="106" t="s">
        <v>139</v>
      </c>
      <c r="O57" s="60">
        <v>2023</v>
      </c>
      <c r="P57" s="107">
        <f>20*$P$256</f>
        <v>2.448</v>
      </c>
      <c r="Q57" s="107">
        <f>20*$Q$256</f>
        <v>2.448</v>
      </c>
      <c r="R57" s="107" t="s">
        <v>10</v>
      </c>
      <c r="S57" s="72" t="s">
        <v>16</v>
      </c>
    </row>
    <row r="58" spans="1:19" x14ac:dyDescent="0.25">
      <c r="M58" s="11"/>
      <c r="N58" s="62" t="s">
        <v>106</v>
      </c>
      <c r="O58" s="60">
        <v>2023</v>
      </c>
      <c r="P58" s="99"/>
      <c r="Q58" s="99">
        <f>100*$Q$255</f>
        <v>16.84</v>
      </c>
      <c r="R58" s="99" t="s">
        <v>11</v>
      </c>
      <c r="S58" s="72" t="s">
        <v>16</v>
      </c>
    </row>
    <row r="59" spans="1:19" x14ac:dyDescent="0.25">
      <c r="M59" s="11"/>
      <c r="N59" s="62" t="s">
        <v>180</v>
      </c>
      <c r="O59" s="60">
        <v>2023</v>
      </c>
      <c r="P59" s="99"/>
      <c r="Q59" s="99">
        <f>20*$Q$256</f>
        <v>2.448</v>
      </c>
      <c r="R59" s="99" t="s">
        <v>10</v>
      </c>
      <c r="S59" s="72" t="s">
        <v>16</v>
      </c>
    </row>
    <row r="60" spans="1:19" x14ac:dyDescent="0.25">
      <c r="M60" s="11"/>
      <c r="N60" s="62" t="s">
        <v>136</v>
      </c>
      <c r="O60" s="60">
        <v>2023</v>
      </c>
      <c r="P60" s="99"/>
      <c r="Q60" s="99">
        <f>20*$Q$256</f>
        <v>2.448</v>
      </c>
      <c r="R60" s="99" t="s">
        <v>10</v>
      </c>
      <c r="S60" s="72" t="s">
        <v>16</v>
      </c>
    </row>
    <row r="61" spans="1:19" x14ac:dyDescent="0.25">
      <c r="M61" s="11"/>
      <c r="N61" s="104" t="s">
        <v>155</v>
      </c>
      <c r="O61" s="75">
        <v>2023</v>
      </c>
      <c r="P61" s="75">
        <f>-(18.5+19.3)</f>
        <v>-37.799999999999997</v>
      </c>
      <c r="Q61" s="75">
        <f>-(21.7+21.9)</f>
        <v>-43.599999999999994</v>
      </c>
      <c r="R61" s="75"/>
      <c r="S61" s="72" t="s">
        <v>2</v>
      </c>
    </row>
    <row r="62" spans="1:19" x14ac:dyDescent="0.25">
      <c r="M62" s="11"/>
      <c r="N62" s="104" t="s">
        <v>183</v>
      </c>
      <c r="O62" s="75">
        <v>2023</v>
      </c>
      <c r="P62" s="85">
        <f>-(34.9+34.3+36.3+32.5)</f>
        <v>-138</v>
      </c>
      <c r="Q62" s="75">
        <f>-(46.5+45.6+46.7+45.4)</f>
        <v>-184.20000000000002</v>
      </c>
      <c r="R62" s="75"/>
      <c r="S62" s="72" t="s">
        <v>2</v>
      </c>
    </row>
    <row r="63" spans="1:19" x14ac:dyDescent="0.25">
      <c r="M63" s="11"/>
      <c r="N63" s="104" t="s">
        <v>184</v>
      </c>
      <c r="O63" s="76">
        <v>2023</v>
      </c>
      <c r="P63" s="75">
        <f>-(34.6+35.7+33.9+34.9)</f>
        <v>-139.10000000000002</v>
      </c>
      <c r="Q63" s="75">
        <f>-(45+45.3+44.6+45.5)</f>
        <v>-180.4</v>
      </c>
      <c r="R63" s="75"/>
      <c r="S63" s="72" t="s">
        <v>2</v>
      </c>
    </row>
    <row r="64" spans="1:19" x14ac:dyDescent="0.25">
      <c r="M64" s="11"/>
      <c r="N64" s="104" t="s">
        <v>185</v>
      </c>
      <c r="O64" s="76">
        <v>2023</v>
      </c>
      <c r="P64" s="75">
        <f>-(33.6+34.3+35.4+35.2)</f>
        <v>-138.5</v>
      </c>
      <c r="Q64" s="75">
        <f>-(43.8+44.3+46.4+44.1)</f>
        <v>-178.6</v>
      </c>
      <c r="R64" s="75"/>
      <c r="S64" s="72" t="s">
        <v>2</v>
      </c>
    </row>
    <row r="65" spans="13:21" x14ac:dyDescent="0.25">
      <c r="M65" s="11"/>
      <c r="N65" s="104" t="s">
        <v>157</v>
      </c>
      <c r="O65" s="76">
        <v>2023</v>
      </c>
      <c r="P65" s="75">
        <v>-16.100000000000001</v>
      </c>
      <c r="Q65" s="75">
        <v>-20.3</v>
      </c>
      <c r="R65" s="75"/>
      <c r="S65" s="72" t="s">
        <v>2</v>
      </c>
    </row>
    <row r="66" spans="13:21" x14ac:dyDescent="0.25">
      <c r="M66" s="11"/>
      <c r="N66" s="62" t="s">
        <v>106</v>
      </c>
      <c r="O66" s="60">
        <v>2024</v>
      </c>
      <c r="P66" s="99">
        <f>100*$P$255</f>
        <v>16.84</v>
      </c>
      <c r="Q66" s="99"/>
      <c r="R66" s="99" t="s">
        <v>11</v>
      </c>
      <c r="S66" s="72" t="s">
        <v>16</v>
      </c>
    </row>
    <row r="67" spans="13:21" x14ac:dyDescent="0.25">
      <c r="M67" s="11"/>
      <c r="N67" s="62" t="s">
        <v>180</v>
      </c>
      <c r="O67" s="60">
        <v>2024</v>
      </c>
      <c r="P67" s="99">
        <f>20*$P$256</f>
        <v>2.448</v>
      </c>
      <c r="Q67" s="99"/>
      <c r="R67" s="99" t="s">
        <v>10</v>
      </c>
      <c r="S67" s="72" t="s">
        <v>16</v>
      </c>
    </row>
    <row r="68" spans="13:21" x14ac:dyDescent="0.25">
      <c r="M68" s="11"/>
      <c r="N68" s="62" t="s">
        <v>136</v>
      </c>
      <c r="O68" s="60">
        <v>2024</v>
      </c>
      <c r="P68" s="99">
        <f>20*$P$256</f>
        <v>2.448</v>
      </c>
      <c r="Q68" s="99"/>
      <c r="R68" s="99" t="s">
        <v>10</v>
      </c>
      <c r="S68" s="72" t="s">
        <v>16</v>
      </c>
    </row>
    <row r="69" spans="13:21" x14ac:dyDescent="0.25">
      <c r="M69" s="11"/>
      <c r="N69" s="105" t="s">
        <v>115</v>
      </c>
      <c r="O69" s="76">
        <v>2024</v>
      </c>
      <c r="P69" s="63">
        <v>30.297599999999999</v>
      </c>
      <c r="Q69" s="18">
        <v>30.7776</v>
      </c>
      <c r="R69" s="96" t="s">
        <v>11</v>
      </c>
      <c r="S69" s="22" t="s">
        <v>15</v>
      </c>
    </row>
    <row r="70" spans="13:21" x14ac:dyDescent="0.25">
      <c r="M70" s="11"/>
      <c r="N70" s="105" t="s">
        <v>110</v>
      </c>
      <c r="O70" s="76">
        <v>2024</v>
      </c>
      <c r="P70" s="63">
        <v>7.82</v>
      </c>
      <c r="Q70" s="18">
        <v>6.8150000000000004</v>
      </c>
      <c r="R70" s="96" t="s">
        <v>10</v>
      </c>
      <c r="S70" s="22" t="s">
        <v>16</v>
      </c>
    </row>
    <row r="71" spans="13:21" x14ac:dyDescent="0.25">
      <c r="M71" s="11"/>
      <c r="N71" s="105" t="s">
        <v>109</v>
      </c>
      <c r="O71" s="76">
        <v>2024</v>
      </c>
      <c r="P71" s="63">
        <v>14.076000000000001</v>
      </c>
      <c r="Q71" s="18">
        <v>12.267000000000001</v>
      </c>
      <c r="R71" s="96" t="s">
        <v>10</v>
      </c>
      <c r="S71" s="22" t="s">
        <v>16</v>
      </c>
    </row>
    <row r="72" spans="13:21" x14ac:dyDescent="0.25">
      <c r="M72" s="11"/>
      <c r="N72" s="105" t="s">
        <v>169</v>
      </c>
      <c r="O72" s="76">
        <v>2024</v>
      </c>
      <c r="P72" s="63">
        <v>0</v>
      </c>
      <c r="Q72" s="18">
        <v>24.1251</v>
      </c>
      <c r="R72" s="96" t="s">
        <v>10</v>
      </c>
      <c r="S72" s="22" t="s">
        <v>16</v>
      </c>
    </row>
    <row r="73" spans="13:21" x14ac:dyDescent="0.25">
      <c r="M73" s="11"/>
      <c r="N73" s="105" t="s">
        <v>122</v>
      </c>
      <c r="O73" s="76">
        <v>2024</v>
      </c>
      <c r="P73" s="63">
        <v>0</v>
      </c>
      <c r="Q73" s="18">
        <v>14.367600000000001</v>
      </c>
      <c r="R73" s="96" t="s">
        <v>11</v>
      </c>
      <c r="S73" s="22" t="s">
        <v>16</v>
      </c>
    </row>
    <row r="74" spans="13:21" x14ac:dyDescent="0.25">
      <c r="M74" s="11"/>
      <c r="N74" s="105" t="s">
        <v>154</v>
      </c>
      <c r="O74" s="76">
        <v>2024</v>
      </c>
      <c r="P74" s="76"/>
      <c r="Q74" s="76">
        <v>-20.7</v>
      </c>
      <c r="R74" s="76"/>
      <c r="S74" s="80" t="s">
        <v>16</v>
      </c>
    </row>
    <row r="75" spans="13:21" x14ac:dyDescent="0.25">
      <c r="M75" s="22"/>
      <c r="N75" t="s">
        <v>142</v>
      </c>
      <c r="O75">
        <v>2025</v>
      </c>
      <c r="P75" s="61" cm="1">
        <f t="array" ref="P75">INDEX(Additions!$C:$C,SUMPRODUCT((Additions!$A:$A='ICAP Prices'!$N75)*('ICAP Prices'!$O75=Additions!$B:$B)*ROW(Additions!$C:$C)),0)*SUMPRODUCT(($R$253:$R$275='ICAP Prices'!$R75)*('ICAP Prices'!$S75=$S$253:$S$275),($P$253:$P$275))</f>
        <v>0</v>
      </c>
      <c r="Q75" s="61" cm="1">
        <f t="array" ref="Q75">INDEX(Additions!$D:$D,SUMPRODUCT((Additions!$A:$A='ICAP Prices'!$N75)*('ICAP Prices'!$O75=Additions!$B:$B)*ROW(Additions!D:$D)),0)*SUMPRODUCT(($R$253:$R$275='ICAP Prices'!$R75)*('ICAP Prices'!$S75=$S$253:$S$275),($Q$253:$Q$275))</f>
        <v>2.448</v>
      </c>
      <c r="R75" s="4" t="s">
        <v>10</v>
      </c>
      <c r="S75" s="80" t="s">
        <v>16</v>
      </c>
    </row>
    <row r="76" spans="13:21" x14ac:dyDescent="0.25">
      <c r="M76" s="11"/>
      <c r="N76" s="105" t="s">
        <v>256</v>
      </c>
      <c r="O76" s="76">
        <v>2025</v>
      </c>
      <c r="P76" s="61" cm="1">
        <f t="array" ref="P76">INDEX(Additions!$C:$C,SUMPRODUCT((Additions!$A:$A='ICAP Prices'!$N76)*('ICAP Prices'!$O76=Additions!$B:$B)*ROW(Additions!$C:$C)),0)*SUMPRODUCT(($R$253:$R$275='ICAP Prices'!$R76)*('ICAP Prices'!$S76=$S$253:$S$275),($P$253:$P$275))</f>
        <v>2.4660000000000002</v>
      </c>
      <c r="Q76" s="61" cm="1">
        <f t="array" ref="Q76">INDEX(Additions!$D:$D,SUMPRODUCT((Additions!$A:$A='ICAP Prices'!$N76)*('ICAP Prices'!$O76=Additions!$B:$B)*ROW(Additions!D:$D)),0)*SUMPRODUCT(($R$253:$R$275='ICAP Prices'!$R76)*('ICAP Prices'!$S76=$S$253:$S$275),($Q$253:$Q$275))</f>
        <v>2.4660000000000002</v>
      </c>
      <c r="R76" s="4" t="s">
        <v>10</v>
      </c>
      <c r="S76" s="80" t="s">
        <v>41</v>
      </c>
    </row>
    <row r="77" spans="13:21" x14ac:dyDescent="0.25">
      <c r="M77" s="22"/>
      <c r="N77" t="s">
        <v>303</v>
      </c>
      <c r="O77">
        <v>2025</v>
      </c>
      <c r="P77" s="61" cm="1">
        <f t="array" ref="P77">INDEX(Additions!$C:$C,SUMPRODUCT((Additions!$A:$A='ICAP Prices'!$N77)*('ICAP Prices'!$O77=Additions!$B:$B)*ROW(Additions!$C:$C)),0)*SUMPRODUCT(($R$253:$R$275='ICAP Prices'!$R77)*('ICAP Prices'!$S77=$S$253:$S$275),($P$253:$P$275))</f>
        <v>1.2330000000000001</v>
      </c>
      <c r="Q77" s="61" cm="1">
        <f t="array" ref="Q77">INDEX(Additions!$D:$D,SUMPRODUCT((Additions!$A:$A='ICAP Prices'!$N77)*('ICAP Prices'!$O77=Additions!$B:$B)*ROW(Additions!D:$D)),0)*SUMPRODUCT(($R$253:$R$275='ICAP Prices'!$R77)*('ICAP Prices'!$S77=$S$253:$S$275),($Q$253:$Q$275))</f>
        <v>1.2330000000000001</v>
      </c>
      <c r="R77" s="4" t="s">
        <v>10</v>
      </c>
      <c r="S77" s="80" t="s">
        <v>41</v>
      </c>
    </row>
    <row r="78" spans="13:21" x14ac:dyDescent="0.25">
      <c r="M78" s="11"/>
      <c r="N78" s="106" t="s">
        <v>114</v>
      </c>
      <c r="O78" s="60">
        <v>2025</v>
      </c>
      <c r="P78" s="61" cm="1">
        <f t="array" ref="P78">INDEX(Additions!$C:$C,SUMPRODUCT((Additions!$A:$A='ICAP Prices'!$N78)*('ICAP Prices'!$O78=Additions!$B:$B)*ROW(Additions!$C:$C)),0)*SUMPRODUCT(($R$253:$R$275='ICAP Prices'!$R78)*('ICAP Prices'!$S78=$S$253:$S$275),($P$253:$P$275))</f>
        <v>2.448</v>
      </c>
      <c r="Q78" s="61" cm="1">
        <f t="array" ref="Q78">INDEX(Additions!$D:$D,SUMPRODUCT((Additions!$A:$A='ICAP Prices'!$N78)*('ICAP Prices'!$O78=Additions!$B:$B)*ROW(Additions!D:$D)),0)*SUMPRODUCT(($R$253:$R$275='ICAP Prices'!$R78)*('ICAP Prices'!$S78=$S$253:$S$275),($Q$253:$Q$275))</f>
        <v>2.448</v>
      </c>
      <c r="R78" s="4" t="s">
        <v>10</v>
      </c>
      <c r="S78" s="80" t="s">
        <v>16</v>
      </c>
    </row>
    <row r="79" spans="13:21" x14ac:dyDescent="0.25">
      <c r="M79" s="11"/>
      <c r="N79" s="105" t="s">
        <v>264</v>
      </c>
      <c r="O79" s="76">
        <v>2025</v>
      </c>
      <c r="P79" s="61" cm="1">
        <f t="array" ref="P79">INDEX(Additions!$C:$C,SUMPRODUCT((Additions!$A:$A='ICAP Prices'!$N79)*('ICAP Prices'!$O79=Additions!$B:$B)*ROW(Additions!$C:$C)),0)*SUMPRODUCT(($R$253:$R$275='ICAP Prices'!$R79)*('ICAP Prices'!$S79=$S$253:$S$275),($P$253:$P$275))</f>
        <v>0</v>
      </c>
      <c r="Q79" s="61" cm="1">
        <f t="array" ref="Q79">INDEX(Additions!$D:$D,SUMPRODUCT((Additions!$A:$A='ICAP Prices'!$N79)*('ICAP Prices'!$O79=Additions!$B:$B)*ROW(Additions!D:$D)),0)*SUMPRODUCT(($R$253:$R$275='ICAP Prices'!$R79)*('ICAP Prices'!$S79=$S$253:$S$275),($Q$253:$Q$275))</f>
        <v>111.47999999999999</v>
      </c>
      <c r="R79" s="4" t="s">
        <v>233</v>
      </c>
      <c r="S79" s="80" t="s">
        <v>16</v>
      </c>
      <c r="T79" s="73"/>
      <c r="U79" s="73"/>
    </row>
    <row r="80" spans="13:21" x14ac:dyDescent="0.25">
      <c r="M80" s="11"/>
      <c r="N80" s="105" t="s">
        <v>194</v>
      </c>
      <c r="O80" s="76">
        <v>2025</v>
      </c>
      <c r="P80" s="61" cm="1">
        <f t="array" ref="P80">INDEX(Additions!$C:$C,SUMPRODUCT((Additions!$A:$A='ICAP Prices'!$N80)*('ICAP Prices'!$O80=Additions!$B:$B)*ROW(Additions!$C:$C)),0)*SUMPRODUCT(($R$253:$R$275='ICAP Prices'!$R80)*('ICAP Prices'!$S80=$S$253:$S$275),($P$253:$P$275))</f>
        <v>0</v>
      </c>
      <c r="Q80" s="61" cm="1">
        <f t="array" ref="Q80">INDEX(Additions!$D:$D,SUMPRODUCT((Additions!$A:$A='ICAP Prices'!$N80)*('ICAP Prices'!$O80=Additions!$B:$B)*ROW(Additions!D:$D)),0)*SUMPRODUCT(($R$253:$R$275='ICAP Prices'!$R80)*('ICAP Prices'!$S80=$S$253:$S$275),($Q$253:$Q$275))</f>
        <v>11.779500000000001</v>
      </c>
      <c r="R80" s="4" t="s">
        <v>234</v>
      </c>
      <c r="S80" s="80" t="s">
        <v>2</v>
      </c>
      <c r="T80" s="73"/>
      <c r="U80" s="73"/>
    </row>
    <row r="81" spans="13:21" x14ac:dyDescent="0.25">
      <c r="M81" s="11"/>
      <c r="N81" s="105" t="s">
        <v>195</v>
      </c>
      <c r="O81" s="76">
        <v>2025</v>
      </c>
      <c r="P81" s="61" cm="1">
        <f t="array" ref="P81">INDEX(Additions!$C:$C,SUMPRODUCT((Additions!$A:$A='ICAP Prices'!$N81)*('ICAP Prices'!$O81=Additions!$B:$B)*ROW(Additions!$C:$C)),0)*SUMPRODUCT(($R$253:$R$275='ICAP Prices'!$R81)*('ICAP Prices'!$S81=$S$253:$S$275),($P$253:$P$275))</f>
        <v>2.448</v>
      </c>
      <c r="Q81" s="61" cm="1">
        <f t="array" ref="Q81">INDEX(Additions!$D:$D,SUMPRODUCT((Additions!$A:$A='ICAP Prices'!$N81)*('ICAP Prices'!$O81=Additions!$B:$B)*ROW(Additions!D:$D)),0)*SUMPRODUCT(($R$253:$R$275='ICAP Prices'!$R81)*('ICAP Prices'!$S81=$S$253:$S$275),($Q$253:$Q$275))</f>
        <v>2.448</v>
      </c>
      <c r="R81" s="76" t="s">
        <v>10</v>
      </c>
      <c r="S81" s="80" t="s">
        <v>16</v>
      </c>
      <c r="T81" s="73"/>
      <c r="U81" s="73"/>
    </row>
    <row r="82" spans="13:21" x14ac:dyDescent="0.25">
      <c r="M82" s="22"/>
      <c r="N82" t="s">
        <v>146</v>
      </c>
      <c r="O82">
        <v>2025</v>
      </c>
      <c r="P82" s="61" cm="1">
        <f t="array" ref="P82">INDEX(Additions!$C:$C,SUMPRODUCT((Additions!$A:$A='ICAP Prices'!$N82)*('ICAP Prices'!$O82=Additions!$B:$B)*ROW(Additions!$C:$C)),0)*SUMPRODUCT(($R$253:$R$275='ICAP Prices'!$R82)*('ICAP Prices'!$S82=$S$253:$S$275),($P$253:$P$275))</f>
        <v>2.448</v>
      </c>
      <c r="Q82" s="61" cm="1">
        <f t="array" ref="Q82">INDEX(Additions!$D:$D,SUMPRODUCT((Additions!$A:$A='ICAP Prices'!$N82)*('ICAP Prices'!$O82=Additions!$B:$B)*ROW(Additions!D:$D)),0)*SUMPRODUCT(($R$253:$R$275='ICAP Prices'!$R82)*('ICAP Prices'!$S82=$S$253:$S$275),($Q$253:$Q$275))</f>
        <v>2.448</v>
      </c>
      <c r="R82" s="76" t="s">
        <v>10</v>
      </c>
      <c r="S82" s="80" t="s">
        <v>16</v>
      </c>
      <c r="T82" s="73"/>
      <c r="U82" s="73"/>
    </row>
    <row r="83" spans="13:21" x14ac:dyDescent="0.25">
      <c r="M83" s="11"/>
      <c r="N83" s="105" t="s">
        <v>182</v>
      </c>
      <c r="O83" s="76">
        <v>2025</v>
      </c>
      <c r="P83" s="61" cm="1">
        <f t="array" ref="P83">INDEX(Additions!$C:$C,SUMPRODUCT((Additions!$A:$A='ICAP Prices'!$N83)*('ICAP Prices'!$O83=Additions!$B:$B)*ROW(Additions!$C:$C)),0)*SUMPRODUCT(($R$253:$R$275='ICAP Prices'!$R83)*('ICAP Prices'!$S83=$S$253:$S$275),($P$253:$P$275))</f>
        <v>0</v>
      </c>
      <c r="Q83" s="61" cm="1">
        <f t="array" ref="Q83">INDEX(Additions!$D:$D,SUMPRODUCT((Additions!$A:$A='ICAP Prices'!$N83)*('ICAP Prices'!$O83=Additions!$B:$B)*ROW(Additions!D:$D)),0)*SUMPRODUCT(($R$253:$R$275='ICAP Prices'!$R83)*('ICAP Prices'!$S83=$S$253:$S$275),($Q$253:$Q$275))</f>
        <v>2.448</v>
      </c>
      <c r="R83" s="76" t="s">
        <v>10</v>
      </c>
      <c r="S83" s="80" t="s">
        <v>16</v>
      </c>
      <c r="T83" s="73"/>
      <c r="U83" s="73"/>
    </row>
    <row r="84" spans="13:21" x14ac:dyDescent="0.25">
      <c r="M84" s="11"/>
      <c r="N84" s="105" t="s">
        <v>198</v>
      </c>
      <c r="O84" s="76">
        <v>2025</v>
      </c>
      <c r="P84" s="61" cm="1">
        <f t="array" ref="P84">INDEX(Additions!$C:$C,SUMPRODUCT((Additions!$A:$A='ICAP Prices'!$N84)*('ICAP Prices'!$O84=Additions!$B:$B)*ROW(Additions!$C:$C)),0)*SUMPRODUCT(($R$253:$R$275='ICAP Prices'!$R84)*('ICAP Prices'!$S84=$S$253:$S$275),($P$253:$P$275))</f>
        <v>0</v>
      </c>
      <c r="Q84" s="61" cm="1">
        <f t="array" ref="Q84">INDEX(Additions!$D:$D,SUMPRODUCT((Additions!$A:$A='ICAP Prices'!$N84)*('ICAP Prices'!$O84=Additions!$B:$B)*ROW(Additions!D:$D)),0)*SUMPRODUCT(($R$253:$R$275='ICAP Prices'!$R84)*('ICAP Prices'!$S84=$S$253:$S$275),($Q$253:$Q$275))</f>
        <v>2.448</v>
      </c>
      <c r="R84" s="76" t="s">
        <v>10</v>
      </c>
      <c r="S84" s="80" t="s">
        <v>16</v>
      </c>
      <c r="T84" s="73"/>
      <c r="U84" s="73"/>
    </row>
    <row r="85" spans="13:21" x14ac:dyDescent="0.25">
      <c r="M85" s="11"/>
      <c r="N85" s="105" t="s">
        <v>199</v>
      </c>
      <c r="O85" s="76">
        <v>2025</v>
      </c>
      <c r="P85" s="61" cm="1">
        <f t="array" ref="P85">INDEX(Additions!$C:$C,SUMPRODUCT((Additions!$A:$A='ICAP Prices'!$N85)*('ICAP Prices'!$O85=Additions!$B:$B)*ROW(Additions!$C:$C)),0)*SUMPRODUCT(($R$253:$R$275='ICAP Prices'!$R85)*('ICAP Prices'!$S85=$S$253:$S$275),($P$253:$P$275))</f>
        <v>0</v>
      </c>
      <c r="Q85" s="61" cm="1">
        <f t="array" ref="Q85">INDEX(Additions!$D:$D,SUMPRODUCT((Additions!$A:$A='ICAP Prices'!$N85)*('ICAP Prices'!$O85=Additions!$B:$B)*ROW(Additions!D:$D)),0)*SUMPRODUCT(($R$253:$R$275='ICAP Prices'!$R85)*('ICAP Prices'!$S85=$S$253:$S$275),($Q$253:$Q$275))</f>
        <v>2.448</v>
      </c>
      <c r="R85" s="76" t="s">
        <v>10</v>
      </c>
      <c r="S85" s="80" t="s">
        <v>16</v>
      </c>
      <c r="T85" s="73"/>
      <c r="U85" s="73"/>
    </row>
    <row r="86" spans="13:21" x14ac:dyDescent="0.25">
      <c r="M86" s="11"/>
      <c r="N86" s="105" t="s">
        <v>271</v>
      </c>
      <c r="O86" s="76">
        <v>2025</v>
      </c>
      <c r="P86" s="61" cm="1">
        <f t="array" ref="P86">INDEX(Additions!$C:$C,SUMPRODUCT((Additions!$A:$A='ICAP Prices'!$N86)*('ICAP Prices'!$O86=Additions!$B:$B)*ROW(Additions!$C:$C)),0)*SUMPRODUCT(($R$253:$R$275='ICAP Prices'!$R86)*('ICAP Prices'!$S86=$S$253:$S$275),($P$253:$P$275))</f>
        <v>2.448</v>
      </c>
      <c r="Q86" s="61" cm="1">
        <f t="array" ref="Q86">INDEX(Additions!$D:$D,SUMPRODUCT((Additions!$A:$A='ICAP Prices'!$N86)*('ICAP Prices'!$O86=Additions!$B:$B)*ROW(Additions!D:$D)),0)*SUMPRODUCT(($R$253:$R$275='ICAP Prices'!$R86)*('ICAP Prices'!$S86=$S$253:$S$275),($Q$253:$Q$275))</f>
        <v>2.448</v>
      </c>
      <c r="R86" s="76" t="s">
        <v>10</v>
      </c>
      <c r="S86" s="80" t="s">
        <v>16</v>
      </c>
      <c r="T86" s="73"/>
      <c r="U86" s="73"/>
    </row>
    <row r="87" spans="13:21" x14ac:dyDescent="0.25">
      <c r="M87" s="11"/>
      <c r="N87" s="105" t="s">
        <v>200</v>
      </c>
      <c r="O87" s="76">
        <v>2025</v>
      </c>
      <c r="P87" s="61" cm="1">
        <f t="array" ref="P87">INDEX(Additions!$C:$C,SUMPRODUCT((Additions!$A:$A='ICAP Prices'!$N87)*('ICAP Prices'!$O87=Additions!$B:$B)*ROW(Additions!$C:$C)),0)*SUMPRODUCT(($R$253:$R$275='ICAP Prices'!$R87)*('ICAP Prices'!$S87=$S$253:$S$275),($P$253:$P$275))</f>
        <v>0</v>
      </c>
      <c r="Q87" s="61" cm="1">
        <f t="array" ref="Q87">INDEX(Additions!$D:$D,SUMPRODUCT((Additions!$A:$A='ICAP Prices'!$N87)*('ICAP Prices'!$O87=Additions!$B:$B)*ROW(Additions!D:$D)),0)*SUMPRODUCT(($R$253:$R$275='ICAP Prices'!$R87)*('ICAP Prices'!$S87=$S$253:$S$275),($Q$253:$Q$275))</f>
        <v>2.448</v>
      </c>
      <c r="R87" s="76" t="s">
        <v>10</v>
      </c>
      <c r="S87" s="80" t="s">
        <v>16</v>
      </c>
      <c r="T87" s="73"/>
      <c r="U87" s="73"/>
    </row>
    <row r="88" spans="13:21" x14ac:dyDescent="0.25">
      <c r="M88" s="11"/>
      <c r="N88" s="105" t="s">
        <v>279</v>
      </c>
      <c r="O88" s="76">
        <v>2025</v>
      </c>
      <c r="P88" s="61" cm="1">
        <f t="array" ref="P88">INDEX(Additions!$C:$C,SUMPRODUCT((Additions!$A:$A='ICAP Prices'!$N88)*('ICAP Prices'!$O88=Additions!$B:$B)*ROW(Additions!$C:$C)),0)*SUMPRODUCT(($R$253:$R$275='ICAP Prices'!$R88)*('ICAP Prices'!$S88=$S$253:$S$275),($P$253:$P$275))</f>
        <v>0</v>
      </c>
      <c r="Q88" s="61" cm="1">
        <f t="array" ref="Q88">INDEX(Additions!$D:$D,SUMPRODUCT((Additions!$A:$A='ICAP Prices'!$N88)*('ICAP Prices'!$O88=Additions!$B:$B)*ROW(Additions!D:$D)),0)*SUMPRODUCT(($R$253:$R$275='ICAP Prices'!$R88)*('ICAP Prices'!$S88=$S$253:$S$275),($Q$253:$Q$275))</f>
        <v>19.584</v>
      </c>
      <c r="R88" s="76" t="s">
        <v>10</v>
      </c>
      <c r="S88" s="80" t="s">
        <v>16</v>
      </c>
      <c r="T88" s="73"/>
      <c r="U88" s="73"/>
    </row>
    <row r="89" spans="13:21" x14ac:dyDescent="0.25">
      <c r="M89" s="11"/>
      <c r="N89" s="105" t="s">
        <v>281</v>
      </c>
      <c r="O89" s="76">
        <v>2025</v>
      </c>
      <c r="P89" s="61" cm="1">
        <f t="array" ref="P89">INDEX(Additions!$C:$C,SUMPRODUCT((Additions!$A:$A='ICAP Prices'!$N89)*('ICAP Prices'!$O89=Additions!$B:$B)*ROW(Additions!$C:$C)),0)*SUMPRODUCT(($R$253:$R$275='ICAP Prices'!$R89)*('ICAP Prices'!$S89=$S$253:$S$275),($P$253:$P$275))</f>
        <v>0</v>
      </c>
      <c r="Q89" s="61" cm="1">
        <f t="array" ref="Q89">INDEX(Additions!$D:$D,SUMPRODUCT((Additions!$A:$A='ICAP Prices'!$N89)*('ICAP Prices'!$O89=Additions!$B:$B)*ROW(Additions!D:$D)),0)*SUMPRODUCT(($R$253:$R$275='ICAP Prices'!$R89)*('ICAP Prices'!$S89=$S$253:$S$275),($Q$253:$Q$275))</f>
        <v>0</v>
      </c>
      <c r="R89" s="76" t="s">
        <v>10</v>
      </c>
      <c r="S89" s="80" t="s">
        <v>16</v>
      </c>
      <c r="T89" s="73"/>
      <c r="U89" s="73"/>
    </row>
    <row r="90" spans="13:21" x14ac:dyDescent="0.25">
      <c r="M90" s="11"/>
      <c r="N90" s="105" t="s">
        <v>283</v>
      </c>
      <c r="O90" s="76">
        <v>2025</v>
      </c>
      <c r="P90" s="61" cm="1">
        <f t="array" ref="P90">INDEX(Additions!$C:$C,SUMPRODUCT((Additions!$A:$A='ICAP Prices'!$N90)*('ICAP Prices'!$O90=Additions!$B:$B)*ROW(Additions!$C:$C)),0)*SUMPRODUCT(($R$253:$R$275='ICAP Prices'!$R90)*('ICAP Prices'!$S90=$S$253:$S$275),($P$253:$P$275))</f>
        <v>0</v>
      </c>
      <c r="Q90" s="61" cm="1">
        <f t="array" ref="Q90">INDEX(Additions!$D:$D,SUMPRODUCT((Additions!$A:$A='ICAP Prices'!$N90)*('ICAP Prices'!$O90=Additions!$B:$B)*ROW(Additions!D:$D)),0)*SUMPRODUCT(($R$253:$R$275='ICAP Prices'!$R90)*('ICAP Prices'!$S90=$S$253:$S$275),($Q$253:$Q$275))</f>
        <v>2.448</v>
      </c>
      <c r="R90" s="76" t="s">
        <v>10</v>
      </c>
      <c r="S90" s="80" t="s">
        <v>16</v>
      </c>
      <c r="T90" s="73"/>
      <c r="U90" s="73"/>
    </row>
    <row r="91" spans="13:21" x14ac:dyDescent="0.25">
      <c r="M91" s="22"/>
      <c r="N91" s="88" t="s">
        <v>156</v>
      </c>
      <c r="O91" s="76">
        <v>2025</v>
      </c>
      <c r="P91" s="76">
        <v>-13.8</v>
      </c>
      <c r="Q91" s="18">
        <v>-18</v>
      </c>
      <c r="S91" s="80" t="s">
        <v>2</v>
      </c>
      <c r="T91" s="73"/>
      <c r="U91" s="73"/>
    </row>
    <row r="92" spans="13:21" x14ac:dyDescent="0.25">
      <c r="M92" s="22"/>
      <c r="N92" s="110" t="s">
        <v>159</v>
      </c>
      <c r="O92" s="110">
        <v>2025</v>
      </c>
      <c r="P92" s="110">
        <v>-16.7</v>
      </c>
      <c r="Q92" s="110">
        <v>-21.3</v>
      </c>
      <c r="S92" s="22" t="s">
        <v>15</v>
      </c>
      <c r="T92" s="73"/>
      <c r="U92" s="73"/>
    </row>
    <row r="93" spans="13:21" x14ac:dyDescent="0.25">
      <c r="M93" s="22"/>
      <c r="N93" s="88" t="s">
        <v>302</v>
      </c>
      <c r="O93" s="76">
        <v>2025</v>
      </c>
      <c r="P93" s="76">
        <v>-11.6</v>
      </c>
      <c r="Q93" s="76">
        <v>-11.6</v>
      </c>
      <c r="S93" s="80" t="s">
        <v>16</v>
      </c>
      <c r="T93" s="73"/>
      <c r="U93" s="73"/>
    </row>
    <row r="94" spans="13:21" x14ac:dyDescent="0.25">
      <c r="M94" s="11"/>
      <c r="N94" s="105" t="s">
        <v>142</v>
      </c>
      <c r="O94" s="76">
        <v>2026</v>
      </c>
      <c r="P94" s="61" cm="1">
        <f t="array" ref="P94">INDEX(Additions!$C:$C,SUMPRODUCT((Additions!$A:$A='ICAP Prices'!$N94)*('ICAP Prices'!$O94=Additions!$B:$B)*ROW(Additions!$C:$C)),0)*SUMPRODUCT(($R$253:$R$275='ICAP Prices'!$R94)*('ICAP Prices'!$S94=$S$253:$S$275),($P$253:$P$275))</f>
        <v>2.448</v>
      </c>
      <c r="Q94" s="61" cm="1">
        <f t="array" ref="Q94">INDEX(Additions!$D:$D,SUMPRODUCT((Additions!$A:$A='ICAP Prices'!$N94)*('ICAP Prices'!$O94=Additions!$B:$B)*ROW(Additions!D:$D)),0)*SUMPRODUCT(($R$253:$R$275='ICAP Prices'!$R94)*('ICAP Prices'!$S94=$S$253:$S$275),($Q$253:$Q$275))</f>
        <v>0</v>
      </c>
      <c r="R94" s="4" t="s">
        <v>10</v>
      </c>
      <c r="S94" s="80" t="s">
        <v>16</v>
      </c>
      <c r="T94" s="73"/>
      <c r="U94" s="73"/>
    </row>
    <row r="95" spans="13:21" x14ac:dyDescent="0.25">
      <c r="M95" s="11"/>
      <c r="N95" s="105" t="s">
        <v>182</v>
      </c>
      <c r="O95" s="76">
        <v>2026</v>
      </c>
      <c r="P95" s="61" cm="1">
        <f t="array" ref="P95">INDEX(Additions!$C:$C,SUMPRODUCT((Additions!$A:$A='ICAP Prices'!$N95)*('ICAP Prices'!$O95=Additions!$B:$B)*ROW(Additions!$C:$C)),0)*SUMPRODUCT(($R$253:$R$275='ICAP Prices'!$R95)*('ICAP Prices'!$S95=$S$253:$S$275),($P$253:$P$275))</f>
        <v>2.448</v>
      </c>
      <c r="Q95" s="61" cm="1">
        <f t="array" ref="Q95">INDEX(Additions!$D:$D,SUMPRODUCT((Additions!$A:$A='ICAP Prices'!$N95)*('ICAP Prices'!$O95=Additions!$B:$B)*ROW(Additions!D:$D)),0)*SUMPRODUCT(($R$253:$R$275='ICAP Prices'!$R95)*('ICAP Prices'!$S95=$S$253:$S$275),($Q$253:$Q$275))</f>
        <v>0</v>
      </c>
      <c r="R95" s="76" t="s">
        <v>10</v>
      </c>
      <c r="S95" s="80" t="s">
        <v>16</v>
      </c>
      <c r="T95" s="73"/>
      <c r="U95" s="73"/>
    </row>
    <row r="96" spans="13:21" x14ac:dyDescent="0.25">
      <c r="M96" s="22"/>
      <c r="N96" t="s">
        <v>123</v>
      </c>
      <c r="O96">
        <v>2026</v>
      </c>
      <c r="P96" s="61" cm="1">
        <f t="array" ref="P96">INDEX(Additions!$C:$C,SUMPRODUCT((Additions!$A:$A='ICAP Prices'!$N96)*('ICAP Prices'!$O96=Additions!$B:$B)*ROW(Additions!$C:$C)),0)*SUMPRODUCT(($R$253:$R$275='ICAP Prices'!$R96)*('ICAP Prices'!$S96=$S$253:$S$275),($P$253:$P$275))</f>
        <v>11.016</v>
      </c>
      <c r="Q96" s="61" cm="1">
        <f t="array" ref="Q96">INDEX(Additions!$D:$D,SUMPRODUCT((Additions!$A:$A='ICAP Prices'!$N96)*('ICAP Prices'!$O96=Additions!$B:$B)*ROW(Additions!D:$D)),0)*SUMPRODUCT(($R$253:$R$275='ICAP Prices'!$R96)*('ICAP Prices'!$S96=$S$253:$S$275),($Q$253:$Q$275))</f>
        <v>11.016</v>
      </c>
      <c r="R96" s="4" t="s">
        <v>10</v>
      </c>
      <c r="S96" s="80" t="s">
        <v>16</v>
      </c>
      <c r="T96" s="73"/>
      <c r="U96" s="73"/>
    </row>
    <row r="97" spans="13:21" x14ac:dyDescent="0.25">
      <c r="M97" s="11"/>
      <c r="N97" s="105" t="s">
        <v>166</v>
      </c>
      <c r="O97" s="76">
        <v>2026</v>
      </c>
      <c r="P97" s="61" cm="1">
        <f t="array" ref="P97">INDEX(Additions!$C:$C,SUMPRODUCT((Additions!$A:$A='ICAP Prices'!$N97)*('ICAP Prices'!$O97=Additions!$B:$B)*ROW(Additions!$C:$C)),0)*SUMPRODUCT(($R$253:$R$275='ICAP Prices'!$R97)*('ICAP Prices'!$S97=$S$253:$S$275),($P$253:$P$275))</f>
        <v>0</v>
      </c>
      <c r="Q97" s="61" cm="1">
        <f t="array" ref="Q97">INDEX(Additions!$D:$D,SUMPRODUCT((Additions!$A:$A='ICAP Prices'!$N97)*('ICAP Prices'!$O97=Additions!$B:$B)*ROW(Additions!D:$D)),0)*SUMPRODUCT(($R$253:$R$275='ICAP Prices'!$R97)*('ICAP Prices'!$S97=$S$253:$S$275),($Q$253:$Q$275))</f>
        <v>75.611599999999996</v>
      </c>
      <c r="R97" s="4" t="s">
        <v>11</v>
      </c>
      <c r="S97" s="80" t="s">
        <v>16</v>
      </c>
      <c r="T97" s="73"/>
      <c r="U97" s="73"/>
    </row>
    <row r="98" spans="13:21" x14ac:dyDescent="0.25">
      <c r="M98" s="11"/>
      <c r="N98" s="105" t="s">
        <v>167</v>
      </c>
      <c r="O98" s="76">
        <v>2026</v>
      </c>
      <c r="P98" s="61" cm="1">
        <f t="array" ref="P98">INDEX(Additions!$C:$C,SUMPRODUCT((Additions!$A:$A='ICAP Prices'!$N98)*('ICAP Prices'!$O98=Additions!$B:$B)*ROW(Additions!$C:$C)),0)*SUMPRODUCT(($R$253:$R$275='ICAP Prices'!$R98)*('ICAP Prices'!$S98=$S$253:$S$275),($P$253:$P$275))</f>
        <v>0</v>
      </c>
      <c r="Q98" s="61" cm="1">
        <f t="array" ref="Q98">INDEX(Additions!$D:$D,SUMPRODUCT((Additions!$A:$A='ICAP Prices'!$N98)*('ICAP Prices'!$O98=Additions!$B:$B)*ROW(Additions!D:$D)),0)*SUMPRODUCT(($R$253:$R$275='ICAP Prices'!$R98)*('ICAP Prices'!$S98=$S$253:$S$275),($Q$253:$Q$275))</f>
        <v>33.696839999999995</v>
      </c>
      <c r="R98" s="4" t="s">
        <v>11</v>
      </c>
      <c r="S98" s="80" t="s">
        <v>16</v>
      </c>
      <c r="T98" s="73"/>
      <c r="U98" s="73"/>
    </row>
    <row r="99" spans="13:21" x14ac:dyDescent="0.25">
      <c r="M99" s="22"/>
      <c r="N99" s="105" t="s">
        <v>145</v>
      </c>
      <c r="O99" s="76">
        <v>2026</v>
      </c>
      <c r="P99" s="61" cm="1">
        <f t="array" ref="P99">INDEX(Additions!$C:$C,SUMPRODUCT((Additions!$A:$A='ICAP Prices'!$N99)*('ICAP Prices'!$O99=Additions!$B:$B)*ROW(Additions!$C:$C)),0)*SUMPRODUCT(($R$253:$R$275='ICAP Prices'!$R99)*('ICAP Prices'!$S99=$S$253:$S$275),($P$253:$P$275))</f>
        <v>0</v>
      </c>
      <c r="Q99" s="61" cm="1">
        <f t="array" ref="Q99">INDEX(Additions!$D:$D,SUMPRODUCT((Additions!$A:$A='ICAP Prices'!$N99)*('ICAP Prices'!$O99=Additions!$B:$B)*ROW(Additions!D:$D)),0)*SUMPRODUCT(($R$253:$R$275='ICAP Prices'!$R99)*('ICAP Prices'!$S99=$S$253:$S$275),($Q$253:$Q$275))</f>
        <v>2.448</v>
      </c>
      <c r="R99" s="4" t="s">
        <v>10</v>
      </c>
      <c r="S99" s="80" t="s">
        <v>16</v>
      </c>
    </row>
    <row r="100" spans="13:21" x14ac:dyDescent="0.25">
      <c r="M100" s="11"/>
      <c r="N100" s="105" t="s">
        <v>135</v>
      </c>
      <c r="O100" s="76">
        <v>2026</v>
      </c>
      <c r="P100" s="61" cm="1">
        <f t="array" ref="P100">INDEX(Additions!$C:$C,SUMPRODUCT((Additions!$A:$A='ICAP Prices'!$N100)*('ICAP Prices'!$O100=Additions!$B:$B)*ROW(Additions!$C:$C)),0)*SUMPRODUCT(($R$253:$R$275='ICAP Prices'!$R100)*('ICAP Prices'!$S100=$S$253:$S$275),($P$253:$P$275))</f>
        <v>2.448</v>
      </c>
      <c r="Q100" s="61" cm="1">
        <f t="array" ref="Q100">INDEX(Additions!$D:$D,SUMPRODUCT((Additions!$A:$A='ICAP Prices'!$N100)*('ICAP Prices'!$O100=Additions!$B:$B)*ROW(Additions!D:$D)),0)*SUMPRODUCT(($R$253:$R$275='ICAP Prices'!$R100)*('ICAP Prices'!$S100=$S$253:$S$275),($Q$253:$Q$275))</f>
        <v>2.448</v>
      </c>
      <c r="R100" s="4" t="s">
        <v>10</v>
      </c>
      <c r="S100" s="80" t="s">
        <v>16</v>
      </c>
      <c r="T100" s="73"/>
      <c r="U100" s="73"/>
    </row>
    <row r="101" spans="13:21" x14ac:dyDescent="0.25">
      <c r="M101" s="11"/>
      <c r="N101" s="105" t="s">
        <v>143</v>
      </c>
      <c r="O101" s="76">
        <v>2026</v>
      </c>
      <c r="P101" s="61" cm="1">
        <f t="array" ref="P101">INDEX(Additions!$C:$C,SUMPRODUCT((Additions!$A:$A='ICAP Prices'!$N101)*('ICAP Prices'!$O101=Additions!$B:$B)*ROW(Additions!$C:$C)),0)*SUMPRODUCT(($R$253:$R$275='ICAP Prices'!$R101)*('ICAP Prices'!$S101=$S$253:$S$275),($P$253:$P$275))</f>
        <v>0</v>
      </c>
      <c r="Q101" s="61" cm="1">
        <f t="array" ref="Q101">INDEX(Additions!$D:$D,SUMPRODUCT((Additions!$A:$A='ICAP Prices'!$N101)*('ICAP Prices'!$O101=Additions!$B:$B)*ROW(Additions!D:$D)),0)*SUMPRODUCT(($R$253:$R$275='ICAP Prices'!$R101)*('ICAP Prices'!$S101=$S$253:$S$275),($Q$253:$Q$275))</f>
        <v>2.448</v>
      </c>
      <c r="R101" s="4" t="s">
        <v>10</v>
      </c>
      <c r="S101" s="80" t="s">
        <v>16</v>
      </c>
      <c r="T101" s="73"/>
      <c r="U101" s="73"/>
    </row>
    <row r="102" spans="13:21" x14ac:dyDescent="0.25">
      <c r="M102" s="11"/>
      <c r="N102" s="105" t="s">
        <v>140</v>
      </c>
      <c r="O102" s="76">
        <v>2026</v>
      </c>
      <c r="P102" s="61" cm="1">
        <f t="array" ref="P102">INDEX(Additions!$C:$C,SUMPRODUCT((Additions!$A:$A='ICAP Prices'!$N102)*('ICAP Prices'!$O102=Additions!$B:$B)*ROW(Additions!$C:$C)),0)*SUMPRODUCT(($R$253:$R$275='ICAP Prices'!$R102)*('ICAP Prices'!$S102=$S$253:$S$275),($P$253:$P$275))</f>
        <v>0</v>
      </c>
      <c r="Q102" s="61" cm="1">
        <f t="array" ref="Q102">INDEX(Additions!$D:$D,SUMPRODUCT((Additions!$A:$A='ICAP Prices'!$N102)*('ICAP Prices'!$O102=Additions!$B:$B)*ROW(Additions!D:$D)),0)*SUMPRODUCT(($R$253:$R$275='ICAP Prices'!$R102)*('ICAP Prices'!$S102=$S$253:$S$275),($Q$253:$Q$275))</f>
        <v>2.2031999999999998</v>
      </c>
      <c r="R102" s="4" t="s">
        <v>10</v>
      </c>
      <c r="S102" s="80" t="s">
        <v>16</v>
      </c>
      <c r="T102" s="73"/>
      <c r="U102" s="73"/>
    </row>
    <row r="103" spans="13:21" x14ac:dyDescent="0.25">
      <c r="M103" s="11"/>
      <c r="N103" s="105" t="s">
        <v>141</v>
      </c>
      <c r="O103" s="76">
        <v>2026</v>
      </c>
      <c r="P103" s="61" cm="1">
        <f t="array" ref="P103">INDEX(Additions!$C:$C,SUMPRODUCT((Additions!$A:$A='ICAP Prices'!$N103)*('ICAP Prices'!$O103=Additions!$B:$B)*ROW(Additions!$C:$C)),0)*SUMPRODUCT(($R$253:$R$275='ICAP Prices'!$R103)*('ICAP Prices'!$S103=$S$253:$S$275),($P$253:$P$275))</f>
        <v>0</v>
      </c>
      <c r="Q103" s="61" cm="1">
        <f t="array" ref="Q103">INDEX(Additions!$D:$D,SUMPRODUCT((Additions!$A:$A='ICAP Prices'!$N103)*('ICAP Prices'!$O103=Additions!$B:$B)*ROW(Additions!D:$D)),0)*SUMPRODUCT(($R$253:$R$275='ICAP Prices'!$R103)*('ICAP Prices'!$S103=$S$253:$S$275),($Q$253:$Q$275))</f>
        <v>2.448</v>
      </c>
      <c r="R103" s="4" t="s">
        <v>10</v>
      </c>
      <c r="S103" s="80" t="s">
        <v>16</v>
      </c>
      <c r="T103" s="73"/>
      <c r="U103" s="73"/>
    </row>
    <row r="104" spans="13:21" x14ac:dyDescent="0.25">
      <c r="M104" s="11"/>
      <c r="N104" s="105" t="s">
        <v>121</v>
      </c>
      <c r="O104" s="76">
        <v>2026</v>
      </c>
      <c r="P104" s="61" cm="1">
        <f t="array" ref="P104">INDEX(Additions!$C:$C,SUMPRODUCT((Additions!$A:$A='ICAP Prices'!$N104)*('ICAP Prices'!$O104=Additions!$B:$B)*ROW(Additions!$C:$C)),0)*SUMPRODUCT(($R$253:$R$275='ICAP Prices'!$R104)*('ICAP Prices'!$S104=$S$253:$S$275),($P$253:$P$275))</f>
        <v>0</v>
      </c>
      <c r="Q104" s="61" cm="1">
        <f t="array" ref="Q104">INDEX(Additions!$D:$D,SUMPRODUCT((Additions!$A:$A='ICAP Prices'!$N104)*('ICAP Prices'!$O104=Additions!$B:$B)*ROW(Additions!D:$D)),0)*SUMPRODUCT(($R$253:$R$275='ICAP Prices'!$R104)*('ICAP Prices'!$S104=$S$253:$S$275),($Q$253:$Q$275))</f>
        <v>57.104440000000004</v>
      </c>
      <c r="R104" s="4" t="s">
        <v>11</v>
      </c>
      <c r="S104" s="80" t="s">
        <v>16</v>
      </c>
      <c r="T104" s="73"/>
      <c r="U104" s="73"/>
    </row>
    <row r="105" spans="13:21" x14ac:dyDescent="0.25">
      <c r="M105" s="11"/>
      <c r="N105" s="105" t="s">
        <v>117</v>
      </c>
      <c r="O105" s="76">
        <v>2026</v>
      </c>
      <c r="P105" s="61" cm="1">
        <f t="array" ref="P105">INDEX(Additions!$C:$C,SUMPRODUCT((Additions!$A:$A='ICAP Prices'!$N105)*('ICAP Prices'!$O105=Additions!$B:$B)*ROW(Additions!$C:$C)),0)*SUMPRODUCT(($R$253:$R$275='ICAP Prices'!$R105)*('ICAP Prices'!$S105=$S$253:$S$275),($P$253:$P$275))</f>
        <v>12.33</v>
      </c>
      <c r="Q105" s="61" cm="1">
        <f t="array" ref="Q105">INDEX(Additions!$D:$D,SUMPRODUCT((Additions!$A:$A='ICAP Prices'!$N105)*('ICAP Prices'!$O105=Additions!$B:$B)*ROW(Additions!D:$D)),0)*SUMPRODUCT(($R$253:$R$275='ICAP Prices'!$R105)*('ICAP Prices'!$S105=$S$253:$S$275),($Q$253:$Q$275))</f>
        <v>12.33</v>
      </c>
      <c r="R105" s="4" t="s">
        <v>10</v>
      </c>
      <c r="S105" s="80" t="s">
        <v>41</v>
      </c>
      <c r="T105" s="73"/>
      <c r="U105" s="73"/>
    </row>
    <row r="106" spans="13:21" x14ac:dyDescent="0.25">
      <c r="M106" s="11"/>
      <c r="N106" s="105" t="s">
        <v>120</v>
      </c>
      <c r="O106" s="76">
        <v>2026</v>
      </c>
      <c r="P106" s="61" cm="1">
        <f t="array" ref="P106">INDEX(Additions!$C:$C,SUMPRODUCT((Additions!$A:$A='ICAP Prices'!$N106)*('ICAP Prices'!$O106=Additions!$B:$B)*ROW(Additions!$C:$C)),0)*SUMPRODUCT(($R$253:$R$275='ICAP Prices'!$R106)*('ICAP Prices'!$S106=$S$253:$S$275),($P$253:$P$275))</f>
        <v>0</v>
      </c>
      <c r="Q106" s="61" cm="1">
        <f t="array" ref="Q106">INDEX(Additions!$D:$D,SUMPRODUCT((Additions!$A:$A='ICAP Prices'!$N106)*('ICAP Prices'!$O106=Additions!$B:$B)*ROW(Additions!D:$D)),0)*SUMPRODUCT(($R$253:$R$275='ICAP Prices'!$R106)*('ICAP Prices'!$S106=$S$253:$S$275),($Q$253:$Q$275))</f>
        <v>16.974719999999998</v>
      </c>
      <c r="R106" s="4" t="s">
        <v>11</v>
      </c>
      <c r="S106" s="80" t="s">
        <v>16</v>
      </c>
      <c r="T106" s="73"/>
      <c r="U106" s="73"/>
    </row>
    <row r="107" spans="13:21" x14ac:dyDescent="0.25">
      <c r="M107" s="11"/>
      <c r="N107" s="105" t="s">
        <v>111</v>
      </c>
      <c r="O107" s="76">
        <v>2026</v>
      </c>
      <c r="P107" s="61" cm="1">
        <f t="array" ref="P107">INDEX(Additions!$C:$C,SUMPRODUCT((Additions!$A:$A='ICAP Prices'!$N107)*('ICAP Prices'!$O107=Additions!$B:$B)*ROW(Additions!$C:$C)),0)*SUMPRODUCT(($R$253:$R$275='ICAP Prices'!$R107)*('ICAP Prices'!$S107=$S$253:$S$275),($P$253:$P$275))</f>
        <v>0</v>
      </c>
      <c r="Q107" s="61" cm="1">
        <f t="array" ref="Q107">INDEX(Additions!$D:$D,SUMPRODUCT((Additions!$A:$A='ICAP Prices'!$N107)*('ICAP Prices'!$O107=Additions!$B:$B)*ROW(Additions!D:$D)),0)*SUMPRODUCT(($R$253:$R$275='ICAP Prices'!$R107)*('ICAP Prices'!$S107=$S$253:$S$275),($Q$253:$Q$275))</f>
        <v>34.271999999999998</v>
      </c>
      <c r="R107" s="4" t="s">
        <v>10</v>
      </c>
      <c r="S107" s="80" t="s">
        <v>16</v>
      </c>
      <c r="T107" s="73"/>
      <c r="U107" s="73"/>
    </row>
    <row r="108" spans="13:21" x14ac:dyDescent="0.25">
      <c r="M108" s="11"/>
      <c r="N108" s="105" t="s">
        <v>192</v>
      </c>
      <c r="O108" s="76">
        <v>2026</v>
      </c>
      <c r="P108" s="61" cm="1">
        <f t="array" ref="P108">INDEX(Additions!$C:$C,SUMPRODUCT((Additions!$A:$A='ICAP Prices'!$N108)*('ICAP Prices'!$O108=Additions!$B:$B)*ROW(Additions!$C:$C)),0)*SUMPRODUCT(($R$253:$R$275='ICAP Prices'!$R108)*('ICAP Prices'!$S108=$S$253:$S$275),($P$253:$P$275))</f>
        <v>0</v>
      </c>
      <c r="Q108" s="61" cm="1">
        <f t="array" ref="Q108">INDEX(Additions!$D:$D,SUMPRODUCT((Additions!$A:$A='ICAP Prices'!$N108)*('ICAP Prices'!$O108=Additions!$B:$B)*ROW(Additions!D:$D)),0)*SUMPRODUCT(($R$253:$R$275='ICAP Prices'!$R108)*('ICAP Prices'!$S108=$S$253:$S$275),($Q$253:$Q$275))</f>
        <v>2.448</v>
      </c>
      <c r="R108" s="4" t="s">
        <v>10</v>
      </c>
      <c r="S108" s="80" t="s">
        <v>16</v>
      </c>
      <c r="T108" s="73"/>
      <c r="U108" s="73"/>
    </row>
    <row r="109" spans="13:21" x14ac:dyDescent="0.25">
      <c r="M109" s="22"/>
      <c r="N109" s="4" t="s">
        <v>259</v>
      </c>
      <c r="O109" s="4">
        <v>2026</v>
      </c>
      <c r="P109" s="61" cm="1">
        <f t="array" ref="P109">INDEX(Additions!$C:$C,SUMPRODUCT((Additions!$A:$A='ICAP Prices'!$N109)*('ICAP Prices'!$O109=Additions!$B:$B)*ROW(Additions!$C:$C)),0)*SUMPRODUCT(($R$253:$R$275='ICAP Prices'!$R109)*('ICAP Prices'!$S109=$S$253:$S$275),($P$253:$P$275))</f>
        <v>0</v>
      </c>
      <c r="Q109" s="61" cm="1">
        <f t="array" ref="Q109">INDEX(Additions!$D:$D,SUMPRODUCT((Additions!$A:$A='ICAP Prices'!$N109)*('ICAP Prices'!$O109=Additions!$B:$B)*ROW(Additions!D:$D)),0)*SUMPRODUCT(($R$253:$R$275='ICAP Prices'!$R109)*('ICAP Prices'!$S109=$S$253:$S$275),($Q$253:$Q$275))</f>
        <v>292.04640000000001</v>
      </c>
      <c r="R109" s="4" t="s">
        <v>11</v>
      </c>
      <c r="S109" s="80" t="s">
        <v>2</v>
      </c>
      <c r="T109" s="73"/>
      <c r="U109" s="73"/>
    </row>
    <row r="110" spans="13:21" x14ac:dyDescent="0.25">
      <c r="M110" s="11"/>
      <c r="N110" s="105" t="s">
        <v>188</v>
      </c>
      <c r="O110" s="76">
        <v>2026</v>
      </c>
      <c r="P110" s="61" cm="1">
        <f t="array" ref="P110">INDEX(Additions!$C:$C,SUMPRODUCT((Additions!$A:$A='ICAP Prices'!$N110)*('ICAP Prices'!$O110=Additions!$B:$B)*ROW(Additions!$C:$C)),0)*SUMPRODUCT(($R$253:$R$275='ICAP Prices'!$R110)*('ICAP Prices'!$S110=$S$253:$S$275),($P$253:$P$275))</f>
        <v>314.952</v>
      </c>
      <c r="Q110" s="61" cm="1">
        <f t="array" ref="Q110">INDEX(Additions!$D:$D,SUMPRODUCT((Additions!$A:$A='ICAP Prices'!$N110)*('ICAP Prices'!$O110=Additions!$B:$B)*ROW(Additions!D:$D)),0)*SUMPRODUCT(($R$253:$R$275='ICAP Prices'!$R110)*('ICAP Prices'!$S110=$S$253:$S$275),($Q$253:$Q$275))</f>
        <v>314.952</v>
      </c>
      <c r="R110" s="4" t="s">
        <v>11</v>
      </c>
      <c r="S110" s="80" t="s">
        <v>15</v>
      </c>
      <c r="T110" s="73"/>
      <c r="U110" s="73"/>
    </row>
    <row r="111" spans="13:21" x14ac:dyDescent="0.25">
      <c r="M111" s="11"/>
      <c r="N111" s="105" t="s">
        <v>264</v>
      </c>
      <c r="O111" s="76">
        <v>2026</v>
      </c>
      <c r="P111" s="61" cm="1">
        <f t="array" ref="P111">INDEX(Additions!$C:$C,SUMPRODUCT((Additions!$A:$A='ICAP Prices'!$N111)*('ICAP Prices'!$O111=Additions!$B:$B)*ROW(Additions!$C:$C)),0)*SUMPRODUCT(($R$253:$R$275='ICAP Prices'!$R111)*('ICAP Prices'!$S111=$S$253:$S$275),($P$253:$P$275))</f>
        <v>111.47999999999999</v>
      </c>
      <c r="Q111" s="61" cm="1">
        <f t="array" ref="Q111">INDEX(Additions!$D:$D,SUMPRODUCT((Additions!$A:$A='ICAP Prices'!$N111)*('ICAP Prices'!$O111=Additions!$B:$B)*ROW(Additions!D:$D)),0)*SUMPRODUCT(($R$253:$R$275='ICAP Prices'!$R111)*('ICAP Prices'!$S111=$S$253:$S$275),($Q$253:$Q$275))</f>
        <v>0</v>
      </c>
      <c r="R111" s="4" t="s">
        <v>233</v>
      </c>
      <c r="S111" s="80" t="s">
        <v>16</v>
      </c>
      <c r="T111" s="73"/>
      <c r="U111" s="73"/>
    </row>
    <row r="112" spans="13:21" x14ac:dyDescent="0.25">
      <c r="M112" s="22"/>
      <c r="N112" s="105" t="s">
        <v>202</v>
      </c>
      <c r="O112" s="76">
        <v>2026</v>
      </c>
      <c r="P112" s="61" cm="1">
        <f t="array" ref="P112">INDEX(Additions!$C:$C,SUMPRODUCT((Additions!$A:$A='ICAP Prices'!$N112)*('ICAP Prices'!$O112=Additions!$B:$B)*ROW(Additions!$C:$C)),0)*SUMPRODUCT(($R$253:$R$275='ICAP Prices'!$R112)*('ICAP Prices'!$S112=$S$253:$S$275),($P$253:$P$275))</f>
        <v>0</v>
      </c>
      <c r="Q112" s="61" cm="1">
        <f t="array" ref="Q112">INDEX(Additions!$D:$D,SUMPRODUCT((Additions!$A:$A='ICAP Prices'!$N112)*('ICAP Prices'!$O112=Additions!$B:$B)*ROW(Additions!D:$D)),0)*SUMPRODUCT(($R$253:$R$275='ICAP Prices'!$R112)*('ICAP Prices'!$S112=$S$253:$S$275),($Q$253:$Q$275))</f>
        <v>15.782</v>
      </c>
      <c r="R112" s="4" t="s">
        <v>234</v>
      </c>
      <c r="S112" s="80" t="s">
        <v>16</v>
      </c>
      <c r="T112" s="73"/>
      <c r="U112" s="73"/>
    </row>
    <row r="113" spans="13:21" x14ac:dyDescent="0.25">
      <c r="M113" s="11"/>
      <c r="N113" s="105" t="s">
        <v>171</v>
      </c>
      <c r="O113" s="76">
        <v>2026</v>
      </c>
      <c r="P113" s="61" cm="1">
        <f t="array" ref="P113">INDEX(Additions!$C:$C,SUMPRODUCT((Additions!$A:$A='ICAP Prices'!$N113)*('ICAP Prices'!$O113=Additions!$B:$B)*ROW(Additions!$C:$C)),0)*SUMPRODUCT(($R$253:$R$275='ICAP Prices'!$R113)*('ICAP Prices'!$S113=$S$253:$S$275),($P$253:$P$275))</f>
        <v>0</v>
      </c>
      <c r="Q113" s="61" cm="1">
        <f t="array" ref="Q113">INDEX(Additions!$D:$D,SUMPRODUCT((Additions!$A:$A='ICAP Prices'!$N113)*('ICAP Prices'!$O113=Additions!$B:$B)*ROW(Additions!D:$D)),0)*SUMPRODUCT(($R$253:$R$275='ICAP Prices'!$R113)*('ICAP Prices'!$S113=$S$253:$S$275),($Q$253:$Q$275))</f>
        <v>17.135999999999999</v>
      </c>
      <c r="R113" s="4" t="s">
        <v>10</v>
      </c>
      <c r="S113" s="80" t="s">
        <v>16</v>
      </c>
      <c r="T113" s="73"/>
      <c r="U113" s="73"/>
    </row>
    <row r="114" spans="13:21" x14ac:dyDescent="0.25">
      <c r="M114" s="11"/>
      <c r="N114" s="105" t="s">
        <v>173</v>
      </c>
      <c r="O114" s="76">
        <v>2026</v>
      </c>
      <c r="P114" s="61" cm="1">
        <f t="array" ref="P114">INDEX(Additions!$C:$C,SUMPRODUCT((Additions!$A:$A='ICAP Prices'!$N114)*('ICAP Prices'!$O114=Additions!$B:$B)*ROW(Additions!$C:$C)),0)*SUMPRODUCT(($R$253:$R$275='ICAP Prices'!$R114)*('ICAP Prices'!$S114=$S$253:$S$275),($P$253:$P$275))</f>
        <v>0</v>
      </c>
      <c r="Q114" s="61" cm="1">
        <f t="array" ref="Q114">INDEX(Additions!$D:$D,SUMPRODUCT((Additions!$A:$A='ICAP Prices'!$N114)*('ICAP Prices'!$O114=Additions!$B:$B)*ROW(Additions!D:$D)),0)*SUMPRODUCT(($R$253:$R$275='ICAP Prices'!$R114)*('ICAP Prices'!$S114=$S$253:$S$275),($Q$253:$Q$275))</f>
        <v>39.107939999999999</v>
      </c>
      <c r="R114" s="4" t="s">
        <v>234</v>
      </c>
      <c r="S114" s="80" t="s">
        <v>2</v>
      </c>
      <c r="T114" s="73"/>
      <c r="U114" s="73"/>
    </row>
    <row r="115" spans="13:21" x14ac:dyDescent="0.25">
      <c r="M115" s="11"/>
      <c r="N115" s="105" t="s">
        <v>194</v>
      </c>
      <c r="O115" s="76">
        <v>2026</v>
      </c>
      <c r="P115" s="61" cm="1">
        <f t="array" ref="P115">INDEX(Additions!$C:$C,SUMPRODUCT((Additions!$A:$A='ICAP Prices'!$N115)*('ICAP Prices'!$O115=Additions!$B:$B)*ROW(Additions!$C:$C)),0)*SUMPRODUCT(($R$253:$R$275='ICAP Prices'!$R115)*('ICAP Prices'!$S115=$S$253:$S$275),($P$253:$P$275))</f>
        <v>11.779500000000001</v>
      </c>
      <c r="Q115" s="61" cm="1">
        <f t="array" ref="Q115">INDEX(Additions!$D:$D,SUMPRODUCT((Additions!$A:$A='ICAP Prices'!$N115)*('ICAP Prices'!$O115=Additions!$B:$B)*ROW(Additions!D:$D)),0)*SUMPRODUCT(($R$253:$R$275='ICAP Prices'!$R115)*('ICAP Prices'!$S115=$S$253:$S$275),($Q$253:$Q$275))</f>
        <v>0</v>
      </c>
      <c r="R115" s="4" t="s">
        <v>234</v>
      </c>
      <c r="S115" s="80" t="s">
        <v>2</v>
      </c>
      <c r="T115" s="73"/>
      <c r="U115" s="73"/>
    </row>
    <row r="116" spans="13:21" x14ac:dyDescent="0.25">
      <c r="M116" s="11"/>
      <c r="N116" s="105" t="s">
        <v>196</v>
      </c>
      <c r="O116" s="76">
        <v>2026</v>
      </c>
      <c r="P116" s="61" cm="1">
        <f t="array" ref="P116">INDEX(Additions!$C:$C,SUMPRODUCT((Additions!$A:$A='ICAP Prices'!$N116)*('ICAP Prices'!$O116=Additions!$B:$B)*ROW(Additions!$C:$C)),0)*SUMPRODUCT(($R$253:$R$275='ICAP Prices'!$R116)*('ICAP Prices'!$S116=$S$253:$S$275),($P$253:$P$275))</f>
        <v>0</v>
      </c>
      <c r="Q116" s="61" cm="1">
        <f t="array" ref="Q116">INDEX(Additions!$D:$D,SUMPRODUCT((Additions!$A:$A='ICAP Prices'!$N116)*('ICAP Prices'!$O116=Additions!$B:$B)*ROW(Additions!D:$D)),0)*SUMPRODUCT(($R$253:$R$275='ICAP Prices'!$R116)*('ICAP Prices'!$S116=$S$253:$S$275),($Q$253:$Q$275))</f>
        <v>2.448</v>
      </c>
      <c r="R116" s="4" t="s">
        <v>10</v>
      </c>
      <c r="S116" s="80" t="s">
        <v>16</v>
      </c>
      <c r="T116" s="73"/>
      <c r="U116" s="73"/>
    </row>
    <row r="117" spans="13:21" x14ac:dyDescent="0.25">
      <c r="M117" s="11"/>
      <c r="N117" s="105" t="s">
        <v>197</v>
      </c>
      <c r="O117" s="76">
        <v>2026</v>
      </c>
      <c r="P117" s="61" cm="1">
        <f t="array" ref="P117">INDEX(Additions!$C:$C,SUMPRODUCT((Additions!$A:$A='ICAP Prices'!$N117)*('ICAP Prices'!$O117=Additions!$B:$B)*ROW(Additions!$C:$C)),0)*SUMPRODUCT(($R$253:$R$275='ICAP Prices'!$R117)*('ICAP Prices'!$S117=$S$253:$S$275),($P$253:$P$275))</f>
        <v>0</v>
      </c>
      <c r="Q117" s="61" cm="1">
        <f t="array" ref="Q117">INDEX(Additions!$D:$D,SUMPRODUCT((Additions!$A:$A='ICAP Prices'!$N117)*('ICAP Prices'!$O117=Additions!$B:$B)*ROW(Additions!D:$D)),0)*SUMPRODUCT(($R$253:$R$275='ICAP Prices'!$R117)*('ICAP Prices'!$S117=$S$253:$S$275),($Q$253:$Q$275))</f>
        <v>2.448</v>
      </c>
      <c r="R117" s="4" t="s">
        <v>10</v>
      </c>
      <c r="S117" s="80" t="s">
        <v>16</v>
      </c>
      <c r="T117" s="73"/>
      <c r="U117" s="73"/>
    </row>
    <row r="118" spans="13:21" x14ac:dyDescent="0.25">
      <c r="M118" s="11"/>
      <c r="N118" s="105" t="s">
        <v>267</v>
      </c>
      <c r="O118" s="76">
        <v>2026</v>
      </c>
      <c r="P118" s="61" cm="1">
        <f t="array" ref="P118">INDEX(Additions!$C:$C,SUMPRODUCT((Additions!$A:$A='ICAP Prices'!$N118)*('ICAP Prices'!$O118=Additions!$B:$B)*ROW(Additions!$C:$C)),0)*SUMPRODUCT(($R$253:$R$275='ICAP Prices'!$R118)*('ICAP Prices'!$S118=$S$253:$S$275),($P$253:$P$275))</f>
        <v>2.448</v>
      </c>
      <c r="Q118" s="61" cm="1">
        <f t="array" ref="Q118">INDEX(Additions!$D:$D,SUMPRODUCT((Additions!$A:$A='ICAP Prices'!$N118)*('ICAP Prices'!$O118=Additions!$B:$B)*ROW(Additions!D:$D)),0)*SUMPRODUCT(($R$253:$R$275='ICAP Prices'!$R118)*('ICAP Prices'!$S118=$S$253:$S$275),($Q$253:$Q$275))</f>
        <v>2.448</v>
      </c>
      <c r="R118" s="4" t="s">
        <v>10</v>
      </c>
      <c r="S118" s="80" t="s">
        <v>16</v>
      </c>
    </row>
    <row r="119" spans="13:21" x14ac:dyDescent="0.25">
      <c r="M119" s="11"/>
      <c r="N119" s="105" t="s">
        <v>174</v>
      </c>
      <c r="O119" s="76">
        <v>2026</v>
      </c>
      <c r="P119" s="61" cm="1">
        <f t="array" ref="P119">INDEX(Additions!$C:$C,SUMPRODUCT((Additions!$A:$A='ICAP Prices'!$N119)*('ICAP Prices'!$O119=Additions!$B:$B)*ROW(Additions!$C:$C)),0)*SUMPRODUCT(($R$253:$R$275='ICAP Prices'!$R119)*('ICAP Prices'!$S119=$S$253:$S$275),($P$253:$P$275))</f>
        <v>0</v>
      </c>
      <c r="Q119" s="61" cm="1">
        <f t="array" ref="Q119">INDEX(Additions!$D:$D,SUMPRODUCT((Additions!$A:$A='ICAP Prices'!$N119)*('ICAP Prices'!$O119=Additions!$B:$B)*ROW(Additions!D:$D)),0)*SUMPRODUCT(($R$253:$R$275='ICAP Prices'!$R119)*('ICAP Prices'!$S119=$S$253:$S$275),($Q$253:$Q$275))</f>
        <v>14.687999999999999</v>
      </c>
      <c r="R119" s="4" t="s">
        <v>10</v>
      </c>
      <c r="S119" s="80" t="s">
        <v>16</v>
      </c>
    </row>
    <row r="120" spans="13:21" x14ac:dyDescent="0.25">
      <c r="M120" s="11"/>
      <c r="N120" s="105" t="s">
        <v>198</v>
      </c>
      <c r="O120" s="76">
        <v>2026</v>
      </c>
      <c r="P120" s="61" cm="1">
        <f t="array" ref="P120">INDEX(Additions!$C:$C,SUMPRODUCT((Additions!$A:$A='ICAP Prices'!$N120)*('ICAP Prices'!$O120=Additions!$B:$B)*ROW(Additions!$C:$C)),0)*SUMPRODUCT(($R$253:$R$275='ICAP Prices'!$R120)*('ICAP Prices'!$S120=$S$253:$S$275),($P$253:$P$275))</f>
        <v>2.448</v>
      </c>
      <c r="Q120" s="61" cm="1">
        <f t="array" ref="Q120">INDEX(Additions!$D:$D,SUMPRODUCT((Additions!$A:$A='ICAP Prices'!$N120)*('ICAP Prices'!$O120=Additions!$B:$B)*ROW(Additions!D:$D)),0)*SUMPRODUCT(($R$253:$R$275='ICAP Prices'!$R120)*('ICAP Prices'!$S120=$S$253:$S$275),($Q$253:$Q$275))</f>
        <v>0</v>
      </c>
      <c r="R120" s="76" t="s">
        <v>10</v>
      </c>
      <c r="S120" s="80" t="s">
        <v>16</v>
      </c>
    </row>
    <row r="121" spans="13:21" x14ac:dyDescent="0.25">
      <c r="M121" s="11"/>
      <c r="N121" s="105" t="s">
        <v>199</v>
      </c>
      <c r="O121" s="76">
        <v>2026</v>
      </c>
      <c r="P121" s="61" cm="1">
        <f t="array" ref="P121">INDEX(Additions!$C:$C,SUMPRODUCT((Additions!$A:$A='ICAP Prices'!$N121)*('ICAP Prices'!$O121=Additions!$B:$B)*ROW(Additions!$C:$C)),0)*SUMPRODUCT(($R$253:$R$275='ICAP Prices'!$R121)*('ICAP Prices'!$S121=$S$253:$S$275),($P$253:$P$275))</f>
        <v>2.448</v>
      </c>
      <c r="Q121" s="61" cm="1">
        <f t="array" ref="Q121">INDEX(Additions!$D:$D,SUMPRODUCT((Additions!$A:$A='ICAP Prices'!$N121)*('ICAP Prices'!$O121=Additions!$B:$B)*ROW(Additions!D:$D)),0)*SUMPRODUCT(($R$253:$R$275='ICAP Prices'!$R121)*('ICAP Prices'!$S121=$S$253:$S$275),($Q$253:$Q$275))</f>
        <v>0</v>
      </c>
      <c r="R121" s="76" t="s">
        <v>10</v>
      </c>
      <c r="S121" s="80" t="s">
        <v>16</v>
      </c>
    </row>
    <row r="122" spans="13:21" x14ac:dyDescent="0.25">
      <c r="M122" s="11"/>
      <c r="N122" s="105" t="s">
        <v>270</v>
      </c>
      <c r="O122" s="76">
        <v>2026</v>
      </c>
      <c r="P122" s="61" cm="1">
        <f t="array" ref="P122">INDEX(Additions!$C:$C,SUMPRODUCT((Additions!$A:$A='ICAP Prices'!$N122)*('ICAP Prices'!$O122=Additions!$B:$B)*ROW(Additions!$C:$C)),0)*SUMPRODUCT(($R$253:$R$275='ICAP Prices'!$R122)*('ICAP Prices'!$S122=$S$253:$S$275),($P$253:$P$275))</f>
        <v>0</v>
      </c>
      <c r="Q122" s="61" cm="1">
        <f t="array" ref="Q122">INDEX(Additions!$D:$D,SUMPRODUCT((Additions!$A:$A='ICAP Prices'!$N122)*('ICAP Prices'!$O122=Additions!$B:$B)*ROW(Additions!D:$D)),0)*SUMPRODUCT(($R$253:$R$275='ICAP Prices'!$R122)*('ICAP Prices'!$S122=$S$253:$S$275),($Q$253:$Q$275))</f>
        <v>0</v>
      </c>
      <c r="R122" s="76" t="s">
        <v>234</v>
      </c>
      <c r="S122" s="80" t="s">
        <v>2</v>
      </c>
    </row>
    <row r="123" spans="13:21" x14ac:dyDescent="0.25">
      <c r="M123" s="11"/>
      <c r="N123" s="105" t="s">
        <v>177</v>
      </c>
      <c r="O123" s="76">
        <v>2026</v>
      </c>
      <c r="P123" s="61" cm="1">
        <f t="array" ref="P123">INDEX(Additions!$C:$C,SUMPRODUCT((Additions!$A:$A='ICAP Prices'!$N123)*('ICAP Prices'!$O123=Additions!$B:$B)*ROW(Additions!$C:$C)),0)*SUMPRODUCT(($R$253:$R$275='ICAP Prices'!$R123)*('ICAP Prices'!$S123=$S$253:$S$275),($P$253:$P$275))</f>
        <v>78.53</v>
      </c>
      <c r="Q123" s="61" cm="1">
        <f t="array" ref="Q123">INDEX(Additions!$D:$D,SUMPRODUCT((Additions!$A:$A='ICAP Prices'!$N123)*('ICAP Prices'!$O123=Additions!$B:$B)*ROW(Additions!D:$D)),0)*SUMPRODUCT(($R$253:$R$275='ICAP Prices'!$R123)*('ICAP Prices'!$S123=$S$253:$S$275),($Q$253:$Q$275))</f>
        <v>78.53</v>
      </c>
      <c r="R123" s="76" t="s">
        <v>234</v>
      </c>
      <c r="S123" s="80" t="s">
        <v>2</v>
      </c>
    </row>
    <row r="124" spans="13:21" x14ac:dyDescent="0.25">
      <c r="M124" s="11"/>
      <c r="N124" s="105" t="s">
        <v>190</v>
      </c>
      <c r="O124" s="76">
        <v>2026</v>
      </c>
      <c r="P124" s="61" cm="1">
        <f t="array" ref="P124">INDEX(Additions!$C:$C,SUMPRODUCT((Additions!$A:$A='ICAP Prices'!$N124)*('ICAP Prices'!$O124=Additions!$B:$B)*ROW(Additions!$C:$C)),0)*SUMPRODUCT(($R$253:$R$275='ICAP Prices'!$R124)*('ICAP Prices'!$S124=$S$253:$S$275),($P$253:$P$275))</f>
        <v>0</v>
      </c>
      <c r="Q124" s="61" cm="1">
        <f t="array" ref="Q124">INDEX(Additions!$D:$D,SUMPRODUCT((Additions!$A:$A='ICAP Prices'!$N124)*('ICAP Prices'!$O124=Additions!$B:$B)*ROW(Additions!D:$D)),0)*SUMPRODUCT(($R$253:$R$275='ICAP Prices'!$R124)*('ICAP Prices'!$S124=$S$253:$S$275),($Q$253:$Q$275))</f>
        <v>108.85600000000001</v>
      </c>
      <c r="R124" s="76" t="s">
        <v>236</v>
      </c>
      <c r="S124" s="80" t="s">
        <v>15</v>
      </c>
    </row>
    <row r="125" spans="13:21" x14ac:dyDescent="0.25">
      <c r="M125" s="11"/>
      <c r="N125" s="105" t="s">
        <v>191</v>
      </c>
      <c r="O125" s="76">
        <v>2026</v>
      </c>
      <c r="P125" s="61" cm="1">
        <f t="array" ref="P125">INDEX(Additions!$C:$C,SUMPRODUCT((Additions!$A:$A='ICAP Prices'!$N125)*('ICAP Prices'!$O125=Additions!$B:$B)*ROW(Additions!$C:$C)),0)*SUMPRODUCT(($R$253:$R$275='ICAP Prices'!$R125)*('ICAP Prices'!$S125=$S$253:$S$275),($P$253:$P$275))</f>
        <v>15.7476</v>
      </c>
      <c r="Q125" s="61" cm="1">
        <f t="array" ref="Q125">INDEX(Additions!$D:$D,SUMPRODUCT((Additions!$A:$A='ICAP Prices'!$N125)*('ICAP Prices'!$O125=Additions!$B:$B)*ROW(Additions!D:$D)),0)*SUMPRODUCT(($R$253:$R$275='ICAP Prices'!$R125)*('ICAP Prices'!$S125=$S$253:$S$275),($Q$253:$Q$275))</f>
        <v>15.7476</v>
      </c>
      <c r="R125" s="76" t="s">
        <v>11</v>
      </c>
      <c r="S125" s="80" t="s">
        <v>15</v>
      </c>
    </row>
    <row r="126" spans="13:21" x14ac:dyDescent="0.25">
      <c r="M126" s="11"/>
      <c r="N126" s="105" t="s">
        <v>277</v>
      </c>
      <c r="O126" s="76">
        <v>2026</v>
      </c>
      <c r="P126" s="61" cm="1">
        <f t="array" ref="P126">INDEX(Additions!$C:$C,SUMPRODUCT((Additions!$A:$A='ICAP Prices'!$N126)*('ICAP Prices'!$O126=Additions!$B:$B)*ROW(Additions!$C:$C)),0)*SUMPRODUCT(($R$253:$R$275='ICAP Prices'!$R126)*('ICAP Prices'!$S126=$S$253:$S$275),($P$253:$P$275))</f>
        <v>0</v>
      </c>
      <c r="Q126" s="61" cm="1">
        <f t="array" ref="Q126">INDEX(Additions!$D:$D,SUMPRODUCT((Additions!$A:$A='ICAP Prices'!$N126)*('ICAP Prices'!$O126=Additions!$B:$B)*ROW(Additions!D:$D)),0)*SUMPRODUCT(($R$253:$R$275='ICAP Prices'!$R126)*('ICAP Prices'!$S126=$S$253:$S$275),($Q$253:$Q$275))</f>
        <v>2.448</v>
      </c>
      <c r="R126" s="76" t="s">
        <v>10</v>
      </c>
      <c r="S126" s="80" t="s">
        <v>16</v>
      </c>
    </row>
    <row r="127" spans="13:21" x14ac:dyDescent="0.25">
      <c r="M127" s="11"/>
      <c r="N127" s="105" t="s">
        <v>200</v>
      </c>
      <c r="O127" s="76">
        <v>2026</v>
      </c>
      <c r="P127" s="61" cm="1">
        <f t="array" ref="P127">INDEX(Additions!$C:$C,SUMPRODUCT((Additions!$A:$A='ICAP Prices'!$N127)*('ICAP Prices'!$O127=Additions!$B:$B)*ROW(Additions!$C:$C)),0)*SUMPRODUCT(($R$253:$R$275='ICAP Prices'!$R127)*('ICAP Prices'!$S127=$S$253:$S$275),($P$253:$P$275))</f>
        <v>2.448</v>
      </c>
      <c r="Q127" s="61" cm="1">
        <f t="array" ref="Q127">INDEX(Additions!$D:$D,SUMPRODUCT((Additions!$A:$A='ICAP Prices'!$N127)*('ICAP Prices'!$O127=Additions!$B:$B)*ROW(Additions!D:$D)),0)*SUMPRODUCT(($R$253:$R$275='ICAP Prices'!$R127)*('ICAP Prices'!$S127=$S$253:$S$275),($Q$253:$Q$275))</f>
        <v>0</v>
      </c>
      <c r="R127" s="76" t="s">
        <v>10</v>
      </c>
      <c r="S127" s="80" t="s">
        <v>16</v>
      </c>
    </row>
    <row r="128" spans="13:21" x14ac:dyDescent="0.25">
      <c r="M128" s="11"/>
      <c r="N128" s="105" t="s">
        <v>279</v>
      </c>
      <c r="O128" s="76">
        <v>2026</v>
      </c>
      <c r="P128" s="61" cm="1">
        <f t="array" ref="P128">INDEX(Additions!$C:$C,SUMPRODUCT((Additions!$A:$A='ICAP Prices'!$N128)*('ICAP Prices'!$O128=Additions!$B:$B)*ROW(Additions!$C:$C)),0)*SUMPRODUCT(($R$253:$R$275='ICAP Prices'!$R128)*('ICAP Prices'!$S128=$S$253:$S$275),($P$253:$P$275))</f>
        <v>19.584</v>
      </c>
      <c r="Q128" s="61" cm="1">
        <f t="array" ref="Q128">INDEX(Additions!$D:$D,SUMPRODUCT((Additions!$A:$A='ICAP Prices'!$N128)*('ICAP Prices'!$O128=Additions!$B:$B)*ROW(Additions!D:$D)),0)*SUMPRODUCT(($R$253:$R$275='ICAP Prices'!$R128)*('ICAP Prices'!$S128=$S$253:$S$275),($Q$253:$Q$275))</f>
        <v>0</v>
      </c>
      <c r="R128" s="76" t="s">
        <v>10</v>
      </c>
      <c r="S128" s="80" t="s">
        <v>16</v>
      </c>
    </row>
    <row r="129" spans="13:19" x14ac:dyDescent="0.25">
      <c r="M129" s="11"/>
      <c r="N129" s="105" t="s">
        <v>281</v>
      </c>
      <c r="O129" s="76">
        <v>2026</v>
      </c>
      <c r="P129" s="61" cm="1">
        <f t="array" ref="P129">INDEX(Additions!$C:$C,SUMPRODUCT((Additions!$A:$A='ICAP Prices'!$N129)*('ICAP Prices'!$O129=Additions!$B:$B)*ROW(Additions!$C:$C)),0)*SUMPRODUCT(($R$253:$R$275='ICAP Prices'!$R129)*('ICAP Prices'!$S129=$S$253:$S$275),($P$253:$P$275))</f>
        <v>0</v>
      </c>
      <c r="Q129" s="61" cm="1">
        <f t="array" ref="Q129">INDEX(Additions!$D:$D,SUMPRODUCT((Additions!$A:$A='ICAP Prices'!$N129)*('ICAP Prices'!$O129=Additions!$B:$B)*ROW(Additions!D:$D)),0)*SUMPRODUCT(($R$253:$R$275='ICAP Prices'!$R129)*('ICAP Prices'!$S129=$S$253:$S$275),($Q$253:$Q$275))</f>
        <v>0</v>
      </c>
      <c r="R129" s="76" t="s">
        <v>10</v>
      </c>
      <c r="S129" s="80" t="s">
        <v>16</v>
      </c>
    </row>
    <row r="130" spans="13:19" x14ac:dyDescent="0.25">
      <c r="M130" s="11"/>
      <c r="N130" s="105" t="s">
        <v>282</v>
      </c>
      <c r="O130" s="76">
        <v>2026</v>
      </c>
      <c r="P130" s="61" cm="1">
        <f t="array" ref="P130">INDEX(Additions!$C:$C,SUMPRODUCT((Additions!$A:$A='ICAP Prices'!$N130)*('ICAP Prices'!$O130=Additions!$B:$B)*ROW(Additions!$C:$C)),0)*SUMPRODUCT(($R$253:$R$275='ICAP Prices'!$R130)*('ICAP Prices'!$S130=$S$253:$S$275),($P$253:$P$275))</f>
        <v>0</v>
      </c>
      <c r="Q130" s="61" cm="1">
        <f t="array" ref="Q130">INDEX(Additions!$D:$D,SUMPRODUCT((Additions!$A:$A='ICAP Prices'!$N130)*('ICAP Prices'!$O130=Additions!$B:$B)*ROW(Additions!D:$D)),0)*SUMPRODUCT(($R$253:$R$275='ICAP Prices'!$R130)*('ICAP Prices'!$S130=$S$253:$S$275),($Q$253:$Q$275))</f>
        <v>2.448</v>
      </c>
      <c r="R130" s="76" t="s">
        <v>10</v>
      </c>
      <c r="S130" s="80" t="s">
        <v>16</v>
      </c>
    </row>
    <row r="131" spans="13:19" x14ac:dyDescent="0.25">
      <c r="M131" s="11"/>
      <c r="N131" s="105" t="s">
        <v>283</v>
      </c>
      <c r="O131" s="76">
        <v>2026</v>
      </c>
      <c r="P131" s="61" cm="1">
        <f t="array" ref="P131">INDEX(Additions!$C:$C,SUMPRODUCT((Additions!$A:$A='ICAP Prices'!$N131)*('ICAP Prices'!$O131=Additions!$B:$B)*ROW(Additions!$C:$C)),0)*SUMPRODUCT(($R$253:$R$275='ICAP Prices'!$R131)*('ICAP Prices'!$S131=$S$253:$S$275),($P$253:$P$275))</f>
        <v>2.448</v>
      </c>
      <c r="Q131" s="61" cm="1">
        <f t="array" ref="Q131">INDEX(Additions!$D:$D,SUMPRODUCT((Additions!$A:$A='ICAP Prices'!$N131)*('ICAP Prices'!$O131=Additions!$B:$B)*ROW(Additions!D:$D)),0)*SUMPRODUCT(($R$253:$R$275='ICAP Prices'!$R131)*('ICAP Prices'!$S131=$S$253:$S$275),($Q$253:$Q$275))</f>
        <v>0</v>
      </c>
      <c r="R131" s="76" t="s">
        <v>10</v>
      </c>
      <c r="S131" s="80" t="s">
        <v>16</v>
      </c>
    </row>
    <row r="132" spans="13:19" x14ac:dyDescent="0.25">
      <c r="M132" s="11"/>
      <c r="N132" s="105" t="s">
        <v>294</v>
      </c>
      <c r="O132" s="76">
        <v>2026</v>
      </c>
      <c r="P132" s="61" cm="1">
        <f t="array" ref="P132">INDEX(Additions!$C:$C,SUMPRODUCT((Additions!$A:$A='ICAP Prices'!$N132)*('ICAP Prices'!$O132=Additions!$B:$B)*ROW(Additions!$C:$C)),0)*SUMPRODUCT(($R$253:$R$275='ICAP Prices'!$R132)*('ICAP Prices'!$S132=$S$253:$S$275),($P$253:$P$275))</f>
        <v>0</v>
      </c>
      <c r="Q132" s="61" cm="1">
        <f t="array" ref="Q132">INDEX(Additions!$D:$D,SUMPRODUCT((Additions!$A:$A='ICAP Prices'!$N132)*('ICAP Prices'!$O132=Additions!$B:$B)*ROW(Additions!D:$D)),0)*SUMPRODUCT(($R$253:$R$275='ICAP Prices'!$R132)*('ICAP Prices'!$S132=$S$253:$S$275),($Q$253:$Q$275))</f>
        <v>11.016</v>
      </c>
      <c r="R132" s="76" t="s">
        <v>10</v>
      </c>
      <c r="S132" s="80" t="s">
        <v>16</v>
      </c>
    </row>
    <row r="133" spans="13:19" x14ac:dyDescent="0.25">
      <c r="M133" s="11"/>
      <c r="N133" s="105" t="s">
        <v>298</v>
      </c>
      <c r="O133" s="76">
        <v>2026</v>
      </c>
      <c r="P133" s="61" cm="1">
        <f t="array" ref="P133">INDEX(Additions!$C:$C,SUMPRODUCT((Additions!$A:$A='ICAP Prices'!$N133)*('ICAP Prices'!$O133=Additions!$B:$B)*ROW(Additions!$C:$C)),0)*SUMPRODUCT(($R$253:$R$275='ICAP Prices'!$R133)*('ICAP Prices'!$S133=$S$253:$S$275),($P$253:$P$275))</f>
        <v>21.072000000000003</v>
      </c>
      <c r="Q133" s="61" cm="1">
        <f t="array" ref="Q133">INDEX(Additions!$D:$D,SUMPRODUCT((Additions!$A:$A='ICAP Prices'!$N133)*('ICAP Prices'!$O133=Additions!$B:$B)*ROW(Additions!D:$D)),0)*SUMPRODUCT(($R$253:$R$275='ICAP Prices'!$R133)*('ICAP Prices'!$S133=$S$253:$S$275),($Q$253:$Q$275))</f>
        <v>21.072000000000003</v>
      </c>
      <c r="R133" s="76" t="s">
        <v>233</v>
      </c>
      <c r="S133" s="80" t="s">
        <v>15</v>
      </c>
    </row>
    <row r="134" spans="13:19" x14ac:dyDescent="0.25">
      <c r="M134" s="11"/>
      <c r="N134" s="105" t="s">
        <v>299</v>
      </c>
      <c r="O134" s="76">
        <v>2026</v>
      </c>
      <c r="P134" s="61" cm="1">
        <f t="array" ref="P134">INDEX(Additions!$C:$C,SUMPRODUCT((Additions!$A:$A='ICAP Prices'!$N134)*('ICAP Prices'!$O134=Additions!$B:$B)*ROW(Additions!$C:$C)),0)*SUMPRODUCT(($R$253:$R$275='ICAP Prices'!$R134)*('ICAP Prices'!$S134=$S$253:$S$275),($P$253:$P$275))</f>
        <v>21.01932</v>
      </c>
      <c r="Q134" s="61" cm="1">
        <f t="array" ref="Q134">INDEX(Additions!$D:$D,SUMPRODUCT((Additions!$A:$A='ICAP Prices'!$N134)*('ICAP Prices'!$O134=Additions!$B:$B)*ROW(Additions!D:$D)),0)*SUMPRODUCT(($R$253:$R$275='ICAP Prices'!$R134)*('ICAP Prices'!$S134=$S$253:$S$275),($Q$253:$Q$275))</f>
        <v>21.01932</v>
      </c>
      <c r="R134" s="76" t="s">
        <v>233</v>
      </c>
      <c r="S134" s="80" t="s">
        <v>15</v>
      </c>
    </row>
    <row r="135" spans="13:19" x14ac:dyDescent="0.25">
      <c r="M135" s="11"/>
      <c r="N135" s="105" t="s">
        <v>300</v>
      </c>
      <c r="O135" s="76">
        <v>2026</v>
      </c>
      <c r="P135" s="61" cm="1">
        <f t="array" ref="P135">INDEX(Additions!$C:$C,SUMPRODUCT((Additions!$A:$A='ICAP Prices'!$N135)*('ICAP Prices'!$O135=Additions!$B:$B)*ROW(Additions!$C:$C)),0)*SUMPRODUCT(($R$253:$R$275='ICAP Prices'!$R135)*('ICAP Prices'!$S135=$S$253:$S$275),($P$253:$P$275))</f>
        <v>13.9602</v>
      </c>
      <c r="Q135" s="61" cm="1">
        <f t="array" ref="Q135">INDEX(Additions!$D:$D,SUMPRODUCT((Additions!$A:$A='ICAP Prices'!$N135)*('ICAP Prices'!$O135=Additions!$B:$B)*ROW(Additions!D:$D)),0)*SUMPRODUCT(($R$253:$R$275='ICAP Prices'!$R135)*('ICAP Prices'!$S135=$S$253:$S$275),($Q$253:$Q$275))</f>
        <v>13.9602</v>
      </c>
      <c r="R135" s="76" t="s">
        <v>233</v>
      </c>
      <c r="S135" s="80" t="s">
        <v>15</v>
      </c>
    </row>
    <row r="136" spans="13:19" x14ac:dyDescent="0.25">
      <c r="M136" s="11"/>
      <c r="N136" s="105" t="s">
        <v>301</v>
      </c>
      <c r="O136" s="76">
        <v>2026</v>
      </c>
      <c r="P136" s="61" cm="1">
        <f t="array" ref="P136">INDEX(Additions!$C:$C,SUMPRODUCT((Additions!$A:$A='ICAP Prices'!$N136)*('ICAP Prices'!$O136=Additions!$B:$B)*ROW(Additions!$C:$C)),0)*SUMPRODUCT(($R$253:$R$275='ICAP Prices'!$R136)*('ICAP Prices'!$S136=$S$253:$S$275),($P$253:$P$275))</f>
        <v>0</v>
      </c>
      <c r="Q136" s="61" cm="1">
        <f t="array" ref="Q136">INDEX(Additions!$D:$D,SUMPRODUCT((Additions!$A:$A='ICAP Prices'!$N136)*('ICAP Prices'!$O136=Additions!$B:$B)*ROW(Additions!D:$D)),0)*SUMPRODUCT(($R$253:$R$275='ICAP Prices'!$R136)*('ICAP Prices'!$S136=$S$253:$S$275),($Q$253:$Q$275))</f>
        <v>15.782</v>
      </c>
      <c r="R136" s="76" t="s">
        <v>234</v>
      </c>
      <c r="S136" s="80" t="s">
        <v>16</v>
      </c>
    </row>
    <row r="137" spans="13:19" x14ac:dyDescent="0.25">
      <c r="M137" s="22"/>
      <c r="N137" s="82" t="s">
        <v>153</v>
      </c>
      <c r="O137" s="110">
        <v>2026</v>
      </c>
      <c r="P137" s="110">
        <v>-19.7</v>
      </c>
      <c r="Q137" s="110">
        <v>-25.2</v>
      </c>
      <c r="R137" s="110"/>
      <c r="S137" s="22" t="s">
        <v>41</v>
      </c>
    </row>
    <row r="138" spans="13:19" x14ac:dyDescent="0.25">
      <c r="M138" s="22"/>
      <c r="N138" t="s">
        <v>112</v>
      </c>
      <c r="O138">
        <v>2027</v>
      </c>
      <c r="P138" s="61" cm="1">
        <f t="array" ref="P138">INDEX(Additions!$C:$C,SUMPRODUCT((Additions!$A:$A='ICAP Prices'!$N138)*('ICAP Prices'!$O138=Additions!$B:$B)*ROW(Additions!$C:$C)),0)*SUMPRODUCT(($R$253:$R$275='ICAP Prices'!$R138)*('ICAP Prices'!$S138=$S$253:$S$275),($P$253:$P$275))</f>
        <v>0</v>
      </c>
      <c r="Q138" s="61" cm="1">
        <f t="array" ref="Q138">INDEX(Additions!$D:$D,SUMPRODUCT((Additions!$A:$A='ICAP Prices'!$N138)*('ICAP Prices'!$O138=Additions!$B:$B)*ROW(Additions!D:$D)),0)*SUMPRODUCT(($R$253:$R$275='ICAP Prices'!$R138)*('ICAP Prices'!$S138=$S$253:$S$275),($Q$253:$Q$275))</f>
        <v>11.077199999999999</v>
      </c>
      <c r="R138" s="4" t="s">
        <v>10</v>
      </c>
      <c r="S138" s="72" t="s">
        <v>16</v>
      </c>
    </row>
    <row r="139" spans="13:19" x14ac:dyDescent="0.25">
      <c r="M139" s="22"/>
      <c r="N139" t="s">
        <v>113</v>
      </c>
      <c r="O139">
        <v>2027</v>
      </c>
      <c r="P139" s="61" cm="1">
        <f t="array" ref="P139">INDEX(Additions!$C:$C,SUMPRODUCT((Additions!$A:$A='ICAP Prices'!$N139)*('ICAP Prices'!$O139=Additions!$B:$B)*ROW(Additions!$C:$C)),0)*SUMPRODUCT(($R$253:$R$275='ICAP Prices'!$R139)*('ICAP Prices'!$S139=$S$253:$S$275),($P$253:$P$275))</f>
        <v>0</v>
      </c>
      <c r="Q139" s="61" cm="1">
        <f t="array" ref="Q139">INDEX(Additions!$D:$D,SUMPRODUCT((Additions!$A:$A='ICAP Prices'!$N139)*('ICAP Prices'!$O139=Additions!$B:$B)*ROW(Additions!D:$D)),0)*SUMPRODUCT(($R$253:$R$275='ICAP Prices'!$R139)*('ICAP Prices'!$S139=$S$253:$S$275),($Q$253:$Q$275))</f>
        <v>48.953879999999998</v>
      </c>
      <c r="R139" s="4" t="s">
        <v>11</v>
      </c>
      <c r="S139" s="72" t="s">
        <v>16</v>
      </c>
    </row>
    <row r="140" spans="13:19" x14ac:dyDescent="0.25">
      <c r="M140" s="22"/>
      <c r="N140" t="s">
        <v>166</v>
      </c>
      <c r="O140">
        <v>2027</v>
      </c>
      <c r="P140" s="61" cm="1">
        <f t="array" ref="P140">INDEX(Additions!$C:$C,SUMPRODUCT((Additions!$A:$A='ICAP Prices'!$N140)*('ICAP Prices'!$O140=Additions!$B:$B)*ROW(Additions!$C:$C)),0)*SUMPRODUCT(($R$253:$R$275='ICAP Prices'!$R140)*('ICAP Prices'!$S140=$S$253:$S$275),($P$253:$P$275))</f>
        <v>75.611599999999996</v>
      </c>
      <c r="Q140" s="61" cm="1">
        <f t="array" ref="Q140">INDEX(Additions!$D:$D,SUMPRODUCT((Additions!$A:$A='ICAP Prices'!$N140)*('ICAP Prices'!$O140=Additions!$B:$B)*ROW(Additions!D:$D)),0)*SUMPRODUCT(($R$253:$R$275='ICAP Prices'!$R140)*('ICAP Prices'!$S140=$S$253:$S$275),($Q$253:$Q$275))</f>
        <v>0</v>
      </c>
      <c r="R140" s="4" t="s">
        <v>11</v>
      </c>
      <c r="S140" s="80" t="s">
        <v>16</v>
      </c>
    </row>
    <row r="141" spans="13:19" x14ac:dyDescent="0.25">
      <c r="M141" s="11"/>
      <c r="N141" s="105" t="s">
        <v>255</v>
      </c>
      <c r="O141" s="76">
        <v>2027</v>
      </c>
      <c r="P141" s="61" cm="1">
        <f t="array" ref="P141">INDEX(Additions!$C:$C,SUMPRODUCT((Additions!$A:$A='ICAP Prices'!$N141)*('ICAP Prices'!$O141=Additions!$B:$B)*ROW(Additions!$C:$C)),0)*SUMPRODUCT(($R$253:$R$275='ICAP Prices'!$R141)*('ICAP Prices'!$S141=$S$253:$S$275),($P$253:$P$275))</f>
        <v>0</v>
      </c>
      <c r="Q141" s="61" cm="1">
        <f t="array" ref="Q141">INDEX(Additions!$D:$D,SUMPRODUCT((Additions!$A:$A='ICAP Prices'!$N141)*('ICAP Prices'!$O141=Additions!$B:$B)*ROW(Additions!D:$D)),0)*SUMPRODUCT(($R$253:$R$275='ICAP Prices'!$R141)*('ICAP Prices'!$S141=$S$253:$S$275),($Q$253:$Q$275))</f>
        <v>62.745470000000005</v>
      </c>
      <c r="R141" s="4" t="s">
        <v>234</v>
      </c>
      <c r="S141" s="80" t="s">
        <v>2</v>
      </c>
    </row>
    <row r="142" spans="13:19" x14ac:dyDescent="0.25">
      <c r="M142" s="11"/>
      <c r="N142" s="105" t="s">
        <v>187</v>
      </c>
      <c r="O142" s="76">
        <v>2027</v>
      </c>
      <c r="P142" s="61" cm="1">
        <f t="array" ref="P142">INDEX(Additions!$C:$C,SUMPRODUCT((Additions!$A:$A='ICAP Prices'!$N142)*('ICAP Prices'!$O142=Additions!$B:$B)*ROW(Additions!$C:$C)),0)*SUMPRODUCT(($R$253:$R$275='ICAP Prices'!$R142)*('ICAP Prices'!$S142=$S$253:$S$275),($P$253:$P$275))</f>
        <v>3.6180000000000003</v>
      </c>
      <c r="Q142" s="61" cm="1">
        <f t="array" ref="Q142">INDEX(Additions!$D:$D,SUMPRODUCT((Additions!$A:$A='ICAP Prices'!$N142)*('ICAP Prices'!$O142=Additions!$B:$B)*ROW(Additions!D:$D)),0)*SUMPRODUCT(($R$253:$R$275='ICAP Prices'!$R142)*('ICAP Prices'!$S142=$S$253:$S$275),($Q$253:$Q$275))</f>
        <v>3.6180000000000003</v>
      </c>
      <c r="R142" s="4" t="s">
        <v>10</v>
      </c>
      <c r="S142" s="80" t="s">
        <v>15</v>
      </c>
    </row>
    <row r="143" spans="13:19" x14ac:dyDescent="0.25">
      <c r="M143" s="11"/>
      <c r="N143" s="105" t="s">
        <v>138</v>
      </c>
      <c r="O143" s="76">
        <v>2027</v>
      </c>
      <c r="P143" s="61" cm="1">
        <f t="array" ref="P143">INDEX(Additions!$C:$C,SUMPRODUCT((Additions!$A:$A='ICAP Prices'!$N143)*('ICAP Prices'!$O143=Additions!$B:$B)*ROW(Additions!$C:$C)),0)*SUMPRODUCT(($R$253:$R$275='ICAP Prices'!$R143)*('ICAP Prices'!$S143=$S$253:$S$275),($P$253:$P$275))</f>
        <v>2.448</v>
      </c>
      <c r="Q143" s="61" cm="1">
        <f t="array" ref="Q143">INDEX(Additions!$D:$D,SUMPRODUCT((Additions!$A:$A='ICAP Prices'!$N143)*('ICAP Prices'!$O143=Additions!$B:$B)*ROW(Additions!D:$D)),0)*SUMPRODUCT(($R$253:$R$275='ICAP Prices'!$R143)*('ICAP Prices'!$S143=$S$253:$S$275),($Q$253:$Q$275))</f>
        <v>2.448</v>
      </c>
      <c r="R143" s="4" t="s">
        <v>10</v>
      </c>
      <c r="S143" s="80" t="s">
        <v>16</v>
      </c>
    </row>
    <row r="144" spans="13:19" x14ac:dyDescent="0.25">
      <c r="M144" s="11"/>
      <c r="N144" s="105" t="s">
        <v>137</v>
      </c>
      <c r="O144" s="76">
        <v>2027</v>
      </c>
      <c r="P144" s="61" cm="1">
        <f t="array" ref="P144">INDEX(Additions!$C:$C,SUMPRODUCT((Additions!$A:$A='ICAP Prices'!$N144)*('ICAP Prices'!$O144=Additions!$B:$B)*ROW(Additions!$C:$C)),0)*SUMPRODUCT(($R$253:$R$275='ICAP Prices'!$R144)*('ICAP Prices'!$S144=$S$253:$S$275),($P$253:$P$275))</f>
        <v>2.448</v>
      </c>
      <c r="Q144" s="61" cm="1">
        <f t="array" ref="Q144">INDEX(Additions!$D:$D,SUMPRODUCT((Additions!$A:$A='ICAP Prices'!$N144)*('ICAP Prices'!$O144=Additions!$B:$B)*ROW(Additions!D:$D)),0)*SUMPRODUCT(($R$253:$R$275='ICAP Prices'!$R144)*('ICAP Prices'!$S144=$S$253:$S$275),($Q$253:$Q$275))</f>
        <v>2.448</v>
      </c>
      <c r="R144" s="4" t="s">
        <v>10</v>
      </c>
      <c r="S144" s="80" t="s">
        <v>16</v>
      </c>
    </row>
    <row r="145" spans="13:19" x14ac:dyDescent="0.25">
      <c r="M145" s="11"/>
      <c r="N145" s="105" t="s">
        <v>167</v>
      </c>
      <c r="O145" s="76">
        <v>2027</v>
      </c>
      <c r="P145" s="61" cm="1">
        <f t="array" ref="P145">INDEX(Additions!$C:$C,SUMPRODUCT((Additions!$A:$A='ICAP Prices'!$N145)*('ICAP Prices'!$O145=Additions!$B:$B)*ROW(Additions!$C:$C)),0)*SUMPRODUCT(($R$253:$R$275='ICAP Prices'!$R145)*('ICAP Prices'!$S145=$S$253:$S$275),($P$253:$P$275))</f>
        <v>33.696839999999995</v>
      </c>
      <c r="Q145" s="61" cm="1">
        <f t="array" ref="Q145">INDEX(Additions!$D:$D,SUMPRODUCT((Additions!$A:$A='ICAP Prices'!$N145)*('ICAP Prices'!$O145=Additions!$B:$B)*ROW(Additions!D:$D)),0)*SUMPRODUCT(($R$253:$R$275='ICAP Prices'!$R145)*('ICAP Prices'!$S145=$S$253:$S$275),($Q$253:$Q$275))</f>
        <v>0</v>
      </c>
      <c r="R145" s="4" t="s">
        <v>11</v>
      </c>
      <c r="S145" s="80" t="s">
        <v>16</v>
      </c>
    </row>
    <row r="146" spans="13:19" x14ac:dyDescent="0.25">
      <c r="M146" s="11"/>
      <c r="N146" s="105" t="s">
        <v>201</v>
      </c>
      <c r="O146" s="76">
        <v>2027</v>
      </c>
      <c r="P146" s="61" cm="1">
        <f t="array" ref="P146">INDEX(Additions!$C:$C,SUMPRODUCT((Additions!$A:$A='ICAP Prices'!$N146)*('ICAP Prices'!$O146=Additions!$B:$B)*ROW(Additions!$C:$C)),0)*SUMPRODUCT(($R$253:$R$275='ICAP Prices'!$R146)*('ICAP Prices'!$S146=$S$253:$S$275),($P$253:$P$275))</f>
        <v>0</v>
      </c>
      <c r="Q146" s="61" cm="1">
        <f t="array" ref="Q146">INDEX(Additions!$D:$D,SUMPRODUCT((Additions!$A:$A='ICAP Prices'!$N146)*('ICAP Prices'!$O146=Additions!$B:$B)*ROW(Additions!D:$D)),0)*SUMPRODUCT(($R$253:$R$275='ICAP Prices'!$R146)*('ICAP Prices'!$S146=$S$253:$S$275),($Q$253:$Q$275))</f>
        <v>2.4660000000000002</v>
      </c>
      <c r="R146" s="4" t="s">
        <v>10</v>
      </c>
      <c r="S146" s="80" t="s">
        <v>41</v>
      </c>
    </row>
    <row r="147" spans="13:19" x14ac:dyDescent="0.25">
      <c r="M147" s="11"/>
      <c r="N147" s="105" t="s">
        <v>145</v>
      </c>
      <c r="O147" s="76">
        <v>2027</v>
      </c>
      <c r="P147" s="61" cm="1">
        <f t="array" ref="P147">INDEX(Additions!$C:$C,SUMPRODUCT((Additions!$A:$A='ICAP Prices'!$N147)*('ICAP Prices'!$O147=Additions!$B:$B)*ROW(Additions!$C:$C)),0)*SUMPRODUCT(($R$253:$R$275='ICAP Prices'!$R147)*('ICAP Prices'!$S147=$S$253:$S$275),($P$253:$P$275))</f>
        <v>2.448</v>
      </c>
      <c r="Q147" s="61" cm="1">
        <f t="array" ref="Q147">INDEX(Additions!$D:$D,SUMPRODUCT((Additions!$A:$A='ICAP Prices'!$N147)*('ICAP Prices'!$O147=Additions!$B:$B)*ROW(Additions!D:$D)),0)*SUMPRODUCT(($R$253:$R$275='ICAP Prices'!$R147)*('ICAP Prices'!$S147=$S$253:$S$275),($Q$253:$Q$275))</f>
        <v>0</v>
      </c>
      <c r="R147" s="4" t="s">
        <v>10</v>
      </c>
      <c r="S147" s="80" t="s">
        <v>16</v>
      </c>
    </row>
    <row r="148" spans="13:19" x14ac:dyDescent="0.25">
      <c r="M148" s="11"/>
      <c r="N148" s="105" t="s">
        <v>143</v>
      </c>
      <c r="O148" s="76">
        <v>2027</v>
      </c>
      <c r="P148" s="61" cm="1">
        <f t="array" ref="P148">INDEX(Additions!$C:$C,SUMPRODUCT((Additions!$A:$A='ICAP Prices'!$N148)*('ICAP Prices'!$O148=Additions!$B:$B)*ROW(Additions!$C:$C)),0)*SUMPRODUCT(($R$253:$R$275='ICAP Prices'!$R148)*('ICAP Prices'!$S148=$S$253:$S$275),($P$253:$P$275))</f>
        <v>2.448</v>
      </c>
      <c r="Q148" s="61" cm="1">
        <f t="array" ref="Q148">INDEX(Additions!$D:$D,SUMPRODUCT((Additions!$A:$A='ICAP Prices'!$N148)*('ICAP Prices'!$O148=Additions!$B:$B)*ROW(Additions!D:$D)),0)*SUMPRODUCT(($R$253:$R$275='ICAP Prices'!$R148)*('ICAP Prices'!$S148=$S$253:$S$275),($Q$253:$Q$275))</f>
        <v>0</v>
      </c>
      <c r="R148" s="4" t="s">
        <v>10</v>
      </c>
      <c r="S148" s="80" t="s">
        <v>16</v>
      </c>
    </row>
    <row r="149" spans="13:19" x14ac:dyDescent="0.25">
      <c r="M149" s="11"/>
      <c r="N149" s="105" t="s">
        <v>140</v>
      </c>
      <c r="O149" s="76">
        <v>2027</v>
      </c>
      <c r="P149" s="61" cm="1">
        <f t="array" ref="P149">INDEX(Additions!$C:$C,SUMPRODUCT((Additions!$A:$A='ICAP Prices'!$N149)*('ICAP Prices'!$O149=Additions!$B:$B)*ROW(Additions!$C:$C)),0)*SUMPRODUCT(($R$253:$R$275='ICAP Prices'!$R149)*('ICAP Prices'!$S149=$S$253:$S$275),($P$253:$P$275))</f>
        <v>2.2031999999999998</v>
      </c>
      <c r="Q149" s="61" cm="1">
        <f t="array" ref="Q149">INDEX(Additions!$D:$D,SUMPRODUCT((Additions!$A:$A='ICAP Prices'!$N149)*('ICAP Prices'!$O149=Additions!$B:$B)*ROW(Additions!D:$D)),0)*SUMPRODUCT(($R$253:$R$275='ICAP Prices'!$R149)*('ICAP Prices'!$S149=$S$253:$S$275),($Q$253:$Q$275))</f>
        <v>0</v>
      </c>
      <c r="R149" s="4" t="s">
        <v>10</v>
      </c>
      <c r="S149" s="80" t="s">
        <v>16</v>
      </c>
    </row>
    <row r="150" spans="13:19" x14ac:dyDescent="0.25">
      <c r="M150" s="11"/>
      <c r="N150" s="105" t="s">
        <v>141</v>
      </c>
      <c r="O150" s="76">
        <v>2027</v>
      </c>
      <c r="P150" s="61" cm="1">
        <f t="array" ref="P150">INDEX(Additions!$C:$C,SUMPRODUCT((Additions!$A:$A='ICAP Prices'!$N150)*('ICAP Prices'!$O150=Additions!$B:$B)*ROW(Additions!$C:$C)),0)*SUMPRODUCT(($R$253:$R$275='ICAP Prices'!$R150)*('ICAP Prices'!$S150=$S$253:$S$275),($P$253:$P$275))</f>
        <v>2.448</v>
      </c>
      <c r="Q150" s="61" cm="1">
        <f t="array" ref="Q150">INDEX(Additions!$D:$D,SUMPRODUCT((Additions!$A:$A='ICAP Prices'!$N150)*('ICAP Prices'!$O150=Additions!$B:$B)*ROW(Additions!D:$D)),0)*SUMPRODUCT(($R$253:$R$275='ICAP Prices'!$R150)*('ICAP Prices'!$S150=$S$253:$S$275),($Q$253:$Q$275))</f>
        <v>0</v>
      </c>
      <c r="R150" s="4" t="s">
        <v>10</v>
      </c>
      <c r="S150" s="80" t="s">
        <v>16</v>
      </c>
    </row>
    <row r="151" spans="13:19" x14ac:dyDescent="0.25">
      <c r="M151" s="11"/>
      <c r="N151" s="105" t="s">
        <v>121</v>
      </c>
      <c r="O151" s="76">
        <v>2027</v>
      </c>
      <c r="P151" s="61" cm="1">
        <f t="array" ref="P151">INDEX(Additions!$C:$C,SUMPRODUCT((Additions!$A:$A='ICAP Prices'!$N151)*('ICAP Prices'!$O151=Additions!$B:$B)*ROW(Additions!$C:$C)),0)*SUMPRODUCT(($R$253:$R$275='ICAP Prices'!$R151)*('ICAP Prices'!$S151=$S$253:$S$275),($P$253:$P$275))</f>
        <v>57.104440000000004</v>
      </c>
      <c r="Q151" s="61" cm="1">
        <f t="array" ref="Q151">INDEX(Additions!$D:$D,SUMPRODUCT((Additions!$A:$A='ICAP Prices'!$N151)*('ICAP Prices'!$O151=Additions!$B:$B)*ROW(Additions!D:$D)),0)*SUMPRODUCT(($R$253:$R$275='ICAP Prices'!$R151)*('ICAP Prices'!$S151=$S$253:$S$275),($Q$253:$Q$275))</f>
        <v>0</v>
      </c>
      <c r="R151" s="4" t="s">
        <v>11</v>
      </c>
      <c r="S151" s="80" t="s">
        <v>16</v>
      </c>
    </row>
    <row r="152" spans="13:19" x14ac:dyDescent="0.25">
      <c r="M152" s="11"/>
      <c r="N152" s="105" t="s">
        <v>125</v>
      </c>
      <c r="O152" s="76">
        <v>2027</v>
      </c>
      <c r="P152" s="61" cm="1">
        <f t="array" ref="P152">INDEX(Additions!$C:$C,SUMPRODUCT((Additions!$A:$A='ICAP Prices'!$N152)*('ICAP Prices'!$O152=Additions!$B:$B)*ROW(Additions!$C:$C)),0)*SUMPRODUCT(($R$253:$R$275='ICAP Prices'!$R152)*('ICAP Prices'!$S152=$S$253:$S$275),($P$253:$P$275))</f>
        <v>7.3439999999999994</v>
      </c>
      <c r="Q152" s="61" cm="1">
        <f t="array" ref="Q152">INDEX(Additions!$D:$D,SUMPRODUCT((Additions!$A:$A='ICAP Prices'!$N152)*('ICAP Prices'!$O152=Additions!$B:$B)*ROW(Additions!D:$D)),0)*SUMPRODUCT(($R$253:$R$275='ICAP Prices'!$R152)*('ICAP Prices'!$S152=$S$253:$S$275),($Q$253:$Q$275))</f>
        <v>7.3439999999999994</v>
      </c>
      <c r="R152" s="4" t="s">
        <v>10</v>
      </c>
      <c r="S152" s="80" t="s">
        <v>16</v>
      </c>
    </row>
    <row r="153" spans="13:19" x14ac:dyDescent="0.25">
      <c r="M153" s="11"/>
      <c r="N153" s="105" t="s">
        <v>118</v>
      </c>
      <c r="O153" s="76">
        <v>2027</v>
      </c>
      <c r="P153" s="61" cm="1">
        <f t="array" ref="P153">INDEX(Additions!$C:$C,SUMPRODUCT((Additions!$A:$A='ICAP Prices'!$N153)*('ICAP Prices'!$O153=Additions!$B:$B)*ROW(Additions!$C:$C)),0)*SUMPRODUCT(($R$253:$R$275='ICAP Prices'!$R153)*('ICAP Prices'!$S153=$S$253:$S$275),($P$253:$P$275))</f>
        <v>0</v>
      </c>
      <c r="Q153" s="61" cm="1">
        <f t="array" ref="Q153">INDEX(Additions!$D:$D,SUMPRODUCT((Additions!$A:$A='ICAP Prices'!$N153)*('ICAP Prices'!$O153=Additions!$B:$B)*ROW(Additions!D:$D)),0)*SUMPRODUCT(($R$253:$R$275='ICAP Prices'!$R153)*('ICAP Prices'!$S153=$S$253:$S$275),($Q$253:$Q$275))</f>
        <v>157.20000000000002</v>
      </c>
      <c r="R153" s="4" t="s">
        <v>234</v>
      </c>
      <c r="S153" s="80" t="s">
        <v>41</v>
      </c>
    </row>
    <row r="154" spans="13:19" x14ac:dyDescent="0.25">
      <c r="M154" s="11"/>
      <c r="N154" s="105" t="s">
        <v>119</v>
      </c>
      <c r="O154" s="76">
        <v>2027</v>
      </c>
      <c r="P154" s="61" cm="1">
        <f t="array" ref="P154">INDEX(Additions!$C:$C,SUMPRODUCT((Additions!$A:$A='ICAP Prices'!$N154)*('ICAP Prices'!$O154=Additions!$B:$B)*ROW(Additions!$C:$C)),0)*SUMPRODUCT(($R$253:$R$275='ICAP Prices'!$R154)*('ICAP Prices'!$S154=$S$253:$S$275),($P$253:$P$275))</f>
        <v>12.24</v>
      </c>
      <c r="Q154" s="61" cm="1">
        <f t="array" ref="Q154">INDEX(Additions!$D:$D,SUMPRODUCT((Additions!$A:$A='ICAP Prices'!$N154)*('ICAP Prices'!$O154=Additions!$B:$B)*ROW(Additions!D:$D)),0)*SUMPRODUCT(($R$253:$R$275='ICAP Prices'!$R154)*('ICAP Prices'!$S154=$S$253:$S$275),($Q$253:$Q$275))</f>
        <v>12.24</v>
      </c>
      <c r="R154" s="4" t="s">
        <v>10</v>
      </c>
      <c r="S154" s="80" t="s">
        <v>16</v>
      </c>
    </row>
    <row r="155" spans="13:19" x14ac:dyDescent="0.25">
      <c r="M155" s="11"/>
      <c r="N155" s="105" t="s">
        <v>120</v>
      </c>
      <c r="O155" s="76">
        <v>2027</v>
      </c>
      <c r="P155" s="61" cm="1">
        <f t="array" ref="P155">INDEX(Additions!$C:$C,SUMPRODUCT((Additions!$A:$A='ICAP Prices'!$N155)*('ICAP Prices'!$O155=Additions!$B:$B)*ROW(Additions!$C:$C)),0)*SUMPRODUCT(($R$253:$R$275='ICAP Prices'!$R155)*('ICAP Prices'!$S155=$S$253:$S$275),($P$253:$P$275))</f>
        <v>16.974719999999998</v>
      </c>
      <c r="Q155" s="61" cm="1">
        <f t="array" ref="Q155">INDEX(Additions!$D:$D,SUMPRODUCT((Additions!$A:$A='ICAP Prices'!$N155)*('ICAP Prices'!$O155=Additions!$B:$B)*ROW(Additions!D:$D)),0)*SUMPRODUCT(($R$253:$R$275='ICAP Prices'!$R155)*('ICAP Prices'!$S155=$S$253:$S$275),($Q$253:$Q$275))</f>
        <v>0</v>
      </c>
      <c r="R155" s="4" t="s">
        <v>11</v>
      </c>
      <c r="S155" s="80" t="s">
        <v>16</v>
      </c>
    </row>
    <row r="156" spans="13:19" x14ac:dyDescent="0.25">
      <c r="M156" s="11"/>
      <c r="N156" s="105" t="s">
        <v>258</v>
      </c>
      <c r="O156" s="76">
        <v>2027</v>
      </c>
      <c r="P156" s="61" cm="1">
        <f t="array" ref="P156">INDEX(Additions!$C:$C,SUMPRODUCT((Additions!$A:$A='ICAP Prices'!$N156)*('ICAP Prices'!$O156=Additions!$B:$B)*ROW(Additions!$C:$C)),0)*SUMPRODUCT(($R$253:$R$275='ICAP Prices'!$R156)*('ICAP Prices'!$S156=$S$253:$S$275),($P$253:$P$275))</f>
        <v>0</v>
      </c>
      <c r="Q156" s="61" cm="1">
        <f t="array" ref="Q156">INDEX(Additions!$D:$D,SUMPRODUCT((Additions!$A:$A='ICAP Prices'!$N156)*('ICAP Prices'!$O156=Additions!$B:$B)*ROW(Additions!D:$D)),0)*SUMPRODUCT(($R$253:$R$275='ICAP Prices'!$R156)*('ICAP Prices'!$S156=$S$253:$S$275),($Q$253:$Q$275))</f>
        <v>11.4444</v>
      </c>
      <c r="R156" s="4" t="s">
        <v>10</v>
      </c>
      <c r="S156" s="80" t="s">
        <v>16</v>
      </c>
    </row>
    <row r="157" spans="13:19" x14ac:dyDescent="0.25">
      <c r="M157" s="11"/>
      <c r="N157" s="105" t="s">
        <v>111</v>
      </c>
      <c r="O157" s="76">
        <v>2027</v>
      </c>
      <c r="P157" s="61" cm="1">
        <f t="array" ref="P157">INDEX(Additions!$C:$C,SUMPRODUCT((Additions!$A:$A='ICAP Prices'!$N157)*('ICAP Prices'!$O157=Additions!$B:$B)*ROW(Additions!$C:$C)),0)*SUMPRODUCT(($R$253:$R$275='ICAP Prices'!$R157)*('ICAP Prices'!$S157=$S$253:$S$275),($P$253:$P$275))</f>
        <v>34.271999999999998</v>
      </c>
      <c r="Q157" s="61" cm="1">
        <f t="array" ref="Q157">INDEX(Additions!$D:$D,SUMPRODUCT((Additions!$A:$A='ICAP Prices'!$N157)*('ICAP Prices'!$O157=Additions!$B:$B)*ROW(Additions!D:$D)),0)*SUMPRODUCT(($R$253:$R$275='ICAP Prices'!$R157)*('ICAP Prices'!$S157=$S$253:$S$275),($Q$253:$Q$275))</f>
        <v>0</v>
      </c>
      <c r="R157" s="4" t="s">
        <v>10</v>
      </c>
      <c r="S157" s="80" t="s">
        <v>16</v>
      </c>
    </row>
    <row r="158" spans="13:19" x14ac:dyDescent="0.25">
      <c r="M158" s="11"/>
      <c r="N158" s="105" t="s">
        <v>192</v>
      </c>
      <c r="O158" s="76">
        <v>2027</v>
      </c>
      <c r="P158" s="61" cm="1">
        <f t="array" ref="P158">INDEX(Additions!$C:$C,SUMPRODUCT((Additions!$A:$A='ICAP Prices'!$N158)*('ICAP Prices'!$O158=Additions!$B:$B)*ROW(Additions!$C:$C)),0)*SUMPRODUCT(($R$253:$R$275='ICAP Prices'!$R158)*('ICAP Prices'!$S158=$S$253:$S$275),($P$253:$P$275))</f>
        <v>2.448</v>
      </c>
      <c r="Q158" s="61" cm="1">
        <f t="array" ref="Q158">INDEX(Additions!$D:$D,SUMPRODUCT((Additions!$A:$A='ICAP Prices'!$N158)*('ICAP Prices'!$O158=Additions!$B:$B)*ROW(Additions!D:$D)),0)*SUMPRODUCT(($R$253:$R$275='ICAP Prices'!$R158)*('ICAP Prices'!$S158=$S$253:$S$275),($Q$253:$Q$275))</f>
        <v>0</v>
      </c>
      <c r="R158" s="4" t="s">
        <v>10</v>
      </c>
      <c r="S158" s="80" t="s">
        <v>16</v>
      </c>
    </row>
    <row r="159" spans="13:19" x14ac:dyDescent="0.25">
      <c r="M159" s="11"/>
      <c r="N159" s="105" t="s">
        <v>259</v>
      </c>
      <c r="O159" s="76">
        <v>2027</v>
      </c>
      <c r="P159" s="61" cm="1">
        <f t="array" ref="P159">INDEX(Additions!$C:$C,SUMPRODUCT((Additions!$A:$A='ICAP Prices'!$N159)*('ICAP Prices'!$O159=Additions!$B:$B)*ROW(Additions!$C:$C)),0)*SUMPRODUCT(($R$253:$R$275='ICAP Prices'!$R159)*('ICAP Prices'!$S159=$S$253:$S$275),($P$253:$P$275))</f>
        <v>292.04640000000001</v>
      </c>
      <c r="Q159" s="61" cm="1">
        <f t="array" ref="Q159">INDEX(Additions!$D:$D,SUMPRODUCT((Additions!$A:$A='ICAP Prices'!$N159)*('ICAP Prices'!$O159=Additions!$B:$B)*ROW(Additions!D:$D)),0)*SUMPRODUCT(($R$253:$R$275='ICAP Prices'!$R159)*('ICAP Prices'!$S159=$S$253:$S$275),($Q$253:$Q$275))</f>
        <v>0</v>
      </c>
      <c r="R159" s="4" t="s">
        <v>11</v>
      </c>
      <c r="S159" s="80" t="s">
        <v>2</v>
      </c>
    </row>
    <row r="160" spans="13:19" x14ac:dyDescent="0.25">
      <c r="M160" s="11"/>
      <c r="N160" s="105" t="s">
        <v>262</v>
      </c>
      <c r="O160" s="76">
        <v>2027</v>
      </c>
      <c r="P160" s="61" cm="1">
        <f t="array" ref="P160">INDEX(Additions!$C:$C,SUMPRODUCT((Additions!$A:$A='ICAP Prices'!$N160)*('ICAP Prices'!$O160=Additions!$B:$B)*ROW(Additions!$C:$C)),0)*SUMPRODUCT(($R$253:$R$275='ICAP Prices'!$R160)*('ICAP Prices'!$S160=$S$253:$S$275),($P$253:$P$275))</f>
        <v>0</v>
      </c>
      <c r="Q160" s="61" cm="1">
        <f t="array" ref="Q160">INDEX(Additions!$D:$D,SUMPRODUCT((Additions!$A:$A='ICAP Prices'!$N160)*('ICAP Prices'!$O160=Additions!$B:$B)*ROW(Additions!D:$D)),0)*SUMPRODUCT(($R$253:$R$275='ICAP Prices'!$R160)*('ICAP Prices'!$S160=$S$253:$S$275),($Q$253:$Q$275))</f>
        <v>16.524000000000001</v>
      </c>
      <c r="R160" s="4" t="s">
        <v>10</v>
      </c>
      <c r="S160" s="80" t="s">
        <v>16</v>
      </c>
    </row>
    <row r="161" spans="13:19" x14ac:dyDescent="0.25">
      <c r="M161" s="11"/>
      <c r="N161" s="105" t="s">
        <v>263</v>
      </c>
      <c r="O161" s="76">
        <v>2027</v>
      </c>
      <c r="P161" s="61" cm="1">
        <f t="array" ref="P161">INDEX(Additions!$C:$C,SUMPRODUCT((Additions!$A:$A='ICAP Prices'!$N161)*('ICAP Prices'!$O161=Additions!$B:$B)*ROW(Additions!$C:$C)),0)*SUMPRODUCT(($R$253:$R$275='ICAP Prices'!$R161)*('ICAP Prices'!$S161=$S$253:$S$275),($P$253:$P$275))</f>
        <v>0</v>
      </c>
      <c r="Q161" s="61" cm="1">
        <f t="array" ref="Q161">INDEX(Additions!$D:$D,SUMPRODUCT((Additions!$A:$A='ICAP Prices'!$N161)*('ICAP Prices'!$O161=Additions!$B:$B)*ROW(Additions!D:$D)),0)*SUMPRODUCT(($R$253:$R$275='ICAP Prices'!$R161)*('ICAP Prices'!$S161=$S$253:$S$275),($Q$253:$Q$275))</f>
        <v>213.05700000000002</v>
      </c>
      <c r="R161" s="4" t="s">
        <v>234</v>
      </c>
      <c r="S161" s="80" t="s">
        <v>16</v>
      </c>
    </row>
    <row r="162" spans="13:19" x14ac:dyDescent="0.25">
      <c r="M162" s="11"/>
      <c r="N162" s="105" t="s">
        <v>170</v>
      </c>
      <c r="O162" s="76">
        <v>2027</v>
      </c>
      <c r="P162" s="61" cm="1">
        <f t="array" ref="P162">INDEX(Additions!$C:$C,SUMPRODUCT((Additions!$A:$A='ICAP Prices'!$N162)*('ICAP Prices'!$O162=Additions!$B:$B)*ROW(Additions!$C:$C)),0)*SUMPRODUCT(($R$253:$R$275='ICAP Prices'!$R162)*('ICAP Prices'!$S162=$S$253:$S$275),($P$253:$P$275))</f>
        <v>0</v>
      </c>
      <c r="Q162" s="61" cm="1">
        <f t="array" ref="Q162">INDEX(Additions!$D:$D,SUMPRODUCT((Additions!$A:$A='ICAP Prices'!$N162)*('ICAP Prices'!$O162=Additions!$B:$B)*ROW(Additions!D:$D)),0)*SUMPRODUCT(($R$253:$R$275='ICAP Prices'!$R162)*('ICAP Prices'!$S162=$S$253:$S$275),($Q$253:$Q$275))</f>
        <v>24.754799999999999</v>
      </c>
      <c r="R162" s="4" t="s">
        <v>11</v>
      </c>
      <c r="S162" s="80" t="s">
        <v>16</v>
      </c>
    </row>
    <row r="163" spans="13:19" x14ac:dyDescent="0.25">
      <c r="M163" s="11"/>
      <c r="N163" s="105" t="s">
        <v>202</v>
      </c>
      <c r="O163" s="76">
        <v>2027</v>
      </c>
      <c r="P163" s="61" cm="1">
        <f t="array" ref="P163">INDEX(Additions!$C:$C,SUMPRODUCT((Additions!$A:$A='ICAP Prices'!$N163)*('ICAP Prices'!$O163=Additions!$B:$B)*ROW(Additions!$C:$C)),0)*SUMPRODUCT(($R$253:$R$275='ICAP Prices'!$R163)*('ICAP Prices'!$S163=$S$253:$S$275),($P$253:$P$275))</f>
        <v>15.782</v>
      </c>
      <c r="Q163" s="61" cm="1">
        <f t="array" ref="Q163">INDEX(Additions!$D:$D,SUMPRODUCT((Additions!$A:$A='ICAP Prices'!$N163)*('ICAP Prices'!$O163=Additions!$B:$B)*ROW(Additions!D:$D)),0)*SUMPRODUCT(($R$253:$R$275='ICAP Prices'!$R163)*('ICAP Prices'!$S163=$S$253:$S$275),($Q$253:$Q$275))</f>
        <v>0</v>
      </c>
      <c r="R163" s="4" t="s">
        <v>234</v>
      </c>
      <c r="S163" s="80" t="s">
        <v>16</v>
      </c>
    </row>
    <row r="164" spans="13:19" x14ac:dyDescent="0.25">
      <c r="M164" s="11"/>
      <c r="N164" s="105" t="s">
        <v>171</v>
      </c>
      <c r="O164" s="76">
        <v>2027</v>
      </c>
      <c r="P164" s="61" cm="1">
        <f t="array" ref="P164">INDEX(Additions!$C:$C,SUMPRODUCT((Additions!$A:$A='ICAP Prices'!$N164)*('ICAP Prices'!$O164=Additions!$B:$B)*ROW(Additions!$C:$C)),0)*SUMPRODUCT(($R$253:$R$275='ICAP Prices'!$R164)*('ICAP Prices'!$S164=$S$253:$S$275),($P$253:$P$275))</f>
        <v>17.135999999999999</v>
      </c>
      <c r="Q164" s="61" cm="1">
        <f t="array" ref="Q164">INDEX(Additions!$D:$D,SUMPRODUCT((Additions!$A:$A='ICAP Prices'!$N164)*('ICAP Prices'!$O164=Additions!$B:$B)*ROW(Additions!D:$D)),0)*SUMPRODUCT(($R$253:$R$275='ICAP Prices'!$R164)*('ICAP Prices'!$S164=$S$253:$S$275),($Q$253:$Q$275))</f>
        <v>0</v>
      </c>
      <c r="R164" s="4" t="s">
        <v>10</v>
      </c>
      <c r="S164" s="80" t="s">
        <v>16</v>
      </c>
    </row>
    <row r="165" spans="13:19" x14ac:dyDescent="0.25">
      <c r="M165" s="11"/>
      <c r="N165" s="105" t="s">
        <v>172</v>
      </c>
      <c r="O165" s="76">
        <v>2027</v>
      </c>
      <c r="P165" s="61" cm="1">
        <f t="array" ref="P165">INDEX(Additions!$C:$C,SUMPRODUCT((Additions!$A:$A='ICAP Prices'!$N165)*('ICAP Prices'!$O165=Additions!$B:$B)*ROW(Additions!$C:$C)),0)*SUMPRODUCT(($R$253:$R$275='ICAP Prices'!$R165)*('ICAP Prices'!$S165=$S$253:$S$275),($P$253:$P$275))</f>
        <v>61.199999999999996</v>
      </c>
      <c r="Q165" s="61" cm="1">
        <f t="array" ref="Q165">INDEX(Additions!$D:$D,SUMPRODUCT((Additions!$A:$A='ICAP Prices'!$N165)*('ICAP Prices'!$O165=Additions!$B:$B)*ROW(Additions!D:$D)),0)*SUMPRODUCT(($R$253:$R$275='ICAP Prices'!$R165)*('ICAP Prices'!$S165=$S$253:$S$275),($Q$253:$Q$275))</f>
        <v>61.199999999999996</v>
      </c>
      <c r="R165" s="4" t="s">
        <v>10</v>
      </c>
      <c r="S165" s="80" t="s">
        <v>16</v>
      </c>
    </row>
    <row r="166" spans="13:19" x14ac:dyDescent="0.25">
      <c r="M166" s="11"/>
      <c r="N166" s="105" t="s">
        <v>173</v>
      </c>
      <c r="O166" s="76">
        <v>2027</v>
      </c>
      <c r="P166" s="61" cm="1">
        <f t="array" ref="P166">INDEX(Additions!$C:$C,SUMPRODUCT((Additions!$A:$A='ICAP Prices'!$N166)*('ICAP Prices'!$O166=Additions!$B:$B)*ROW(Additions!$C:$C)),0)*SUMPRODUCT(($R$253:$R$275='ICAP Prices'!$R166)*('ICAP Prices'!$S166=$S$253:$S$275),($P$253:$P$275))</f>
        <v>39.107939999999999</v>
      </c>
      <c r="Q166" s="61" cm="1">
        <f t="array" ref="Q166">INDEX(Additions!$D:$D,SUMPRODUCT((Additions!$A:$A='ICAP Prices'!$N166)*('ICAP Prices'!$O166=Additions!$B:$B)*ROW(Additions!D:$D)),0)*SUMPRODUCT(($R$253:$R$275='ICAP Prices'!$R166)*('ICAP Prices'!$S166=$S$253:$S$275),($Q$253:$Q$275))</f>
        <v>0</v>
      </c>
      <c r="R166" s="4" t="s">
        <v>234</v>
      </c>
      <c r="S166" s="80" t="s">
        <v>2</v>
      </c>
    </row>
    <row r="167" spans="13:19" x14ac:dyDescent="0.25">
      <c r="M167" s="11"/>
      <c r="N167" s="105" t="s">
        <v>196</v>
      </c>
      <c r="O167" s="76">
        <v>2027</v>
      </c>
      <c r="P167" s="61" cm="1">
        <f t="array" ref="P167">INDEX(Additions!$C:$C,SUMPRODUCT((Additions!$A:$A='ICAP Prices'!$N167)*('ICAP Prices'!$O167=Additions!$B:$B)*ROW(Additions!$C:$C)),0)*SUMPRODUCT(($R$253:$R$275='ICAP Prices'!$R167)*('ICAP Prices'!$S167=$S$253:$S$275),($P$253:$P$275))</f>
        <v>2.448</v>
      </c>
      <c r="Q167" s="61" cm="1">
        <f t="array" ref="Q167">INDEX(Additions!$D:$D,SUMPRODUCT((Additions!$A:$A='ICAP Prices'!$N167)*('ICAP Prices'!$O167=Additions!$B:$B)*ROW(Additions!D:$D)),0)*SUMPRODUCT(($R$253:$R$275='ICAP Prices'!$R167)*('ICAP Prices'!$S167=$S$253:$S$275),($Q$253:$Q$275))</f>
        <v>0</v>
      </c>
      <c r="R167" s="4" t="s">
        <v>10</v>
      </c>
      <c r="S167" s="80" t="s">
        <v>16</v>
      </c>
    </row>
    <row r="168" spans="13:19" x14ac:dyDescent="0.25">
      <c r="M168" s="11"/>
      <c r="N168" s="105" t="s">
        <v>197</v>
      </c>
      <c r="O168" s="76">
        <v>2027</v>
      </c>
      <c r="P168" s="61" cm="1">
        <f t="array" ref="P168">INDEX(Additions!$C:$C,SUMPRODUCT((Additions!$A:$A='ICAP Prices'!$N168)*('ICAP Prices'!$O168=Additions!$B:$B)*ROW(Additions!$C:$C)),0)*SUMPRODUCT(($R$253:$R$275='ICAP Prices'!$R168)*('ICAP Prices'!$S168=$S$253:$S$275),($P$253:$P$275))</f>
        <v>2.448</v>
      </c>
      <c r="Q168" s="61" cm="1">
        <f t="array" ref="Q168">INDEX(Additions!$D:$D,SUMPRODUCT((Additions!$A:$A='ICAP Prices'!$N168)*('ICAP Prices'!$O168=Additions!$B:$B)*ROW(Additions!D:$D)),0)*SUMPRODUCT(($R$253:$R$275='ICAP Prices'!$R168)*('ICAP Prices'!$S168=$S$253:$S$275),($Q$253:$Q$275))</f>
        <v>0</v>
      </c>
      <c r="R168" s="4" t="s">
        <v>10</v>
      </c>
      <c r="S168" s="80" t="s">
        <v>16</v>
      </c>
    </row>
    <row r="169" spans="13:19" x14ac:dyDescent="0.25">
      <c r="M169" s="11"/>
      <c r="N169" s="105" t="s">
        <v>266</v>
      </c>
      <c r="O169" s="76">
        <v>2027</v>
      </c>
      <c r="P169" s="61" cm="1">
        <f t="array" ref="P169">INDEX(Additions!$C:$C,SUMPRODUCT((Additions!$A:$A='ICAP Prices'!$N169)*('ICAP Prices'!$O169=Additions!$B:$B)*ROW(Additions!$C:$C)),0)*SUMPRODUCT(($R$253:$R$275='ICAP Prices'!$R169)*('ICAP Prices'!$S169=$S$253:$S$275),($P$253:$P$275))</f>
        <v>62.038699999999999</v>
      </c>
      <c r="Q169" s="61" cm="1">
        <f t="array" ref="Q169">INDEX(Additions!$D:$D,SUMPRODUCT((Additions!$A:$A='ICAP Prices'!$N169)*('ICAP Prices'!$O169=Additions!$B:$B)*ROW(Additions!D:$D)),0)*SUMPRODUCT(($R$253:$R$275='ICAP Prices'!$R169)*('ICAP Prices'!$S169=$S$253:$S$275),($Q$253:$Q$275))</f>
        <v>62.038699999999999</v>
      </c>
      <c r="R169" s="4" t="s">
        <v>234</v>
      </c>
      <c r="S169" s="80" t="s">
        <v>2</v>
      </c>
    </row>
    <row r="170" spans="13:19" x14ac:dyDescent="0.25">
      <c r="M170" s="11"/>
      <c r="N170" s="105" t="s">
        <v>189</v>
      </c>
      <c r="O170" s="76">
        <v>2027</v>
      </c>
      <c r="P170" s="61" cm="1">
        <f t="array" ref="P170">INDEX(Additions!$C:$C,SUMPRODUCT((Additions!$A:$A='ICAP Prices'!$N170)*('ICAP Prices'!$O170=Additions!$B:$B)*ROW(Additions!$C:$C)),0)*SUMPRODUCT(($R$253:$R$275='ICAP Prices'!$R170)*('ICAP Prices'!$S170=$S$253:$S$275),($P$253:$P$275))</f>
        <v>44.212389999999999</v>
      </c>
      <c r="Q170" s="61" cm="1">
        <f t="array" ref="Q170">INDEX(Additions!$D:$D,SUMPRODUCT((Additions!$A:$A='ICAP Prices'!$N170)*('ICAP Prices'!$O170=Additions!$B:$B)*ROW(Additions!D:$D)),0)*SUMPRODUCT(($R$253:$R$275='ICAP Prices'!$R170)*('ICAP Prices'!$S170=$S$253:$S$275),($Q$253:$Q$275))</f>
        <v>44.212389999999999</v>
      </c>
      <c r="R170" s="4" t="s">
        <v>234</v>
      </c>
      <c r="S170" s="80" t="s">
        <v>2</v>
      </c>
    </row>
    <row r="171" spans="13:19" x14ac:dyDescent="0.25">
      <c r="M171" s="11"/>
      <c r="N171" s="105" t="s">
        <v>174</v>
      </c>
      <c r="O171" s="76">
        <v>2027</v>
      </c>
      <c r="P171" s="61" cm="1">
        <f t="array" ref="P171">INDEX(Additions!$C:$C,SUMPRODUCT((Additions!$A:$A='ICAP Prices'!$N171)*('ICAP Prices'!$O171=Additions!$B:$B)*ROW(Additions!$C:$C)),0)*SUMPRODUCT(($R$253:$R$275='ICAP Prices'!$R171)*('ICAP Prices'!$S171=$S$253:$S$275),($P$253:$P$275))</f>
        <v>14.687999999999999</v>
      </c>
      <c r="Q171" s="61" cm="1">
        <f t="array" ref="Q171">INDEX(Additions!$D:$D,SUMPRODUCT((Additions!$A:$A='ICAP Prices'!$N171)*('ICAP Prices'!$O171=Additions!$B:$B)*ROW(Additions!D:$D)),0)*SUMPRODUCT(($R$253:$R$275='ICAP Prices'!$R171)*('ICAP Prices'!$S171=$S$253:$S$275),($Q$253:$Q$275))</f>
        <v>0</v>
      </c>
      <c r="R171" s="4" t="s">
        <v>10</v>
      </c>
      <c r="S171" s="80" t="s">
        <v>16</v>
      </c>
    </row>
    <row r="172" spans="13:19" x14ac:dyDescent="0.25">
      <c r="M172" s="11"/>
      <c r="N172" s="105" t="s">
        <v>269</v>
      </c>
      <c r="O172" s="76">
        <v>2027</v>
      </c>
      <c r="P172" s="61" cm="1">
        <f t="array" ref="P172">INDEX(Additions!$C:$C,SUMPRODUCT((Additions!$A:$A='ICAP Prices'!$N172)*('ICAP Prices'!$O172=Additions!$B:$B)*ROW(Additions!$C:$C)),0)*SUMPRODUCT(($R$253:$R$275='ICAP Prices'!$R172)*('ICAP Prices'!$S172=$S$253:$S$275),($P$253:$P$275))</f>
        <v>0</v>
      </c>
      <c r="Q172" s="61" cm="1">
        <f t="array" ref="Q172">INDEX(Additions!$D:$D,SUMPRODUCT((Additions!$A:$A='ICAP Prices'!$N172)*('ICAP Prices'!$O172=Additions!$B:$B)*ROW(Additions!D:$D)),0)*SUMPRODUCT(($R$253:$R$275='ICAP Prices'!$R172)*('ICAP Prices'!$S172=$S$253:$S$275),($Q$253:$Q$275))</f>
        <v>12.24</v>
      </c>
      <c r="R172" s="4" t="s">
        <v>10</v>
      </c>
      <c r="S172" s="80" t="s">
        <v>16</v>
      </c>
    </row>
    <row r="173" spans="13:19" x14ac:dyDescent="0.25">
      <c r="M173" s="11"/>
      <c r="N173" s="105" t="s">
        <v>272</v>
      </c>
      <c r="O173" s="76">
        <v>2027</v>
      </c>
      <c r="P173" s="61" cm="1">
        <f t="array" ref="P173">INDEX(Additions!$C:$C,SUMPRODUCT((Additions!$A:$A='ICAP Prices'!$N173)*('ICAP Prices'!$O173=Additions!$B:$B)*ROW(Additions!$C:$C)),0)*SUMPRODUCT(($R$253:$R$275='ICAP Prices'!$R173)*('ICAP Prices'!$S173=$S$253:$S$275),($P$253:$P$275))</f>
        <v>24.48</v>
      </c>
      <c r="Q173" s="61" cm="1">
        <f t="array" ref="Q173">INDEX(Additions!$D:$D,SUMPRODUCT((Additions!$A:$A='ICAP Prices'!$N173)*('ICAP Prices'!$O173=Additions!$B:$B)*ROW(Additions!D:$D)),0)*SUMPRODUCT(($R$253:$R$275='ICAP Prices'!$R173)*('ICAP Prices'!$S173=$S$253:$S$275),($Q$253:$Q$275))</f>
        <v>24.48</v>
      </c>
      <c r="R173" s="4" t="s">
        <v>10</v>
      </c>
      <c r="S173" s="80" t="s">
        <v>16</v>
      </c>
    </row>
    <row r="174" spans="13:19" x14ac:dyDescent="0.25">
      <c r="M174" s="11"/>
      <c r="N174" s="105" t="s">
        <v>273</v>
      </c>
      <c r="O174" s="76">
        <v>2027</v>
      </c>
      <c r="P174" s="61" cm="1">
        <f t="array" ref="P174">INDEX(Additions!$C:$C,SUMPRODUCT((Additions!$A:$A='ICAP Prices'!$N174)*('ICAP Prices'!$O174=Additions!$B:$B)*ROW(Additions!$C:$C)),0)*SUMPRODUCT(($R$253:$R$275='ICAP Prices'!$R174)*('ICAP Prices'!$S174=$S$253:$S$275),($P$253:$P$275))</f>
        <v>0</v>
      </c>
      <c r="Q174" s="61" cm="1">
        <f t="array" ref="Q174">INDEX(Additions!$D:$D,SUMPRODUCT((Additions!$A:$A='ICAP Prices'!$N174)*('ICAP Prices'!$O174=Additions!$B:$B)*ROW(Additions!D:$D)),0)*SUMPRODUCT(($R$253:$R$275='ICAP Prices'!$R174)*('ICAP Prices'!$S174=$S$253:$S$275),($Q$253:$Q$275))</f>
        <v>15.299999999999999</v>
      </c>
      <c r="R174" s="4" t="s">
        <v>10</v>
      </c>
      <c r="S174" s="80" t="s">
        <v>16</v>
      </c>
    </row>
    <row r="175" spans="13:19" x14ac:dyDescent="0.25">
      <c r="M175" s="11"/>
      <c r="N175" s="105" t="s">
        <v>190</v>
      </c>
      <c r="O175" s="76">
        <v>2027</v>
      </c>
      <c r="P175" s="61" cm="1">
        <f t="array" ref="P175">INDEX(Additions!$C:$C,SUMPRODUCT((Additions!$A:$A='ICAP Prices'!$N175)*('ICAP Prices'!$O175=Additions!$B:$B)*ROW(Additions!$C:$C)),0)*SUMPRODUCT(($R$253:$R$275='ICAP Prices'!$R175)*('ICAP Prices'!$S175=$S$253:$S$275),($P$253:$P$275))</f>
        <v>108.85600000000001</v>
      </c>
      <c r="Q175" s="61" cm="1">
        <f t="array" ref="Q175">INDEX(Additions!$D:$D,SUMPRODUCT((Additions!$A:$A='ICAP Prices'!$N175)*('ICAP Prices'!$O175=Additions!$B:$B)*ROW(Additions!D:$D)),0)*SUMPRODUCT(($R$253:$R$275='ICAP Prices'!$R175)*('ICAP Prices'!$S175=$S$253:$S$275),($Q$253:$Q$275))</f>
        <v>0</v>
      </c>
      <c r="R175" s="76" t="s">
        <v>236</v>
      </c>
      <c r="S175" s="80" t="s">
        <v>15</v>
      </c>
    </row>
    <row r="176" spans="13:19" x14ac:dyDescent="0.25">
      <c r="N176" s="105" t="s">
        <v>274</v>
      </c>
      <c r="O176" s="76">
        <v>2027</v>
      </c>
      <c r="P176" s="61" cm="1">
        <f t="array" ref="P176">INDEX(Additions!$C:$C,SUMPRODUCT((Additions!$A:$A='ICAP Prices'!$N176)*('ICAP Prices'!$O176=Additions!$B:$B)*ROW(Additions!$C:$C)),0)*SUMPRODUCT(($R$253:$R$275='ICAP Prices'!$R176)*('ICAP Prices'!$S176=$S$253:$S$275),($P$253:$P$275))</f>
        <v>0</v>
      </c>
      <c r="Q176" s="61" cm="1">
        <f t="array" ref="Q176">INDEX(Additions!$D:$D,SUMPRODUCT((Additions!$A:$A='ICAP Prices'!$N176)*('ICAP Prices'!$O176=Additions!$B:$B)*ROW(Additions!D:$D)),0)*SUMPRODUCT(($R$253:$R$275='ICAP Prices'!$R176)*('ICAP Prices'!$S176=$S$253:$S$275),($Q$253:$Q$275))</f>
        <v>73.884</v>
      </c>
      <c r="R176" s="76" t="s">
        <v>234</v>
      </c>
      <c r="S176" s="80" t="s">
        <v>41</v>
      </c>
    </row>
    <row r="177" spans="13:19" x14ac:dyDescent="0.25">
      <c r="N177" s="105" t="s">
        <v>275</v>
      </c>
      <c r="O177" s="76">
        <v>2027</v>
      </c>
      <c r="P177" s="61" cm="1">
        <f t="array" ref="P177">INDEX(Additions!$C:$C,SUMPRODUCT((Additions!$A:$A='ICAP Prices'!$N177)*('ICAP Prices'!$O177=Additions!$B:$B)*ROW(Additions!$C:$C)),0)*SUMPRODUCT(($R$253:$R$275='ICAP Prices'!$R177)*('ICAP Prices'!$S177=$S$253:$S$275),($P$253:$P$275))</f>
        <v>53.933199999999999</v>
      </c>
      <c r="Q177" s="61" cm="1">
        <f t="array" ref="Q177">INDEX(Additions!$D:$D,SUMPRODUCT((Additions!$A:$A='ICAP Prices'!$N177)*('ICAP Prices'!$O177=Additions!$B:$B)*ROW(Additions!D:$D)),0)*SUMPRODUCT(($R$253:$R$275='ICAP Prices'!$R177)*('ICAP Prices'!$S177=$S$253:$S$275),($Q$253:$Q$275))</f>
        <v>53.933199999999999</v>
      </c>
      <c r="R177" s="76" t="s">
        <v>236</v>
      </c>
      <c r="S177" s="80" t="s">
        <v>15</v>
      </c>
    </row>
    <row r="178" spans="13:19" x14ac:dyDescent="0.25">
      <c r="N178" s="105" t="s">
        <v>277</v>
      </c>
      <c r="O178" s="76">
        <v>2027</v>
      </c>
      <c r="P178" s="61" cm="1">
        <f t="array" ref="P178">INDEX(Additions!$C:$C,SUMPRODUCT((Additions!$A:$A='ICAP Prices'!$N178)*('ICAP Prices'!$O178=Additions!$B:$B)*ROW(Additions!$C:$C)),0)*SUMPRODUCT(($R$253:$R$275='ICAP Prices'!$R178)*('ICAP Prices'!$S178=$S$253:$S$275),($P$253:$P$275))</f>
        <v>2.448</v>
      </c>
      <c r="Q178" s="61" cm="1">
        <f t="array" ref="Q178">INDEX(Additions!$D:$D,SUMPRODUCT((Additions!$A:$A='ICAP Prices'!$N178)*('ICAP Prices'!$O178=Additions!$B:$B)*ROW(Additions!D:$D)),0)*SUMPRODUCT(($R$253:$R$275='ICAP Prices'!$R178)*('ICAP Prices'!$S178=$S$253:$S$275),($Q$253:$Q$275))</f>
        <v>0</v>
      </c>
      <c r="R178" s="76" t="s">
        <v>10</v>
      </c>
      <c r="S178" s="80" t="s">
        <v>16</v>
      </c>
    </row>
    <row r="179" spans="13:19" x14ac:dyDescent="0.25">
      <c r="N179" s="105" t="s">
        <v>278</v>
      </c>
      <c r="O179" s="76">
        <v>2027</v>
      </c>
      <c r="P179" s="61" cm="1">
        <f t="array" ref="P179">INDEX(Additions!$C:$C,SUMPRODUCT((Additions!$A:$A='ICAP Prices'!$N179)*('ICAP Prices'!$O179=Additions!$B:$B)*ROW(Additions!$C:$C)),0)*SUMPRODUCT(($R$253:$R$275='ICAP Prices'!$R179)*('ICAP Prices'!$S179=$S$253:$S$275),($P$253:$P$275))</f>
        <v>0</v>
      </c>
      <c r="Q179" s="61" cm="1">
        <f t="array" ref="Q179">INDEX(Additions!$D:$D,SUMPRODUCT((Additions!$A:$A='ICAP Prices'!$N179)*('ICAP Prices'!$O179=Additions!$B:$B)*ROW(Additions!D:$D)),0)*SUMPRODUCT(($R$253:$R$275='ICAP Prices'!$R179)*('ICAP Prices'!$S179=$S$253:$S$275),($Q$253:$Q$275))</f>
        <v>172.84452999999999</v>
      </c>
      <c r="R179" s="76" t="s">
        <v>234</v>
      </c>
      <c r="S179" s="80" t="s">
        <v>2</v>
      </c>
    </row>
    <row r="180" spans="13:19" x14ac:dyDescent="0.25">
      <c r="N180" s="105" t="s">
        <v>282</v>
      </c>
      <c r="O180" s="76">
        <v>2027</v>
      </c>
      <c r="P180" s="61" cm="1">
        <f t="array" ref="P180">INDEX(Additions!$C:$C,SUMPRODUCT((Additions!$A:$A='ICAP Prices'!$N180)*('ICAP Prices'!$O180=Additions!$B:$B)*ROW(Additions!$C:$C)),0)*SUMPRODUCT(($R$253:$R$275='ICAP Prices'!$R180)*('ICAP Prices'!$S180=$S$253:$S$275),($P$253:$P$275))</f>
        <v>2.448</v>
      </c>
      <c r="Q180" s="61" cm="1">
        <f t="array" ref="Q180">INDEX(Additions!$D:$D,SUMPRODUCT((Additions!$A:$A='ICAP Prices'!$N180)*('ICAP Prices'!$O180=Additions!$B:$B)*ROW(Additions!D:$D)),0)*SUMPRODUCT(($R$253:$R$275='ICAP Prices'!$R180)*('ICAP Prices'!$S180=$S$253:$S$275),($Q$253:$Q$275))</f>
        <v>0</v>
      </c>
      <c r="R180" s="76" t="s">
        <v>10</v>
      </c>
      <c r="S180" s="80" t="s">
        <v>16</v>
      </c>
    </row>
    <row r="181" spans="13:19" x14ac:dyDescent="0.25">
      <c r="N181" s="105" t="s">
        <v>284</v>
      </c>
      <c r="O181" s="76">
        <v>2027</v>
      </c>
      <c r="P181" s="61" cm="1">
        <f t="array" ref="P181">INDEX(Additions!$C:$C,SUMPRODUCT((Additions!$A:$A='ICAP Prices'!$N181)*('ICAP Prices'!$O181=Additions!$B:$B)*ROW(Additions!$C:$C)),0)*SUMPRODUCT(($R$253:$R$275='ICAP Prices'!$R181)*('ICAP Prices'!$S181=$S$253:$S$275),($P$253:$P$275))</f>
        <v>15.299999999999999</v>
      </c>
      <c r="Q181" s="61" cm="1">
        <f t="array" ref="Q181">INDEX(Additions!$D:$D,SUMPRODUCT((Additions!$A:$A='ICAP Prices'!$N181)*('ICAP Prices'!$O181=Additions!$B:$B)*ROW(Additions!D:$D)),0)*SUMPRODUCT(($R$253:$R$275='ICAP Prices'!$R181)*('ICAP Prices'!$S181=$S$253:$S$275),($Q$253:$Q$275))</f>
        <v>15.299999999999999</v>
      </c>
      <c r="R181" s="76" t="s">
        <v>10</v>
      </c>
      <c r="S181" s="80" t="s">
        <v>16</v>
      </c>
    </row>
    <row r="182" spans="13:19" x14ac:dyDescent="0.25">
      <c r="N182" s="105" t="s">
        <v>287</v>
      </c>
      <c r="O182" s="76">
        <v>2027</v>
      </c>
      <c r="P182" s="61" cm="1">
        <f t="array" ref="P182">INDEX(Additions!$C:$C,SUMPRODUCT((Additions!$A:$A='ICAP Prices'!$N182)*('ICAP Prices'!$O182=Additions!$B:$B)*ROW(Additions!$C:$C)),0)*SUMPRODUCT(($R$253:$R$275='ICAP Prices'!$R182)*('ICAP Prices'!$S182=$S$253:$S$275),($P$253:$P$275))</f>
        <v>0</v>
      </c>
      <c r="Q182" s="61" cm="1">
        <f t="array" ref="Q182">INDEX(Additions!$D:$D,SUMPRODUCT((Additions!$A:$A='ICAP Prices'!$N182)*('ICAP Prices'!$O182=Additions!$B:$B)*ROW(Additions!D:$D)),0)*SUMPRODUCT(($R$253:$R$275='ICAP Prices'!$R182)*('ICAP Prices'!$S182=$S$253:$S$275),($Q$253:$Q$275))</f>
        <v>18.917999999999999</v>
      </c>
      <c r="R182" s="76" t="s">
        <v>235</v>
      </c>
      <c r="S182" s="80" t="s">
        <v>15</v>
      </c>
    </row>
    <row r="183" spans="13:19" x14ac:dyDescent="0.25">
      <c r="M183" s="11"/>
      <c r="N183" s="105" t="s">
        <v>289</v>
      </c>
      <c r="O183" s="76">
        <v>2027</v>
      </c>
      <c r="P183" s="61" cm="1">
        <f t="array" ref="P183">INDEX(Additions!$C:$C,SUMPRODUCT((Additions!$A:$A='ICAP Prices'!$N183)*('ICAP Prices'!$O183=Additions!$B:$B)*ROW(Additions!$C:$C)),0)*SUMPRODUCT(($R$253:$R$275='ICAP Prices'!$R183)*('ICAP Prices'!$S183=$S$253:$S$275),($P$253:$P$275))</f>
        <v>0</v>
      </c>
      <c r="Q183" s="61" cm="1">
        <f t="array" ref="Q183">INDEX(Additions!$D:$D,SUMPRODUCT((Additions!$A:$A='ICAP Prices'!$N183)*('ICAP Prices'!$O183=Additions!$B:$B)*ROW(Additions!D:$D)),0)*SUMPRODUCT(($R$253:$R$275='ICAP Prices'!$R183)*('ICAP Prices'!$S183=$S$253:$S$275),($Q$253:$Q$275))</f>
        <v>28.755359999999996</v>
      </c>
      <c r="R183" s="76" t="s">
        <v>235</v>
      </c>
      <c r="S183" s="80" t="s">
        <v>15</v>
      </c>
    </row>
    <row r="184" spans="13:19" x14ac:dyDescent="0.25">
      <c r="N184" s="105" t="s">
        <v>291</v>
      </c>
      <c r="O184" s="76">
        <v>2027</v>
      </c>
      <c r="P184" s="61" cm="1">
        <f t="array" ref="P184">INDEX(Additions!$C:$C,SUMPRODUCT((Additions!$A:$A='ICAP Prices'!$N184)*('ICAP Prices'!$O184=Additions!$B:$B)*ROW(Additions!$C:$C)),0)*SUMPRODUCT(($R$253:$R$275='ICAP Prices'!$R184)*('ICAP Prices'!$S184=$S$253:$S$275),($P$253:$P$275))</f>
        <v>0</v>
      </c>
      <c r="Q184" s="61" cm="1">
        <f t="array" ref="Q184">INDEX(Additions!$D:$D,SUMPRODUCT((Additions!$A:$A='ICAP Prices'!$N184)*('ICAP Prices'!$O184=Additions!$B:$B)*ROW(Additions!D:$D)),0)*SUMPRODUCT(($R$253:$R$275='ICAP Prices'!$R184)*('ICAP Prices'!$S184=$S$253:$S$275),($Q$253:$Q$275))</f>
        <v>130.65</v>
      </c>
      <c r="R184" s="76" t="s">
        <v>234</v>
      </c>
      <c r="S184" s="80" t="s">
        <v>15</v>
      </c>
    </row>
    <row r="185" spans="13:19" x14ac:dyDescent="0.25">
      <c r="N185" s="105" t="s">
        <v>292</v>
      </c>
      <c r="O185" s="76">
        <v>2027</v>
      </c>
      <c r="P185" s="61" cm="1">
        <f t="array" ref="P185">INDEX(Additions!$C:$C,SUMPRODUCT((Additions!$A:$A='ICAP Prices'!$N185)*('ICAP Prices'!$O185=Additions!$B:$B)*ROW(Additions!$C:$C)),0)*SUMPRODUCT(($R$253:$R$275='ICAP Prices'!$R185)*('ICAP Prices'!$S185=$S$253:$S$275),($P$253:$P$275))</f>
        <v>0</v>
      </c>
      <c r="Q185" s="61" cm="1">
        <f t="array" ref="Q185">INDEX(Additions!$D:$D,SUMPRODUCT((Additions!$A:$A='ICAP Prices'!$N185)*('ICAP Prices'!$O185=Additions!$B:$B)*ROW(Additions!D:$D)),0)*SUMPRODUCT(($R$253:$R$275='ICAP Prices'!$R185)*('ICAP Prices'!$S185=$S$253:$S$275),($Q$253:$Q$275))</f>
        <v>12.1248</v>
      </c>
      <c r="R185" s="76" t="s">
        <v>11</v>
      </c>
      <c r="S185" s="80" t="s">
        <v>16</v>
      </c>
    </row>
    <row r="186" spans="13:19" x14ac:dyDescent="0.25">
      <c r="N186" s="105" t="s">
        <v>293</v>
      </c>
      <c r="O186" s="76">
        <v>2027</v>
      </c>
      <c r="P186" s="61" cm="1">
        <f t="array" ref="P186">INDEX(Additions!$C:$C,SUMPRODUCT((Additions!$A:$A='ICAP Prices'!$N186)*('ICAP Prices'!$O186=Additions!$B:$B)*ROW(Additions!$C:$C)),0)*SUMPRODUCT(($R$253:$R$275='ICAP Prices'!$R186)*('ICAP Prices'!$S186=$S$253:$S$275),($P$253:$P$275))</f>
        <v>0</v>
      </c>
      <c r="Q186" s="61" cm="1">
        <f t="array" ref="Q186">INDEX(Additions!$D:$D,SUMPRODUCT((Additions!$A:$A='ICAP Prices'!$N186)*('ICAP Prices'!$O186=Additions!$B:$B)*ROW(Additions!D:$D)),0)*SUMPRODUCT(($R$253:$R$275='ICAP Prices'!$R186)*('ICAP Prices'!$S186=$S$253:$S$275),($Q$253:$Q$275))</f>
        <v>16.334799999999998</v>
      </c>
      <c r="R186" s="76" t="s">
        <v>11</v>
      </c>
      <c r="S186" s="80" t="s">
        <v>16</v>
      </c>
    </row>
    <row r="187" spans="13:19" x14ac:dyDescent="0.25">
      <c r="N187" s="105" t="s">
        <v>294</v>
      </c>
      <c r="O187" s="76">
        <v>2027</v>
      </c>
      <c r="P187" s="61" cm="1">
        <f t="array" ref="P187">INDEX(Additions!$C:$C,SUMPRODUCT((Additions!$A:$A='ICAP Prices'!$N187)*('ICAP Prices'!$O187=Additions!$B:$B)*ROW(Additions!$C:$C)),0)*SUMPRODUCT(($R$253:$R$275='ICAP Prices'!$R187)*('ICAP Prices'!$S187=$S$253:$S$275),($P$253:$P$275))</f>
        <v>11.016</v>
      </c>
      <c r="Q187" s="61" cm="1">
        <f t="array" ref="Q187">INDEX(Additions!$D:$D,SUMPRODUCT((Additions!$A:$A='ICAP Prices'!$N187)*('ICAP Prices'!$O187=Additions!$B:$B)*ROW(Additions!D:$D)),0)*SUMPRODUCT(($R$253:$R$275='ICAP Prices'!$R187)*('ICAP Prices'!$S187=$S$253:$S$275),($Q$253:$Q$275))</f>
        <v>0</v>
      </c>
      <c r="R187" s="76" t="s">
        <v>10</v>
      </c>
      <c r="S187" s="80" t="s">
        <v>16</v>
      </c>
    </row>
    <row r="188" spans="13:19" x14ac:dyDescent="0.25">
      <c r="N188" s="105" t="s">
        <v>295</v>
      </c>
      <c r="O188" s="76">
        <v>2027</v>
      </c>
      <c r="P188" s="61" cm="1">
        <f t="array" ref="P188">INDEX(Additions!$C:$C,SUMPRODUCT((Additions!$A:$A='ICAP Prices'!$N188)*('ICAP Prices'!$O188=Additions!$B:$B)*ROW(Additions!$C:$C)),0)*SUMPRODUCT(($R$253:$R$275='ICAP Prices'!$R188)*('ICAP Prices'!$S188=$S$253:$S$275),($P$253:$P$275))</f>
        <v>0</v>
      </c>
      <c r="Q188" s="61" cm="1">
        <f t="array" ref="Q188">INDEX(Additions!$D:$D,SUMPRODUCT((Additions!$A:$A='ICAP Prices'!$N188)*('ICAP Prices'!$O188=Additions!$B:$B)*ROW(Additions!D:$D)),0)*SUMPRODUCT(($R$253:$R$275='ICAP Prices'!$R188)*('ICAP Prices'!$S188=$S$253:$S$275),($Q$253:$Q$275))</f>
        <v>30.599999999999998</v>
      </c>
      <c r="R188" s="76" t="s">
        <v>10</v>
      </c>
      <c r="S188" s="80" t="s">
        <v>16</v>
      </c>
    </row>
    <row r="189" spans="13:19" x14ac:dyDescent="0.25">
      <c r="N189" s="105" t="s">
        <v>296</v>
      </c>
      <c r="O189" s="76">
        <v>2027</v>
      </c>
      <c r="P189" s="61" cm="1">
        <f t="array" ref="P189">INDEX(Additions!$C:$C,SUMPRODUCT((Additions!$A:$A='ICAP Prices'!$N189)*('ICAP Prices'!$O189=Additions!$B:$B)*ROW(Additions!$C:$C)),0)*SUMPRODUCT(($R$253:$R$275='ICAP Prices'!$R189)*('ICAP Prices'!$S189=$S$253:$S$275),($P$253:$P$275))</f>
        <v>0</v>
      </c>
      <c r="Q189" s="61" cm="1">
        <f t="array" ref="Q189">INDEX(Additions!$D:$D,SUMPRODUCT((Additions!$A:$A='ICAP Prices'!$N189)*('ICAP Prices'!$O189=Additions!$B:$B)*ROW(Additions!D:$D)),0)*SUMPRODUCT(($R$253:$R$275='ICAP Prices'!$R189)*('ICAP Prices'!$S189=$S$253:$S$275),($Q$253:$Q$275))</f>
        <v>24.48</v>
      </c>
      <c r="R189" s="76" t="s">
        <v>10</v>
      </c>
      <c r="S189" s="80" t="s">
        <v>16</v>
      </c>
    </row>
    <row r="190" spans="13:19" x14ac:dyDescent="0.25">
      <c r="N190" s="105" t="s">
        <v>297</v>
      </c>
      <c r="O190" s="76">
        <v>2027</v>
      </c>
      <c r="P190" s="61" cm="1">
        <f t="array" ref="P190">INDEX(Additions!$C:$C,SUMPRODUCT((Additions!$A:$A='ICAP Prices'!$N190)*('ICAP Prices'!$O190=Additions!$B:$B)*ROW(Additions!$C:$C)),0)*SUMPRODUCT(($R$253:$R$275='ICAP Prices'!$R190)*('ICAP Prices'!$S190=$S$253:$S$275),($P$253:$P$275))</f>
        <v>0</v>
      </c>
      <c r="Q190" s="61" cm="1">
        <f t="array" ref="Q190">INDEX(Additions!$D:$D,SUMPRODUCT((Additions!$A:$A='ICAP Prices'!$N190)*('ICAP Prices'!$O190=Additions!$B:$B)*ROW(Additions!D:$D)),0)*SUMPRODUCT(($R$253:$R$275='ICAP Prices'!$R190)*('ICAP Prices'!$S190=$S$253:$S$275),($Q$253:$Q$275))</f>
        <v>12.852</v>
      </c>
      <c r="R190" s="76" t="s">
        <v>10</v>
      </c>
      <c r="S190" s="80" t="s">
        <v>16</v>
      </c>
    </row>
    <row r="191" spans="13:19" x14ac:dyDescent="0.25">
      <c r="N191" s="105" t="s">
        <v>301</v>
      </c>
      <c r="O191" s="76">
        <v>2027</v>
      </c>
      <c r="P191" s="61" cm="1">
        <f t="array" ref="P191">INDEX(Additions!$C:$C,SUMPRODUCT((Additions!$A:$A='ICAP Prices'!$N191)*('ICAP Prices'!$O191=Additions!$B:$B)*ROW(Additions!$C:$C)),0)*SUMPRODUCT(($R$253:$R$275='ICAP Prices'!$R191)*('ICAP Prices'!$S191=$S$253:$S$275),($P$253:$P$275))</f>
        <v>15.782</v>
      </c>
      <c r="Q191" s="61" cm="1">
        <f t="array" ref="Q191">INDEX(Additions!$D:$D,SUMPRODUCT((Additions!$A:$A='ICAP Prices'!$N191)*('ICAP Prices'!$O191=Additions!$B:$B)*ROW(Additions!D:$D)),0)*SUMPRODUCT(($R$253:$R$275='ICAP Prices'!$R191)*('ICAP Prices'!$S191=$S$253:$S$275),($Q$253:$Q$275))</f>
        <v>0</v>
      </c>
      <c r="R191" s="76" t="s">
        <v>234</v>
      </c>
      <c r="S191" s="80" t="s">
        <v>16</v>
      </c>
    </row>
    <row r="192" spans="13:19" x14ac:dyDescent="0.25">
      <c r="M192" s="22"/>
      <c r="N192" s="88" t="s">
        <v>255</v>
      </c>
      <c r="O192" s="76">
        <v>2028</v>
      </c>
      <c r="P192" s="61" cm="1">
        <f t="array" ref="P192">INDEX(Additions!$C:$C,SUMPRODUCT((Additions!$A:$A='ICAP Prices'!$N192)*('ICAP Prices'!$O192=Additions!$B:$B)*ROW(Additions!$C:$C)),0)*SUMPRODUCT(($R$253:$R$275='ICAP Prices'!$R192)*('ICAP Prices'!$S192=$S$253:$S$275),($P$253:$P$275))</f>
        <v>62.745470000000005</v>
      </c>
      <c r="Q192" s="61" cm="1">
        <f t="array" ref="Q192">INDEX(Additions!$D:$D,SUMPRODUCT((Additions!$A:$A='ICAP Prices'!$N192)*('ICAP Prices'!$O192=Additions!$B:$B)*ROW(Additions!D:$D)),0)*SUMPRODUCT(($R$253:$R$275='ICAP Prices'!$R192)*('ICAP Prices'!$S192=$S$253:$S$275),($Q$253:$Q$275))</f>
        <v>0</v>
      </c>
      <c r="R192" s="4" t="s">
        <v>234</v>
      </c>
      <c r="S192" s="80" t="s">
        <v>2</v>
      </c>
    </row>
    <row r="193" spans="13:19" x14ac:dyDescent="0.25">
      <c r="M193" s="22"/>
      <c r="N193" s="88" t="s">
        <v>118</v>
      </c>
      <c r="O193" s="76">
        <v>2028</v>
      </c>
      <c r="P193" s="61" cm="1">
        <f t="array" ref="P193">INDEX(Additions!$C:$C,SUMPRODUCT((Additions!$A:$A='ICAP Prices'!$N193)*('ICAP Prices'!$O193=Additions!$B:$B)*ROW(Additions!$C:$C)),0)*SUMPRODUCT(($R$253:$R$275='ICAP Prices'!$R193)*('ICAP Prices'!$S193=$S$253:$S$275),($P$253:$P$275))</f>
        <v>157.20000000000002</v>
      </c>
      <c r="Q193" s="61" cm="1">
        <f t="array" ref="Q193">INDEX(Additions!$D:$D,SUMPRODUCT((Additions!$A:$A='ICAP Prices'!$N193)*('ICAP Prices'!$O193=Additions!$B:$B)*ROW(Additions!D:$D)),0)*SUMPRODUCT(($R$253:$R$275='ICAP Prices'!$R193)*('ICAP Prices'!$S193=$S$253:$S$275),($Q$253:$Q$275))</f>
        <v>0</v>
      </c>
      <c r="R193" s="4" t="s">
        <v>234</v>
      </c>
      <c r="S193" s="80" t="s">
        <v>41</v>
      </c>
    </row>
    <row r="194" spans="13:19" x14ac:dyDescent="0.25">
      <c r="M194" s="22"/>
      <c r="N194" s="88" t="s">
        <v>278</v>
      </c>
      <c r="O194" s="76">
        <v>2028</v>
      </c>
      <c r="P194" s="61" cm="1">
        <f t="array" ref="P194">INDEX(Additions!$C:$C,SUMPRODUCT((Additions!$A:$A='ICAP Prices'!$N194)*('ICAP Prices'!$O194=Additions!$B:$B)*ROW(Additions!$C:$C)),0)*SUMPRODUCT(($R$253:$R$275='ICAP Prices'!$R194)*('ICAP Prices'!$S194=$S$253:$S$275),($P$253:$P$275))</f>
        <v>172.84452999999999</v>
      </c>
      <c r="Q194" s="61" cm="1">
        <f t="array" ref="Q194">INDEX(Additions!$D:$D,SUMPRODUCT((Additions!$A:$A='ICAP Prices'!$N194)*('ICAP Prices'!$O194=Additions!$B:$B)*ROW(Additions!D:$D)),0)*SUMPRODUCT(($R$253:$R$275='ICAP Prices'!$R194)*('ICAP Prices'!$S194=$S$253:$S$275),($Q$253:$Q$275))</f>
        <v>0</v>
      </c>
      <c r="R194" s="76" t="s">
        <v>234</v>
      </c>
      <c r="S194" s="80" t="s">
        <v>2</v>
      </c>
    </row>
    <row r="195" spans="13:19" x14ac:dyDescent="0.25">
      <c r="M195" s="22"/>
      <c r="N195" s="83" t="s">
        <v>253</v>
      </c>
      <c r="O195" s="4">
        <v>2028</v>
      </c>
      <c r="P195" s="61" cm="1">
        <f t="array" ref="P195">INDEX(Additions!$C:$C,SUMPRODUCT((Additions!$A:$A='ICAP Prices'!$N195)*('ICAP Prices'!$O195=Additions!$B:$B)*ROW(Additions!$C:$C)),0)*SUMPRODUCT(($R$253:$R$275='ICAP Prices'!$R195)*('ICAP Prices'!$S195=$S$253:$S$275),($P$253:$P$275))</f>
        <v>11.077199999999999</v>
      </c>
      <c r="Q195" s="61" cm="1">
        <f t="array" ref="Q195">INDEX(Additions!$D:$D,SUMPRODUCT((Additions!$A:$A='ICAP Prices'!$N195)*('ICAP Prices'!$O195=Additions!$B:$B)*ROW(Additions!D:$D)),0)*SUMPRODUCT(($R$253:$R$275='ICAP Prices'!$R195)*('ICAP Prices'!$S195=$S$253:$S$275),($Q$253:$Q$275))</f>
        <v>0</v>
      </c>
      <c r="R195" s="4" t="s">
        <v>10</v>
      </c>
      <c r="S195" s="72" t="s">
        <v>16</v>
      </c>
    </row>
    <row r="196" spans="13:19" x14ac:dyDescent="0.25">
      <c r="M196" s="22"/>
      <c r="N196" s="83" t="s">
        <v>113</v>
      </c>
      <c r="O196" s="4">
        <v>2028</v>
      </c>
      <c r="P196" s="61" cm="1">
        <f t="array" ref="P196">INDEX(Additions!$C:$C,SUMPRODUCT((Additions!$A:$A='ICAP Prices'!$N196)*('ICAP Prices'!$O196=Additions!$B:$B)*ROW(Additions!$C:$C)),0)*SUMPRODUCT(($R$253:$R$275='ICAP Prices'!$R196)*('ICAP Prices'!$S196=$S$253:$S$275),($P$253:$P$275))</f>
        <v>48.953879999999998</v>
      </c>
      <c r="Q196" s="61" cm="1">
        <f t="array" ref="Q196">INDEX(Additions!$D:$D,SUMPRODUCT((Additions!$A:$A='ICAP Prices'!$N196)*('ICAP Prices'!$O196=Additions!$B:$B)*ROW(Additions!D:$D)),0)*SUMPRODUCT(($R$253:$R$275='ICAP Prices'!$R196)*('ICAP Prices'!$S196=$S$253:$S$275),($Q$253:$Q$275))</f>
        <v>0</v>
      </c>
      <c r="R196" s="4" t="s">
        <v>11</v>
      </c>
      <c r="S196" s="72" t="s">
        <v>16</v>
      </c>
    </row>
    <row r="197" spans="13:19" x14ac:dyDescent="0.25">
      <c r="M197" s="22"/>
      <c r="N197" s="88" t="s">
        <v>201</v>
      </c>
      <c r="O197" s="76">
        <v>2028</v>
      </c>
      <c r="P197" s="61" cm="1">
        <f t="array" ref="P197">INDEX(Additions!$C:$C,SUMPRODUCT((Additions!$A:$A='ICAP Prices'!$N197)*('ICAP Prices'!$O197=Additions!$B:$B)*ROW(Additions!$C:$C)),0)*SUMPRODUCT(($R$253:$R$275='ICAP Prices'!$R197)*('ICAP Prices'!$S197=$S$253:$S$275),($P$253:$P$275))</f>
        <v>2.4660000000000002</v>
      </c>
      <c r="Q197" s="61" cm="1">
        <f t="array" ref="Q197">INDEX(Additions!$D:$D,SUMPRODUCT((Additions!$A:$A='ICAP Prices'!$N197)*('ICAP Prices'!$O197=Additions!$B:$B)*ROW(Additions!D:$D)),0)*SUMPRODUCT(($R$253:$R$275='ICAP Prices'!$R197)*('ICAP Prices'!$S197=$S$253:$S$275),($Q$253:$Q$275))</f>
        <v>0</v>
      </c>
      <c r="R197" s="4" t="s">
        <v>10</v>
      </c>
      <c r="S197" s="80" t="s">
        <v>41</v>
      </c>
    </row>
    <row r="198" spans="13:19" x14ac:dyDescent="0.25">
      <c r="M198" s="22"/>
      <c r="N198" s="88" t="s">
        <v>116</v>
      </c>
      <c r="O198" s="76">
        <v>2028</v>
      </c>
      <c r="P198" s="61" cm="1">
        <f t="array" ref="P198">INDEX(Additions!$C:$C,SUMPRODUCT((Additions!$A:$A='ICAP Prices'!$N198)*('ICAP Prices'!$O198=Additions!$B:$B)*ROW(Additions!$C:$C)),0)*SUMPRODUCT(($R$253:$R$275='ICAP Prices'!$R198)*('ICAP Prices'!$S198=$S$253:$S$275),($P$253:$P$275))</f>
        <v>6.12</v>
      </c>
      <c r="Q198" s="61" cm="1">
        <f t="array" ref="Q198">INDEX(Additions!$D:$D,SUMPRODUCT((Additions!$A:$A='ICAP Prices'!$N198)*('ICAP Prices'!$O198=Additions!$B:$B)*ROW(Additions!D:$D)),0)*SUMPRODUCT(($R$253:$R$275='ICAP Prices'!$R198)*('ICAP Prices'!$S198=$S$253:$S$275),($Q$253:$Q$275))</f>
        <v>6.12</v>
      </c>
      <c r="R198" s="4" t="s">
        <v>10</v>
      </c>
      <c r="S198" s="80" t="s">
        <v>16</v>
      </c>
    </row>
    <row r="199" spans="13:19" x14ac:dyDescent="0.25">
      <c r="M199" s="22"/>
      <c r="N199" s="88" t="s">
        <v>124</v>
      </c>
      <c r="O199" s="76">
        <v>2028</v>
      </c>
      <c r="P199" s="61" cm="1">
        <f t="array" ref="P199">INDEX(Additions!$C:$C,SUMPRODUCT((Additions!$A:$A='ICAP Prices'!$N199)*('ICAP Prices'!$O199=Additions!$B:$B)*ROW(Additions!$C:$C)),0)*SUMPRODUCT(($R$253:$R$275='ICAP Prices'!$R199)*('ICAP Prices'!$S199=$S$253:$S$275),($P$253:$P$275))</f>
        <v>22.032</v>
      </c>
      <c r="Q199" s="61" cm="1">
        <f t="array" ref="Q199">INDEX(Additions!$D:$D,SUMPRODUCT((Additions!$A:$A='ICAP Prices'!$N199)*('ICAP Prices'!$O199=Additions!$B:$B)*ROW(Additions!D:$D)),0)*SUMPRODUCT(($R$253:$R$275='ICAP Prices'!$R199)*('ICAP Prices'!$S199=$S$253:$S$275),($Q$253:$Q$275))</f>
        <v>22.032</v>
      </c>
      <c r="R199" s="4" t="s">
        <v>10</v>
      </c>
      <c r="S199" s="80" t="s">
        <v>16</v>
      </c>
    </row>
    <row r="200" spans="13:19" x14ac:dyDescent="0.25">
      <c r="M200" s="22"/>
      <c r="N200" s="88" t="s">
        <v>257</v>
      </c>
      <c r="O200" s="76">
        <v>2028</v>
      </c>
      <c r="P200" s="61" cm="1">
        <f t="array" ref="P200">INDEX(Additions!$C:$C,SUMPRODUCT((Additions!$A:$A='ICAP Prices'!$N200)*('ICAP Prices'!$O200=Additions!$B:$B)*ROW(Additions!$C:$C)),0)*SUMPRODUCT(($R$253:$R$275='ICAP Prices'!$R200)*('ICAP Prices'!$S200=$S$253:$S$275),($P$253:$P$275))</f>
        <v>2.448</v>
      </c>
      <c r="Q200" s="61" cm="1">
        <f t="array" ref="Q200">INDEX(Additions!$D:$D,SUMPRODUCT((Additions!$A:$A='ICAP Prices'!$N200)*('ICAP Prices'!$O200=Additions!$B:$B)*ROW(Additions!D:$D)),0)*SUMPRODUCT(($R$253:$R$275='ICAP Prices'!$R200)*('ICAP Prices'!$S200=$S$253:$S$275),($Q$253:$Q$275))</f>
        <v>2.448</v>
      </c>
      <c r="R200" s="4" t="s">
        <v>10</v>
      </c>
      <c r="S200" s="80" t="s">
        <v>16</v>
      </c>
    </row>
    <row r="201" spans="13:19" x14ac:dyDescent="0.25">
      <c r="M201" s="22"/>
      <c r="N201" s="88" t="s">
        <v>168</v>
      </c>
      <c r="O201" s="76">
        <v>2028</v>
      </c>
      <c r="P201" s="61" cm="1">
        <f t="array" ref="P201">INDEX(Additions!$C:$C,SUMPRODUCT((Additions!$A:$A='ICAP Prices'!$N201)*('ICAP Prices'!$O201=Additions!$B:$B)*ROW(Additions!$C:$C)),0)*SUMPRODUCT(($R$253:$R$275='ICAP Prices'!$R201)*('ICAP Prices'!$S201=$S$253:$S$275),($P$253:$P$275))</f>
        <v>22.032</v>
      </c>
      <c r="Q201" s="61" cm="1">
        <f t="array" ref="Q201">INDEX(Additions!$D:$D,SUMPRODUCT((Additions!$A:$A='ICAP Prices'!$N201)*('ICAP Prices'!$O201=Additions!$B:$B)*ROW(Additions!D:$D)),0)*SUMPRODUCT(($R$253:$R$275='ICAP Prices'!$R201)*('ICAP Prices'!$S201=$S$253:$S$275),($Q$253:$Q$275))</f>
        <v>22.032</v>
      </c>
      <c r="R201" s="4" t="s">
        <v>10</v>
      </c>
      <c r="S201" s="80" t="s">
        <v>16</v>
      </c>
    </row>
    <row r="202" spans="13:19" x14ac:dyDescent="0.25">
      <c r="M202" s="22"/>
      <c r="N202" s="88" t="s">
        <v>258</v>
      </c>
      <c r="O202" s="76">
        <v>2028</v>
      </c>
      <c r="P202" s="61" cm="1">
        <f t="array" ref="P202">INDEX(Additions!$C:$C,SUMPRODUCT((Additions!$A:$A='ICAP Prices'!$N202)*('ICAP Prices'!$O202=Additions!$B:$B)*ROW(Additions!$C:$C)),0)*SUMPRODUCT(($R$253:$R$275='ICAP Prices'!$R202)*('ICAP Prices'!$S202=$S$253:$S$275),($P$253:$P$275))</f>
        <v>11.4444</v>
      </c>
      <c r="Q202" s="61" cm="1">
        <f t="array" ref="Q202">INDEX(Additions!$D:$D,SUMPRODUCT((Additions!$A:$A='ICAP Prices'!$N202)*('ICAP Prices'!$O202=Additions!$B:$B)*ROW(Additions!D:$D)),0)*SUMPRODUCT(($R$253:$R$275='ICAP Prices'!$R202)*('ICAP Prices'!$S202=$S$253:$S$275),($Q$253:$Q$275))</f>
        <v>0</v>
      </c>
      <c r="R202" s="4" t="s">
        <v>10</v>
      </c>
      <c r="S202" s="80" t="s">
        <v>16</v>
      </c>
    </row>
    <row r="203" spans="13:19" x14ac:dyDescent="0.25">
      <c r="M203" s="22"/>
      <c r="N203" s="88" t="s">
        <v>131</v>
      </c>
      <c r="O203" s="76">
        <v>2028</v>
      </c>
      <c r="P203" s="61" cm="1">
        <f t="array" ref="P203">INDEX(Additions!$C:$C,SUMPRODUCT((Additions!$A:$A='ICAP Prices'!$N203)*('ICAP Prices'!$O203=Additions!$B:$B)*ROW(Additions!$C:$C)),0)*SUMPRODUCT(($R$253:$R$275='ICAP Prices'!$R203)*('ICAP Prices'!$S203=$S$253:$S$275),($P$253:$P$275))</f>
        <v>9.7919999999999998</v>
      </c>
      <c r="Q203" s="61" cm="1">
        <f t="array" ref="Q203">INDEX(Additions!$D:$D,SUMPRODUCT((Additions!$A:$A='ICAP Prices'!$N203)*('ICAP Prices'!$O203=Additions!$B:$B)*ROW(Additions!D:$D)),0)*SUMPRODUCT(($R$253:$R$275='ICAP Prices'!$R203)*('ICAP Prices'!$S203=$S$253:$S$275),($Q$253:$Q$275))</f>
        <v>9.7919999999999998</v>
      </c>
      <c r="R203" s="4" t="s">
        <v>10</v>
      </c>
      <c r="S203" s="80" t="s">
        <v>16</v>
      </c>
    </row>
    <row r="204" spans="13:19" x14ac:dyDescent="0.25">
      <c r="M204" s="22"/>
      <c r="N204" s="88" t="s">
        <v>193</v>
      </c>
      <c r="O204" s="76">
        <v>2028</v>
      </c>
      <c r="P204" s="61" cm="1">
        <f t="array" ref="P204">INDEX(Additions!$C:$C,SUMPRODUCT((Additions!$A:$A='ICAP Prices'!$N204)*('ICAP Prices'!$O204=Additions!$B:$B)*ROW(Additions!$C:$C)),0)*SUMPRODUCT(($R$253:$R$275='ICAP Prices'!$R204)*('ICAP Prices'!$S204=$S$253:$S$275),($P$253:$P$275))</f>
        <v>2.4660000000000002</v>
      </c>
      <c r="Q204" s="61" cm="1">
        <f t="array" ref="Q204">INDEX(Additions!$D:$D,SUMPRODUCT((Additions!$A:$A='ICAP Prices'!$N204)*('ICAP Prices'!$O204=Additions!$B:$B)*ROW(Additions!D:$D)),0)*SUMPRODUCT(($R$253:$R$275='ICAP Prices'!$R204)*('ICAP Prices'!$S204=$S$253:$S$275),($Q$253:$Q$275))</f>
        <v>2.4660000000000002</v>
      </c>
      <c r="R204" s="4" t="s">
        <v>10</v>
      </c>
      <c r="S204" s="80" t="s">
        <v>41</v>
      </c>
    </row>
    <row r="205" spans="13:19" x14ac:dyDescent="0.25">
      <c r="M205" s="22"/>
      <c r="N205" s="88" t="s">
        <v>260</v>
      </c>
      <c r="O205" s="76">
        <v>2028</v>
      </c>
      <c r="P205" s="61" cm="1">
        <f t="array" ref="P205">INDEX(Additions!$C:$C,SUMPRODUCT((Additions!$A:$A='ICAP Prices'!$N205)*('ICAP Prices'!$O205=Additions!$B:$B)*ROW(Additions!$C:$C)),0)*SUMPRODUCT(($R$253:$R$275='ICAP Prices'!$R205)*('ICAP Prices'!$S205=$S$253:$S$275),($P$253:$P$275))</f>
        <v>0</v>
      </c>
      <c r="Q205" s="61" cm="1">
        <f t="array" ref="Q205">INDEX(Additions!$D:$D,SUMPRODUCT((Additions!$A:$A='ICAP Prices'!$N205)*('ICAP Prices'!$O205=Additions!$B:$B)*ROW(Additions!D:$D)),0)*SUMPRODUCT(($R$253:$R$275='ICAP Prices'!$R205)*('ICAP Prices'!$S205=$S$253:$S$275),($Q$253:$Q$275))</f>
        <v>14.5656</v>
      </c>
      <c r="R205" s="4" t="s">
        <v>10</v>
      </c>
      <c r="S205" s="80" t="s">
        <v>16</v>
      </c>
    </row>
    <row r="206" spans="13:19" x14ac:dyDescent="0.25">
      <c r="M206" s="22"/>
      <c r="N206" s="88" t="s">
        <v>262</v>
      </c>
      <c r="O206" s="76">
        <v>2028</v>
      </c>
      <c r="P206" s="61" cm="1">
        <f t="array" ref="P206">INDEX(Additions!$C:$C,SUMPRODUCT((Additions!$A:$A='ICAP Prices'!$N206)*('ICAP Prices'!$O206=Additions!$B:$B)*ROW(Additions!$C:$C)),0)*SUMPRODUCT(($R$253:$R$275='ICAP Prices'!$R206)*('ICAP Prices'!$S206=$S$253:$S$275),($P$253:$P$275))</f>
        <v>16.524000000000001</v>
      </c>
      <c r="Q206" s="61" cm="1">
        <f t="array" ref="Q206">INDEX(Additions!$D:$D,SUMPRODUCT((Additions!$A:$A='ICAP Prices'!$N206)*('ICAP Prices'!$O206=Additions!$B:$B)*ROW(Additions!D:$D)),0)*SUMPRODUCT(($R$253:$R$275='ICAP Prices'!$R206)*('ICAP Prices'!$S206=$S$253:$S$275),($Q$253:$Q$275))</f>
        <v>0</v>
      </c>
      <c r="R206" s="4" t="s">
        <v>10</v>
      </c>
      <c r="S206" s="80" t="s">
        <v>16</v>
      </c>
    </row>
    <row r="207" spans="13:19" x14ac:dyDescent="0.25">
      <c r="M207" s="22"/>
      <c r="N207" s="88" t="s">
        <v>263</v>
      </c>
      <c r="O207" s="76">
        <v>2028</v>
      </c>
      <c r="P207" s="61" cm="1">
        <f t="array" ref="P207">INDEX(Additions!$C:$C,SUMPRODUCT((Additions!$A:$A='ICAP Prices'!$N207)*('ICAP Prices'!$O207=Additions!$B:$B)*ROW(Additions!$C:$C)),0)*SUMPRODUCT(($R$253:$R$275='ICAP Prices'!$R207)*('ICAP Prices'!$S207=$S$253:$S$275),($P$253:$P$275))</f>
        <v>213.05700000000002</v>
      </c>
      <c r="Q207" s="61" cm="1">
        <f t="array" ref="Q207">INDEX(Additions!$D:$D,SUMPRODUCT((Additions!$A:$A='ICAP Prices'!$N207)*('ICAP Prices'!$O207=Additions!$B:$B)*ROW(Additions!D:$D)),0)*SUMPRODUCT(($R$253:$R$275='ICAP Prices'!$R207)*('ICAP Prices'!$S207=$S$253:$S$275),($Q$253:$Q$275))</f>
        <v>0</v>
      </c>
      <c r="R207" s="4" t="s">
        <v>234</v>
      </c>
      <c r="S207" s="80" t="s">
        <v>16</v>
      </c>
    </row>
    <row r="208" spans="13:19" x14ac:dyDescent="0.25">
      <c r="M208" s="22"/>
      <c r="N208" s="88" t="s">
        <v>265</v>
      </c>
      <c r="O208" s="76">
        <v>2028</v>
      </c>
      <c r="P208" s="61" cm="1">
        <f t="array" ref="P208">INDEX(Additions!$C:$C,SUMPRODUCT((Additions!$A:$A='ICAP Prices'!$N208)*('ICAP Prices'!$O208=Additions!$B:$B)*ROW(Additions!$C:$C)),0)*SUMPRODUCT(($R$253:$R$275='ICAP Prices'!$R208)*('ICAP Prices'!$S208=$S$253:$S$275),($P$253:$P$275))</f>
        <v>189.38400000000001</v>
      </c>
      <c r="Q208" s="61" cm="1">
        <f t="array" ref="Q208">INDEX(Additions!$D:$D,SUMPRODUCT((Additions!$A:$A='ICAP Prices'!$N208)*('ICAP Prices'!$O208=Additions!$B:$B)*ROW(Additions!D:$D)),0)*SUMPRODUCT(($R$253:$R$275='ICAP Prices'!$R208)*('ICAP Prices'!$S208=$S$253:$S$275),($Q$253:$Q$275))</f>
        <v>189.38400000000001</v>
      </c>
      <c r="R208" s="4" t="s">
        <v>234</v>
      </c>
      <c r="S208" s="80" t="s">
        <v>16</v>
      </c>
    </row>
    <row r="209" spans="13:19" x14ac:dyDescent="0.25">
      <c r="M209" s="22"/>
      <c r="N209" s="88" t="s">
        <v>170</v>
      </c>
      <c r="O209" s="76">
        <v>2028</v>
      </c>
      <c r="P209" s="61" cm="1">
        <f t="array" ref="P209">INDEX(Additions!$C:$C,SUMPRODUCT((Additions!$A:$A='ICAP Prices'!$N209)*('ICAP Prices'!$O209=Additions!$B:$B)*ROW(Additions!$C:$C)),0)*SUMPRODUCT(($R$253:$R$275='ICAP Prices'!$R209)*('ICAP Prices'!$S209=$S$253:$S$275),($P$253:$P$275))</f>
        <v>24.754799999999999</v>
      </c>
      <c r="Q209" s="61" cm="1">
        <f t="array" ref="Q209">INDEX(Additions!$D:$D,SUMPRODUCT((Additions!$A:$A='ICAP Prices'!$N209)*('ICAP Prices'!$O209=Additions!$B:$B)*ROW(Additions!D:$D)),0)*SUMPRODUCT(($R$253:$R$275='ICAP Prices'!$R209)*('ICAP Prices'!$S209=$S$253:$S$275),($Q$253:$Q$275))</f>
        <v>0</v>
      </c>
      <c r="R209" s="4" t="s">
        <v>11</v>
      </c>
      <c r="S209" s="80" t="s">
        <v>16</v>
      </c>
    </row>
    <row r="210" spans="13:19" x14ac:dyDescent="0.25">
      <c r="M210" s="22"/>
      <c r="N210" s="88" t="s">
        <v>144</v>
      </c>
      <c r="O210" s="76">
        <v>2028</v>
      </c>
      <c r="P210" s="61" cm="1">
        <f t="array" ref="P210">INDEX(Additions!$C:$C,SUMPRODUCT((Additions!$A:$A='ICAP Prices'!$N210)*('ICAP Prices'!$O210=Additions!$B:$B)*ROW(Additions!$C:$C)),0)*SUMPRODUCT(($R$253:$R$275='ICAP Prices'!$R210)*('ICAP Prices'!$S210=$S$253:$S$275),($P$253:$P$275))</f>
        <v>2.448</v>
      </c>
      <c r="Q210" s="61" cm="1">
        <f t="array" ref="Q210">INDEX(Additions!$D:$D,SUMPRODUCT((Additions!$A:$A='ICAP Prices'!$N210)*('ICAP Prices'!$O210=Additions!$B:$B)*ROW(Additions!D:$D)),0)*SUMPRODUCT(($R$253:$R$275='ICAP Prices'!$R210)*('ICAP Prices'!$S210=$S$253:$S$275),($Q$253:$Q$275))</f>
        <v>2.448</v>
      </c>
      <c r="R210" s="4" t="s">
        <v>10</v>
      </c>
      <c r="S210" s="80" t="s">
        <v>16</v>
      </c>
    </row>
    <row r="211" spans="13:19" x14ac:dyDescent="0.25">
      <c r="M211" s="22"/>
      <c r="N211" s="88" t="s">
        <v>268</v>
      </c>
      <c r="O211" s="76">
        <v>2028</v>
      </c>
      <c r="P211" s="61" cm="1">
        <f t="array" ref="P211">INDEX(Additions!$C:$C,SUMPRODUCT((Additions!$A:$A='ICAP Prices'!$N211)*('ICAP Prices'!$O211=Additions!$B:$B)*ROW(Additions!$C:$C)),0)*SUMPRODUCT(($R$253:$R$275='ICAP Prices'!$R211)*('ICAP Prices'!$S211=$S$253:$S$275),($P$253:$P$275))</f>
        <v>12.24</v>
      </c>
      <c r="Q211" s="61" cm="1">
        <f t="array" ref="Q211">INDEX(Additions!$D:$D,SUMPRODUCT((Additions!$A:$A='ICAP Prices'!$N211)*('ICAP Prices'!$O211=Additions!$B:$B)*ROW(Additions!D:$D)),0)*SUMPRODUCT(($R$253:$R$275='ICAP Prices'!$R211)*('ICAP Prices'!$S211=$S$253:$S$275),($Q$253:$Q$275))</f>
        <v>12.24</v>
      </c>
      <c r="R211" s="4" t="s">
        <v>10</v>
      </c>
      <c r="S211" s="80" t="s">
        <v>16</v>
      </c>
    </row>
    <row r="212" spans="13:19" x14ac:dyDescent="0.25">
      <c r="M212" s="22"/>
      <c r="N212" s="88" t="s">
        <v>269</v>
      </c>
      <c r="O212" s="76">
        <v>2028</v>
      </c>
      <c r="P212" s="61" cm="1">
        <f t="array" ref="P212">INDEX(Additions!$C:$C,SUMPRODUCT((Additions!$A:$A='ICAP Prices'!$N212)*('ICAP Prices'!$O212=Additions!$B:$B)*ROW(Additions!$C:$C)),0)*SUMPRODUCT(($R$253:$R$275='ICAP Prices'!$R212)*('ICAP Prices'!$S212=$S$253:$S$275),($P$253:$P$275))</f>
        <v>12.24</v>
      </c>
      <c r="Q212" s="61" cm="1">
        <f t="array" ref="Q212">INDEX(Additions!$D:$D,SUMPRODUCT((Additions!$A:$A='ICAP Prices'!$N212)*('ICAP Prices'!$O212=Additions!$B:$B)*ROW(Additions!D:$D)),0)*SUMPRODUCT(($R$253:$R$275='ICAP Prices'!$R212)*('ICAP Prices'!$S212=$S$253:$S$275),($Q$253:$Q$275))</f>
        <v>0</v>
      </c>
      <c r="R212" s="4" t="s">
        <v>10</v>
      </c>
      <c r="S212" s="80" t="s">
        <v>16</v>
      </c>
    </row>
    <row r="213" spans="13:19" x14ac:dyDescent="0.25">
      <c r="M213" s="22"/>
      <c r="N213" s="88" t="s">
        <v>175</v>
      </c>
      <c r="O213" s="76">
        <v>2028</v>
      </c>
      <c r="P213" s="61" cm="1">
        <f t="array" ref="P213">INDEX(Additions!$C:$C,SUMPRODUCT((Additions!$A:$A='ICAP Prices'!$N213)*('ICAP Prices'!$O213=Additions!$B:$B)*ROW(Additions!$C:$C)),0)*SUMPRODUCT(($R$253:$R$275='ICAP Prices'!$R213)*('ICAP Prices'!$S213=$S$253:$S$275),($P$253:$P$275))</f>
        <v>24.48</v>
      </c>
      <c r="Q213" s="61" cm="1">
        <f t="array" ref="Q213">INDEX(Additions!$D:$D,SUMPRODUCT((Additions!$A:$A='ICAP Prices'!$N213)*('ICAP Prices'!$O213=Additions!$B:$B)*ROW(Additions!D:$D)),0)*SUMPRODUCT(($R$253:$R$275='ICAP Prices'!$R213)*('ICAP Prices'!$S213=$S$253:$S$275),($Q$253:$Q$275))</f>
        <v>24.48</v>
      </c>
      <c r="R213" s="4" t="s">
        <v>10</v>
      </c>
      <c r="S213" s="80" t="s">
        <v>16</v>
      </c>
    </row>
    <row r="214" spans="13:19" x14ac:dyDescent="0.25">
      <c r="M214" s="22"/>
      <c r="N214" s="88" t="s">
        <v>176</v>
      </c>
      <c r="O214" s="76">
        <v>2028</v>
      </c>
      <c r="P214" s="61" cm="1">
        <f t="array" ref="P214">INDEX(Additions!$C:$C,SUMPRODUCT((Additions!$A:$A='ICAP Prices'!$N214)*('ICAP Prices'!$O214=Additions!$B:$B)*ROW(Additions!$C:$C)),0)*SUMPRODUCT(($R$253:$R$275='ICAP Prices'!$R214)*('ICAP Prices'!$S214=$S$253:$S$275),($P$253:$P$275))</f>
        <v>62.745470000000005</v>
      </c>
      <c r="Q214" s="61" cm="1">
        <f t="array" ref="Q214">INDEX(Additions!$D:$D,SUMPRODUCT((Additions!$A:$A='ICAP Prices'!$N214)*('ICAP Prices'!$O214=Additions!$B:$B)*ROW(Additions!D:$D)),0)*SUMPRODUCT(($R$253:$R$275='ICAP Prices'!$R214)*('ICAP Prices'!$S214=$S$253:$S$275),($Q$253:$Q$275))</f>
        <v>62.745470000000005</v>
      </c>
      <c r="R214" s="4" t="s">
        <v>234</v>
      </c>
      <c r="S214" s="80" t="s">
        <v>2</v>
      </c>
    </row>
    <row r="215" spans="13:19" x14ac:dyDescent="0.25">
      <c r="M215" s="22"/>
      <c r="N215" s="88" t="s">
        <v>273</v>
      </c>
      <c r="O215" s="76">
        <v>2028</v>
      </c>
      <c r="P215" s="61" cm="1">
        <f t="array" ref="P215">INDEX(Additions!$C:$C,SUMPRODUCT((Additions!$A:$A='ICAP Prices'!$N215)*('ICAP Prices'!$O215=Additions!$B:$B)*ROW(Additions!$C:$C)),0)*SUMPRODUCT(($R$253:$R$275='ICAP Prices'!$R215)*('ICAP Prices'!$S215=$S$253:$S$275),($P$253:$P$275))</f>
        <v>15.299999999999999</v>
      </c>
      <c r="Q215" s="61" cm="1">
        <f t="array" ref="Q215">INDEX(Additions!$D:$D,SUMPRODUCT((Additions!$A:$A='ICAP Prices'!$N215)*('ICAP Prices'!$O215=Additions!$B:$B)*ROW(Additions!D:$D)),0)*SUMPRODUCT(($R$253:$R$275='ICAP Prices'!$R215)*('ICAP Prices'!$S215=$S$253:$S$275),($Q$253:$Q$275))</f>
        <v>0</v>
      </c>
      <c r="R215" s="4" t="s">
        <v>10</v>
      </c>
      <c r="S215" s="80" t="s">
        <v>16</v>
      </c>
    </row>
    <row r="216" spans="13:19" x14ac:dyDescent="0.25">
      <c r="M216" s="22"/>
      <c r="N216" s="88" t="s">
        <v>274</v>
      </c>
      <c r="O216" s="76">
        <v>2028</v>
      </c>
      <c r="P216" s="61" cm="1">
        <f t="array" ref="P216">INDEX(Additions!$C:$C,SUMPRODUCT((Additions!$A:$A='ICAP Prices'!$N216)*('ICAP Prices'!$O216=Additions!$B:$B)*ROW(Additions!$C:$C)),0)*SUMPRODUCT(($R$253:$R$275='ICAP Prices'!$R216)*('ICAP Prices'!$S216=$S$253:$S$275),($P$253:$P$275))</f>
        <v>73.884</v>
      </c>
      <c r="Q216" s="61" cm="1">
        <f t="array" ref="Q216">INDEX(Additions!$D:$D,SUMPRODUCT((Additions!$A:$A='ICAP Prices'!$N216)*('ICAP Prices'!$O216=Additions!$B:$B)*ROW(Additions!D:$D)),0)*SUMPRODUCT(($R$253:$R$275='ICAP Prices'!$R216)*('ICAP Prices'!$S216=$S$253:$S$275),($Q$253:$Q$275))</f>
        <v>0</v>
      </c>
      <c r="R216" s="76" t="s">
        <v>234</v>
      </c>
      <c r="S216" s="80" t="s">
        <v>41</v>
      </c>
    </row>
    <row r="217" spans="13:19" x14ac:dyDescent="0.25">
      <c r="M217" s="22"/>
      <c r="N217" s="88" t="s">
        <v>276</v>
      </c>
      <c r="O217" s="76">
        <v>2028</v>
      </c>
      <c r="P217" s="61" cm="1">
        <f t="array" ref="P217">INDEX(Additions!$C:$C,SUMPRODUCT((Additions!$A:$A='ICAP Prices'!$N217)*('ICAP Prices'!$O217=Additions!$B:$B)*ROW(Additions!$C:$C)),0)*SUMPRODUCT(($R$253:$R$275='ICAP Prices'!$R217)*('ICAP Prices'!$S217=$S$253:$S$275),($P$253:$P$275))</f>
        <v>0</v>
      </c>
      <c r="Q217" s="61" cm="1">
        <f t="array" ref="Q217">INDEX(Additions!$D:$D,SUMPRODUCT((Additions!$A:$A='ICAP Prices'!$N217)*('ICAP Prices'!$O217=Additions!$B:$B)*ROW(Additions!D:$D)),0)*SUMPRODUCT(($R$253:$R$275='ICAP Prices'!$R217)*('ICAP Prices'!$S217=$S$253:$S$275),($Q$253:$Q$275))</f>
        <v>15.911999999999999</v>
      </c>
      <c r="R217" s="76" t="s">
        <v>10</v>
      </c>
      <c r="S217" s="80" t="s">
        <v>16</v>
      </c>
    </row>
    <row r="218" spans="13:19" x14ac:dyDescent="0.25">
      <c r="M218" s="22"/>
      <c r="N218" s="88" t="s">
        <v>280</v>
      </c>
      <c r="O218" s="76">
        <v>2028</v>
      </c>
      <c r="P218" s="61" cm="1">
        <f t="array" ref="P218">INDEX(Additions!$C:$C,SUMPRODUCT((Additions!$A:$A='ICAP Prices'!$N218)*('ICAP Prices'!$O218=Additions!$B:$B)*ROW(Additions!$C:$C)),0)*SUMPRODUCT(($R$253:$R$275='ICAP Prices'!$R218)*('ICAP Prices'!$S218=$S$253:$S$275),($P$253:$P$275))</f>
        <v>0</v>
      </c>
      <c r="Q218" s="61" cm="1">
        <f t="array" ref="Q218">INDEX(Additions!$D:$D,SUMPRODUCT((Additions!$A:$A='ICAP Prices'!$N218)*('ICAP Prices'!$O218=Additions!$B:$B)*ROW(Additions!D:$D)),0)*SUMPRODUCT(($R$253:$R$275='ICAP Prices'!$R218)*('ICAP Prices'!$S218=$S$253:$S$275),($Q$253:$Q$275))</f>
        <v>197.27500000000001</v>
      </c>
      <c r="R218" s="76" t="s">
        <v>234</v>
      </c>
      <c r="S218" s="80" t="s">
        <v>16</v>
      </c>
    </row>
    <row r="219" spans="13:19" x14ac:dyDescent="0.25">
      <c r="M219" s="22"/>
      <c r="N219" s="88" t="s">
        <v>285</v>
      </c>
      <c r="O219" s="76">
        <v>2028</v>
      </c>
      <c r="P219" s="61" cm="1">
        <f t="array" ref="P219">INDEX(Additions!$C:$C,SUMPRODUCT((Additions!$A:$A='ICAP Prices'!$N219)*('ICAP Prices'!$O219=Additions!$B:$B)*ROW(Additions!$C:$C)),0)*SUMPRODUCT(($R$253:$R$275='ICAP Prices'!$R219)*('ICAP Prices'!$S219=$S$253:$S$275),($P$253:$P$275))</f>
        <v>49.155839999999998</v>
      </c>
      <c r="Q219" s="61" cm="1">
        <f t="array" ref="Q219">INDEX(Additions!$D:$D,SUMPRODUCT((Additions!$A:$A='ICAP Prices'!$N219)*('ICAP Prices'!$O219=Additions!$B:$B)*ROW(Additions!D:$D)),0)*SUMPRODUCT(($R$253:$R$275='ICAP Prices'!$R219)*('ICAP Prices'!$S219=$S$253:$S$275),($Q$253:$Q$275))</f>
        <v>49.155839999999998</v>
      </c>
      <c r="R219" s="76" t="s">
        <v>10</v>
      </c>
      <c r="S219" s="80" t="s">
        <v>16</v>
      </c>
    </row>
    <row r="220" spans="13:19" x14ac:dyDescent="0.25">
      <c r="M220" s="22"/>
      <c r="N220" s="88" t="s">
        <v>286</v>
      </c>
      <c r="O220" s="76">
        <v>2028</v>
      </c>
      <c r="P220" s="61" cm="1">
        <f t="array" ref="P220">INDEX(Additions!$C:$C,SUMPRODUCT((Additions!$A:$A='ICAP Prices'!$N220)*('ICAP Prices'!$O220=Additions!$B:$B)*ROW(Additions!$C:$C)),0)*SUMPRODUCT(($R$253:$R$275='ICAP Prices'!$R220)*('ICAP Prices'!$S220=$S$253:$S$275),($P$253:$P$275))</f>
        <v>0</v>
      </c>
      <c r="Q220" s="61" cm="1">
        <f t="array" ref="Q220">INDEX(Additions!$D:$D,SUMPRODUCT((Additions!$A:$A='ICAP Prices'!$N220)*('ICAP Prices'!$O220=Additions!$B:$B)*ROW(Additions!D:$D)),0)*SUMPRODUCT(($R$253:$R$275='ICAP Prices'!$R220)*('ICAP Prices'!$S220=$S$253:$S$275),($Q$253:$Q$275))</f>
        <v>24.48</v>
      </c>
      <c r="R220" s="76" t="s">
        <v>10</v>
      </c>
      <c r="S220" s="80" t="s">
        <v>16</v>
      </c>
    </row>
    <row r="221" spans="13:19" x14ac:dyDescent="0.25">
      <c r="M221" s="22"/>
      <c r="N221" s="88" t="s">
        <v>287</v>
      </c>
      <c r="O221" s="76">
        <v>2028</v>
      </c>
      <c r="P221" s="61" cm="1">
        <f t="array" ref="P221">INDEX(Additions!$C:$C,SUMPRODUCT((Additions!$A:$A='ICAP Prices'!$N221)*('ICAP Prices'!$O221=Additions!$B:$B)*ROW(Additions!$C:$C)),0)*SUMPRODUCT(($R$253:$R$275='ICAP Prices'!$R221)*('ICAP Prices'!$S221=$S$253:$S$275),($P$253:$P$275))</f>
        <v>18.917999999999999</v>
      </c>
      <c r="Q221" s="61" cm="1">
        <f t="array" ref="Q221">INDEX(Additions!$D:$D,SUMPRODUCT((Additions!$A:$A='ICAP Prices'!$N221)*('ICAP Prices'!$O221=Additions!$B:$B)*ROW(Additions!D:$D)),0)*SUMPRODUCT(($R$253:$R$275='ICAP Prices'!$R221)*('ICAP Prices'!$S221=$S$253:$S$275),($Q$253:$Q$275))</f>
        <v>0</v>
      </c>
      <c r="R221" s="76" t="s">
        <v>235</v>
      </c>
      <c r="S221" s="80" t="s">
        <v>15</v>
      </c>
    </row>
    <row r="222" spans="13:19" x14ac:dyDescent="0.25">
      <c r="M222" s="22"/>
      <c r="N222" s="88" t="s">
        <v>288</v>
      </c>
      <c r="O222" s="76">
        <v>2028</v>
      </c>
      <c r="P222" s="61" cm="1">
        <f t="array" ref="P222">INDEX(Additions!$C:$C,SUMPRODUCT((Additions!$A:$A='ICAP Prices'!$N222)*('ICAP Prices'!$O222=Additions!$B:$B)*ROW(Additions!$C:$C)),0)*SUMPRODUCT(($R$253:$R$275='ICAP Prices'!$R222)*('ICAP Prices'!$S222=$S$253:$S$275),($P$253:$P$275))</f>
        <v>0</v>
      </c>
      <c r="Q222" s="61" cm="1">
        <f t="array" ref="Q222">INDEX(Additions!$D:$D,SUMPRODUCT((Additions!$A:$A='ICAP Prices'!$N222)*('ICAP Prices'!$O222=Additions!$B:$B)*ROW(Additions!D:$D)),0)*SUMPRODUCT(($R$253:$R$275='ICAP Prices'!$R222)*('ICAP Prices'!$S222=$S$253:$S$275),($Q$253:$Q$275))</f>
        <v>12.24</v>
      </c>
      <c r="R222" s="76" t="s">
        <v>10</v>
      </c>
      <c r="S222" s="80" t="s">
        <v>16</v>
      </c>
    </row>
    <row r="223" spans="13:19" x14ac:dyDescent="0.25">
      <c r="M223" s="22"/>
      <c r="N223" s="88" t="s">
        <v>289</v>
      </c>
      <c r="O223" s="76">
        <v>2028</v>
      </c>
      <c r="P223" s="61" cm="1">
        <f t="array" ref="P223">INDEX(Additions!$C:$C,SUMPRODUCT((Additions!$A:$A='ICAP Prices'!$N223)*('ICAP Prices'!$O223=Additions!$B:$B)*ROW(Additions!$C:$C)),0)*SUMPRODUCT(($R$253:$R$275='ICAP Prices'!$R223)*('ICAP Prices'!$S223=$S$253:$S$275),($P$253:$P$275))</f>
        <v>28.755359999999996</v>
      </c>
      <c r="Q223" s="61" cm="1">
        <f t="array" ref="Q223">INDEX(Additions!$D:$D,SUMPRODUCT((Additions!$A:$A='ICAP Prices'!$N223)*('ICAP Prices'!$O223=Additions!$B:$B)*ROW(Additions!D:$D)),0)*SUMPRODUCT(($R$253:$R$275='ICAP Prices'!$R223)*('ICAP Prices'!$S223=$S$253:$S$275),($Q$253:$Q$275))</f>
        <v>0</v>
      </c>
      <c r="R223" s="76" t="s">
        <v>235</v>
      </c>
      <c r="S223" s="80" t="s">
        <v>15</v>
      </c>
    </row>
    <row r="224" spans="13:19" x14ac:dyDescent="0.25">
      <c r="M224" s="22"/>
      <c r="N224" s="88" t="s">
        <v>290</v>
      </c>
      <c r="O224" s="76">
        <v>2028</v>
      </c>
      <c r="P224" s="61" cm="1">
        <f t="array" ref="P224">INDEX(Additions!$C:$C,SUMPRODUCT((Additions!$A:$A='ICAP Prices'!$N224)*('ICAP Prices'!$O224=Additions!$B:$B)*ROW(Additions!$C:$C)),0)*SUMPRODUCT(($R$253:$R$275='ICAP Prices'!$R224)*('ICAP Prices'!$S224=$S$253:$S$275),($P$253:$P$275))</f>
        <v>0</v>
      </c>
      <c r="Q224" s="61" cm="1">
        <f t="array" ref="Q224">INDEX(Additions!$D:$D,SUMPRODUCT((Additions!$A:$A='ICAP Prices'!$N224)*('ICAP Prices'!$O224=Additions!$B:$B)*ROW(Additions!D:$D)),0)*SUMPRODUCT(($R$253:$R$275='ICAP Prices'!$R224)*('ICAP Prices'!$S224=$S$253:$S$275),($Q$253:$Q$275))</f>
        <v>161.13</v>
      </c>
      <c r="R224" s="76" t="s">
        <v>234</v>
      </c>
      <c r="S224" s="80" t="s">
        <v>41</v>
      </c>
    </row>
    <row r="225" spans="13:19" x14ac:dyDescent="0.25">
      <c r="M225" s="22"/>
      <c r="N225" s="88" t="s">
        <v>291</v>
      </c>
      <c r="O225" s="76">
        <v>2028</v>
      </c>
      <c r="P225" s="61" cm="1">
        <f t="array" ref="P225">INDEX(Additions!$C:$C,SUMPRODUCT((Additions!$A:$A='ICAP Prices'!$N225)*('ICAP Prices'!$O225=Additions!$B:$B)*ROW(Additions!$C:$C)),0)*SUMPRODUCT(($R$253:$R$275='ICAP Prices'!$R225)*('ICAP Prices'!$S225=$S$253:$S$275),($P$253:$P$275))</f>
        <v>130.65</v>
      </c>
      <c r="Q225" s="61" cm="1">
        <f t="array" ref="Q225">INDEX(Additions!$D:$D,SUMPRODUCT((Additions!$A:$A='ICAP Prices'!$N225)*('ICAP Prices'!$O225=Additions!$B:$B)*ROW(Additions!D:$D)),0)*SUMPRODUCT(($R$253:$R$275='ICAP Prices'!$R225)*('ICAP Prices'!$S225=$S$253:$S$275),($Q$253:$Q$275))</f>
        <v>0</v>
      </c>
      <c r="R225" s="76" t="s">
        <v>234</v>
      </c>
      <c r="S225" s="80" t="s">
        <v>15</v>
      </c>
    </row>
    <row r="226" spans="13:19" x14ac:dyDescent="0.25">
      <c r="M226" s="22"/>
      <c r="N226" s="88" t="s">
        <v>292</v>
      </c>
      <c r="O226" s="76">
        <v>2028</v>
      </c>
      <c r="P226" s="61" cm="1">
        <f t="array" ref="P226">INDEX(Additions!$C:$C,SUMPRODUCT((Additions!$A:$A='ICAP Prices'!$N226)*('ICAP Prices'!$O226=Additions!$B:$B)*ROW(Additions!$C:$C)),0)*SUMPRODUCT(($R$253:$R$275='ICAP Prices'!$R226)*('ICAP Prices'!$S226=$S$253:$S$275),($P$253:$P$275))</f>
        <v>12.1248</v>
      </c>
      <c r="Q226" s="61" cm="1">
        <f t="array" ref="Q226">INDEX(Additions!$D:$D,SUMPRODUCT((Additions!$A:$A='ICAP Prices'!$N226)*('ICAP Prices'!$O226=Additions!$B:$B)*ROW(Additions!D:$D)),0)*SUMPRODUCT(($R$253:$R$275='ICAP Prices'!$R226)*('ICAP Prices'!$S226=$S$253:$S$275),($Q$253:$Q$275))</f>
        <v>0</v>
      </c>
      <c r="R226" s="76" t="s">
        <v>11</v>
      </c>
      <c r="S226" s="80" t="s">
        <v>16</v>
      </c>
    </row>
    <row r="227" spans="13:19" x14ac:dyDescent="0.25">
      <c r="M227" s="22"/>
      <c r="N227" s="88" t="s">
        <v>293</v>
      </c>
      <c r="O227" s="76">
        <v>2028</v>
      </c>
      <c r="P227" s="61" cm="1">
        <f t="array" ref="P227">INDEX(Additions!$C:$C,SUMPRODUCT((Additions!$A:$A='ICAP Prices'!$N227)*('ICAP Prices'!$O227=Additions!$B:$B)*ROW(Additions!$C:$C)),0)*SUMPRODUCT(($R$253:$R$275='ICAP Prices'!$R227)*('ICAP Prices'!$S227=$S$253:$S$275),($P$253:$P$275))</f>
        <v>16.334799999999998</v>
      </c>
      <c r="Q227" s="61" cm="1">
        <f t="array" ref="Q227">INDEX(Additions!$D:$D,SUMPRODUCT((Additions!$A:$A='ICAP Prices'!$N227)*('ICAP Prices'!$O227=Additions!$B:$B)*ROW(Additions!D:$D)),0)*SUMPRODUCT(($R$253:$R$275='ICAP Prices'!$R227)*('ICAP Prices'!$S227=$S$253:$S$275),($Q$253:$Q$275))</f>
        <v>0</v>
      </c>
      <c r="R227" s="76" t="s">
        <v>11</v>
      </c>
      <c r="S227" s="80" t="s">
        <v>16</v>
      </c>
    </row>
    <row r="228" spans="13:19" x14ac:dyDescent="0.25">
      <c r="M228" s="22"/>
      <c r="N228" s="88" t="s">
        <v>295</v>
      </c>
      <c r="O228" s="76">
        <v>2028</v>
      </c>
      <c r="P228" s="61" cm="1">
        <f t="array" ref="P228">INDEX(Additions!$C:$C,SUMPRODUCT((Additions!$A:$A='ICAP Prices'!$N228)*('ICAP Prices'!$O228=Additions!$B:$B)*ROW(Additions!$C:$C)),0)*SUMPRODUCT(($R$253:$R$275='ICAP Prices'!$R228)*('ICAP Prices'!$S228=$S$253:$S$275),($P$253:$P$275))</f>
        <v>30.599999999999998</v>
      </c>
      <c r="Q228" s="61" cm="1">
        <f t="array" ref="Q228">INDEX(Additions!$D:$D,SUMPRODUCT((Additions!$A:$A='ICAP Prices'!$N228)*('ICAP Prices'!$O228=Additions!$B:$B)*ROW(Additions!D:$D)),0)*SUMPRODUCT(($R$253:$R$275='ICAP Prices'!$R228)*('ICAP Prices'!$S228=$S$253:$S$275),($Q$253:$Q$275))</f>
        <v>0</v>
      </c>
      <c r="R228" s="76" t="s">
        <v>10</v>
      </c>
      <c r="S228" s="80" t="s">
        <v>16</v>
      </c>
    </row>
    <row r="229" spans="13:19" x14ac:dyDescent="0.25">
      <c r="M229" s="22"/>
      <c r="N229" s="88" t="s">
        <v>296</v>
      </c>
      <c r="O229" s="76">
        <v>2028</v>
      </c>
      <c r="P229" s="61" cm="1">
        <f t="array" ref="P229">INDEX(Additions!$C:$C,SUMPRODUCT((Additions!$A:$A='ICAP Prices'!$N229)*('ICAP Prices'!$O229=Additions!$B:$B)*ROW(Additions!$C:$C)),0)*SUMPRODUCT(($R$253:$R$275='ICAP Prices'!$R229)*('ICAP Prices'!$S229=$S$253:$S$275),($P$253:$P$275))</f>
        <v>24.48</v>
      </c>
      <c r="Q229" s="61" cm="1">
        <f t="array" ref="Q229">INDEX(Additions!$D:$D,SUMPRODUCT((Additions!$A:$A='ICAP Prices'!$N229)*('ICAP Prices'!$O229=Additions!$B:$B)*ROW(Additions!D:$D)),0)*SUMPRODUCT(($R$253:$R$275='ICAP Prices'!$R229)*('ICAP Prices'!$S229=$S$253:$S$275),($Q$253:$Q$275))</f>
        <v>0</v>
      </c>
      <c r="R229" s="76" t="s">
        <v>10</v>
      </c>
      <c r="S229" s="80" t="s">
        <v>16</v>
      </c>
    </row>
    <row r="230" spans="13:19" x14ac:dyDescent="0.25">
      <c r="M230" s="22"/>
      <c r="N230" s="88" t="s">
        <v>297</v>
      </c>
      <c r="O230" s="76">
        <v>2028</v>
      </c>
      <c r="P230" s="61" cm="1">
        <f t="array" ref="P230">INDEX(Additions!$C:$C,SUMPRODUCT((Additions!$A:$A='ICAP Prices'!$N230)*('ICAP Prices'!$O230=Additions!$B:$B)*ROW(Additions!$C:$C)),0)*SUMPRODUCT(($R$253:$R$275='ICAP Prices'!$R230)*('ICAP Prices'!$S230=$S$253:$S$275),($P$253:$P$275))</f>
        <v>12.852</v>
      </c>
      <c r="Q230" s="61" cm="1">
        <f t="array" ref="Q230">INDEX(Additions!$D:$D,SUMPRODUCT((Additions!$A:$A='ICAP Prices'!$N230)*('ICAP Prices'!$O230=Additions!$B:$B)*ROW(Additions!D:$D)),0)*SUMPRODUCT(($R$253:$R$275='ICAP Prices'!$R230)*('ICAP Prices'!$S230=$S$253:$S$275),($Q$253:$Q$275))</f>
        <v>0</v>
      </c>
      <c r="R230" s="76" t="s">
        <v>10</v>
      </c>
      <c r="S230" s="80" t="s">
        <v>16</v>
      </c>
    </row>
    <row r="231" spans="13:19" x14ac:dyDescent="0.25">
      <c r="M231" s="22"/>
      <c r="N231" s="88" t="s">
        <v>260</v>
      </c>
      <c r="O231" s="76">
        <v>2029</v>
      </c>
      <c r="P231" s="61" cm="1">
        <f t="array" ref="P231">INDEX(Additions!$C:$C,SUMPRODUCT((Additions!$A:$A='ICAP Prices'!$N231)*('ICAP Prices'!$O231=Additions!$B:$B)*ROW(Additions!$C:$C)),0)*SUMPRODUCT(($R$253:$R$275='ICAP Prices'!$R231)*('ICAP Prices'!$S231=$S$253:$S$275),($P$253:$P$275))</f>
        <v>14.5656</v>
      </c>
      <c r="Q231" s="61" cm="1">
        <f t="array" ref="Q231">INDEX(Additions!$D:$D,SUMPRODUCT((Additions!$A:$A='ICAP Prices'!$N231)*('ICAP Prices'!$O231=Additions!$B:$B)*ROW(Additions!D:$D)),0)*SUMPRODUCT(($R$253:$R$275='ICAP Prices'!$R231)*('ICAP Prices'!$S231=$S$253:$S$275),($Q$253:$Q$275))</f>
        <v>0</v>
      </c>
      <c r="R231" s="4" t="s">
        <v>10</v>
      </c>
      <c r="S231" s="80" t="s">
        <v>16</v>
      </c>
    </row>
    <row r="232" spans="13:19" x14ac:dyDescent="0.25">
      <c r="M232" s="22"/>
      <c r="N232" s="88" t="s">
        <v>276</v>
      </c>
      <c r="O232" s="76">
        <v>2029</v>
      </c>
      <c r="P232" s="61" cm="1">
        <f t="array" ref="P232">INDEX(Additions!$C:$C,SUMPRODUCT((Additions!$A:$A='ICAP Prices'!$N232)*('ICAP Prices'!$O232=Additions!$B:$B)*ROW(Additions!$C:$C)),0)*SUMPRODUCT(($R$253:$R$275='ICAP Prices'!$R232)*('ICAP Prices'!$S232=$S$253:$S$275),($P$253:$P$275))</f>
        <v>15.911999999999999</v>
      </c>
      <c r="Q232" s="61" cm="1">
        <f t="array" ref="Q232">INDEX(Additions!$D:$D,SUMPRODUCT((Additions!$A:$A='ICAP Prices'!$N232)*('ICAP Prices'!$O232=Additions!$B:$B)*ROW(Additions!D:$D)),0)*SUMPRODUCT(($R$253:$R$275='ICAP Prices'!$R232)*('ICAP Prices'!$S232=$S$253:$S$275),($Q$253:$Q$275))</f>
        <v>0</v>
      </c>
      <c r="R232" s="76" t="s">
        <v>10</v>
      </c>
      <c r="S232" s="80" t="s">
        <v>16</v>
      </c>
    </row>
    <row r="233" spans="13:19" x14ac:dyDescent="0.25">
      <c r="M233" s="22"/>
      <c r="N233" s="88" t="s">
        <v>280</v>
      </c>
      <c r="O233" s="76">
        <v>2029</v>
      </c>
      <c r="P233" s="61" cm="1">
        <f t="array" ref="P233">INDEX(Additions!$C:$C,SUMPRODUCT((Additions!$A:$A='ICAP Prices'!$N233)*('ICAP Prices'!$O233=Additions!$B:$B)*ROW(Additions!$C:$C)),0)*SUMPRODUCT(($R$253:$R$275='ICAP Prices'!$R233)*('ICAP Prices'!$S233=$S$253:$S$275),($P$253:$P$275))</f>
        <v>197.27500000000001</v>
      </c>
      <c r="Q233" s="61" cm="1">
        <f t="array" ref="Q233">INDEX(Additions!$D:$D,SUMPRODUCT((Additions!$A:$A='ICAP Prices'!$N233)*('ICAP Prices'!$O233=Additions!$B:$B)*ROW(Additions!D:$D)),0)*SUMPRODUCT(($R$253:$R$275='ICAP Prices'!$R233)*('ICAP Prices'!$S233=$S$253:$S$275),($Q$253:$Q$275))</f>
        <v>0</v>
      </c>
      <c r="R233" s="76" t="s">
        <v>234</v>
      </c>
      <c r="S233" s="80" t="s">
        <v>16</v>
      </c>
    </row>
    <row r="234" spans="13:19" x14ac:dyDescent="0.25">
      <c r="M234" s="22"/>
      <c r="N234" s="88" t="s">
        <v>286</v>
      </c>
      <c r="O234" s="76">
        <v>2029</v>
      </c>
      <c r="P234" s="61" cm="1">
        <f t="array" ref="P234">INDEX(Additions!$C:$C,SUMPRODUCT((Additions!$A:$A='ICAP Prices'!$N234)*('ICAP Prices'!$O234=Additions!$B:$B)*ROW(Additions!$C:$C)),0)*SUMPRODUCT(($R$253:$R$275='ICAP Prices'!$R234)*('ICAP Prices'!$S234=$S$253:$S$275),($P$253:$P$275))</f>
        <v>24.48</v>
      </c>
      <c r="Q234" s="61" cm="1">
        <f t="array" ref="Q234">INDEX(Additions!$D:$D,SUMPRODUCT((Additions!$A:$A='ICAP Prices'!$N234)*('ICAP Prices'!$O234=Additions!$B:$B)*ROW(Additions!D:$D)),0)*SUMPRODUCT(($R$253:$R$275='ICAP Prices'!$R234)*('ICAP Prices'!$S234=$S$253:$S$275),($Q$253:$Q$275))</f>
        <v>0</v>
      </c>
      <c r="R234" s="76" t="s">
        <v>10</v>
      </c>
      <c r="S234" s="80" t="s">
        <v>16</v>
      </c>
    </row>
    <row r="235" spans="13:19" x14ac:dyDescent="0.25">
      <c r="M235" s="22"/>
      <c r="N235" s="88" t="s">
        <v>288</v>
      </c>
      <c r="O235" s="76">
        <v>2029</v>
      </c>
      <c r="P235" s="61" cm="1">
        <f t="array" ref="P235">INDEX(Additions!$C:$C,SUMPRODUCT((Additions!$A:$A='ICAP Prices'!$N235)*('ICAP Prices'!$O235=Additions!$B:$B)*ROW(Additions!$C:$C)),0)*SUMPRODUCT(($R$253:$R$275='ICAP Prices'!$R235)*('ICAP Prices'!$S235=$S$253:$S$275),($P$253:$P$275))</f>
        <v>12.24</v>
      </c>
      <c r="Q235" s="61" cm="1">
        <f t="array" ref="Q235">INDEX(Additions!$D:$D,SUMPRODUCT((Additions!$A:$A='ICAP Prices'!$N235)*('ICAP Prices'!$O235=Additions!$B:$B)*ROW(Additions!D:$D)),0)*SUMPRODUCT(($R$253:$R$275='ICAP Prices'!$R235)*('ICAP Prices'!$S235=$S$253:$S$275),($Q$253:$Q$275))</f>
        <v>0</v>
      </c>
      <c r="R235" s="76" t="s">
        <v>10</v>
      </c>
      <c r="S235" s="80" t="s">
        <v>16</v>
      </c>
    </row>
    <row r="236" spans="13:19" x14ac:dyDescent="0.25">
      <c r="M236" s="22"/>
      <c r="N236" s="88" t="s">
        <v>290</v>
      </c>
      <c r="O236" s="76">
        <v>2029</v>
      </c>
      <c r="P236" s="61" cm="1">
        <f t="array" ref="P236">INDEX(Additions!$C:$C,SUMPRODUCT((Additions!$A:$A='ICAP Prices'!$N236)*('ICAP Prices'!$O236=Additions!$B:$B)*ROW(Additions!$C:$C)),0)*SUMPRODUCT(($R$253:$R$275='ICAP Prices'!$R236)*('ICAP Prices'!$S236=$S$253:$S$275),($P$253:$P$275))</f>
        <v>161.13</v>
      </c>
      <c r="Q236" s="61" cm="1">
        <f t="array" ref="Q236">INDEX(Additions!$D:$D,SUMPRODUCT((Additions!$A:$A='ICAP Prices'!$N236)*('ICAP Prices'!$O236=Additions!$B:$B)*ROW(Additions!D:$D)),0)*SUMPRODUCT(($R$253:$R$275='ICAP Prices'!$R236)*('ICAP Prices'!$S236=$S$253:$S$275),($Q$253:$Q$275))</f>
        <v>0</v>
      </c>
      <c r="R236" s="76" t="s">
        <v>234</v>
      </c>
      <c r="S236" s="80" t="s">
        <v>41</v>
      </c>
    </row>
    <row r="237" spans="13:19" x14ac:dyDescent="0.25">
      <c r="N237" s="62" t="s">
        <v>99</v>
      </c>
      <c r="O237" s="60">
        <v>2023</v>
      </c>
      <c r="P237" s="60">
        <v>-37.700000000000003</v>
      </c>
      <c r="Q237" s="60">
        <v>-46.7</v>
      </c>
      <c r="R237" s="60"/>
      <c r="S237" s="22" t="s">
        <v>41</v>
      </c>
    </row>
    <row r="238" spans="13:19" x14ac:dyDescent="0.25">
      <c r="N238" s="62" t="s">
        <v>99</v>
      </c>
      <c r="O238" s="60">
        <v>2023</v>
      </c>
      <c r="P238" s="100">
        <v>-129</v>
      </c>
      <c r="Q238" s="60">
        <v>-176.9</v>
      </c>
      <c r="R238" s="60"/>
      <c r="S238" s="22" t="s">
        <v>15</v>
      </c>
    </row>
    <row r="239" spans="13:19" x14ac:dyDescent="0.25">
      <c r="N239" s="62" t="s">
        <v>99</v>
      </c>
      <c r="O239" s="60">
        <v>2024</v>
      </c>
      <c r="P239" s="100">
        <v>-52</v>
      </c>
      <c r="Q239" s="60">
        <v>-65.900000000000006</v>
      </c>
      <c r="R239" s="60"/>
      <c r="S239" s="22" t="s">
        <v>15</v>
      </c>
    </row>
    <row r="240" spans="13:19" x14ac:dyDescent="0.25">
      <c r="N240" s="62" t="s">
        <v>99</v>
      </c>
      <c r="O240" s="60">
        <v>2025</v>
      </c>
      <c r="P240" s="60">
        <v>-12.4</v>
      </c>
      <c r="Q240" s="60">
        <v>-16.100000000000001</v>
      </c>
      <c r="R240" s="60"/>
      <c r="S240" s="22" t="s">
        <v>2</v>
      </c>
    </row>
    <row r="241" spans="14:19" x14ac:dyDescent="0.25">
      <c r="N241" s="62" t="s">
        <v>99</v>
      </c>
      <c r="O241" s="60">
        <v>2025</v>
      </c>
      <c r="P241" s="60">
        <v>-100.1</v>
      </c>
      <c r="Q241" s="60">
        <v>-117.3</v>
      </c>
      <c r="R241" s="60"/>
      <c r="S241" s="22" t="s">
        <v>15</v>
      </c>
    </row>
    <row r="242" spans="14:19" x14ac:dyDescent="0.25">
      <c r="N242" s="62" t="s">
        <v>99</v>
      </c>
      <c r="O242" s="11">
        <v>2030</v>
      </c>
      <c r="P242" s="60"/>
      <c r="Q242" s="60">
        <v>-411.6</v>
      </c>
      <c r="R242" s="60"/>
      <c r="S242" s="22" t="s">
        <v>2</v>
      </c>
    </row>
    <row r="243" spans="14:19" x14ac:dyDescent="0.25">
      <c r="N243" s="62" t="s">
        <v>99</v>
      </c>
      <c r="O243" s="11">
        <v>2030</v>
      </c>
      <c r="P243" s="60"/>
      <c r="Q243" s="100">
        <v>-46</v>
      </c>
      <c r="R243" s="60"/>
      <c r="S243" s="22" t="s">
        <v>15</v>
      </c>
    </row>
    <row r="244" spans="14:19" x14ac:dyDescent="0.25">
      <c r="N244" s="62" t="s">
        <v>99</v>
      </c>
      <c r="O244" s="11">
        <v>2031</v>
      </c>
      <c r="P244" s="60">
        <v>-409.2</v>
      </c>
      <c r="Q244" s="60"/>
      <c r="R244" s="60"/>
      <c r="S244" s="22" t="s">
        <v>2</v>
      </c>
    </row>
    <row r="245" spans="14:19" x14ac:dyDescent="0.25">
      <c r="N245" s="62" t="s">
        <v>99</v>
      </c>
      <c r="O245" s="11">
        <v>2031</v>
      </c>
      <c r="P245" s="100">
        <v>-45</v>
      </c>
      <c r="Q245" s="60"/>
      <c r="R245" s="60"/>
      <c r="S245" s="22" t="s">
        <v>15</v>
      </c>
    </row>
    <row r="246" spans="14:19" x14ac:dyDescent="0.25">
      <c r="N246" s="17" t="s">
        <v>100</v>
      </c>
      <c r="O246" s="11">
        <v>2026</v>
      </c>
      <c r="P246" s="60">
        <v>-570.70000000000005</v>
      </c>
      <c r="Q246" s="60"/>
      <c r="R246" s="60"/>
      <c r="S246" s="22" t="s">
        <v>2</v>
      </c>
    </row>
    <row r="247" spans="14:19" x14ac:dyDescent="0.25">
      <c r="N247" s="62" t="s">
        <v>101</v>
      </c>
      <c r="O247" s="60">
        <v>2022</v>
      </c>
      <c r="P247" s="60">
        <v>68</v>
      </c>
      <c r="Q247" s="60">
        <v>68</v>
      </c>
      <c r="R247" s="60"/>
      <c r="S247" s="22" t="s">
        <v>16</v>
      </c>
    </row>
    <row r="248" spans="14:19" x14ac:dyDescent="0.25">
      <c r="N248" s="62" t="s">
        <v>101</v>
      </c>
      <c r="O248" s="60">
        <v>2023</v>
      </c>
      <c r="P248" s="60">
        <v>23</v>
      </c>
      <c r="Q248" s="60">
        <v>23</v>
      </c>
      <c r="R248" s="60"/>
      <c r="S248" s="22" t="s">
        <v>16</v>
      </c>
    </row>
    <row r="249" spans="14:19" ht="15.75" thickBot="1" x14ac:dyDescent="0.3">
      <c r="N249" s="62" t="s">
        <v>101</v>
      </c>
      <c r="O249" s="60">
        <v>2024</v>
      </c>
      <c r="P249" s="60">
        <v>23</v>
      </c>
      <c r="Q249" s="60">
        <v>23</v>
      </c>
      <c r="R249" s="60"/>
      <c r="S249" s="22" t="s">
        <v>16</v>
      </c>
    </row>
    <row r="250" spans="14:19" x14ac:dyDescent="0.25">
      <c r="N250" s="14" t="s">
        <v>45</v>
      </c>
      <c r="O250" s="15"/>
      <c r="P250" s="15"/>
      <c r="Q250" s="15"/>
      <c r="R250" s="15"/>
      <c r="S250" s="21"/>
    </row>
    <row r="251" spans="14:19" x14ac:dyDescent="0.25">
      <c r="N251" s="17"/>
      <c r="O251" s="11"/>
      <c r="P251" s="11"/>
      <c r="Q251" s="11"/>
      <c r="R251" s="11"/>
      <c r="S251" s="22"/>
    </row>
    <row r="252" spans="14:19" x14ac:dyDescent="0.25">
      <c r="N252" s="17" t="s">
        <v>237</v>
      </c>
      <c r="O252" s="11"/>
      <c r="P252" s="11"/>
      <c r="Q252" s="11"/>
      <c r="R252" s="11"/>
      <c r="S252" s="22"/>
    </row>
    <row r="253" spans="14:19" x14ac:dyDescent="0.25">
      <c r="N253" s="55" t="s">
        <v>226</v>
      </c>
      <c r="O253" s="56"/>
      <c r="P253" s="111">
        <v>0.3579</v>
      </c>
      <c r="Q253" s="111">
        <v>0.3579</v>
      </c>
      <c r="R253" s="112" t="s">
        <v>11</v>
      </c>
      <c r="S253" s="57" t="s">
        <v>2</v>
      </c>
    </row>
    <row r="254" spans="14:19" x14ac:dyDescent="0.25">
      <c r="N254" s="17" t="s">
        <v>226</v>
      </c>
      <c r="O254" s="11"/>
      <c r="P254" s="63">
        <v>0.3579</v>
      </c>
      <c r="Q254" s="63">
        <v>0.3579</v>
      </c>
      <c r="R254" s="90" t="s">
        <v>11</v>
      </c>
      <c r="S254" s="22" t="s">
        <v>15</v>
      </c>
    </row>
    <row r="255" spans="14:19" x14ac:dyDescent="0.25">
      <c r="N255" s="17" t="s">
        <v>227</v>
      </c>
      <c r="O255" s="11"/>
      <c r="P255" s="63">
        <v>0.16839999999999999</v>
      </c>
      <c r="Q255" s="63">
        <v>0.16839999999999999</v>
      </c>
      <c r="R255" s="90" t="s">
        <v>11</v>
      </c>
      <c r="S255" s="22" t="s">
        <v>16</v>
      </c>
    </row>
    <row r="256" spans="14:19" x14ac:dyDescent="0.25">
      <c r="N256" s="17" t="s">
        <v>228</v>
      </c>
      <c r="O256" s="11"/>
      <c r="P256" s="63">
        <v>0.12239999999999999</v>
      </c>
      <c r="Q256" s="63">
        <v>0.12239999999999999</v>
      </c>
      <c r="R256" s="90" t="s">
        <v>10</v>
      </c>
      <c r="S256" s="22" t="s">
        <v>16</v>
      </c>
    </row>
    <row r="257" spans="14:19" x14ac:dyDescent="0.25">
      <c r="N257" s="62" t="s">
        <v>228</v>
      </c>
      <c r="O257" s="11"/>
      <c r="P257" s="63">
        <v>0.12330000000000001</v>
      </c>
      <c r="Q257" s="63">
        <v>0.12330000000000001</v>
      </c>
      <c r="R257" s="91" t="s">
        <v>10</v>
      </c>
      <c r="S257" s="22" t="s">
        <v>41</v>
      </c>
    </row>
    <row r="258" spans="14:19" x14ac:dyDescent="0.25">
      <c r="N258" s="62" t="s">
        <v>228</v>
      </c>
      <c r="O258" s="11"/>
      <c r="P258" s="63">
        <v>0.1203</v>
      </c>
      <c r="Q258" s="63">
        <v>0.1203</v>
      </c>
      <c r="R258" s="91" t="s">
        <v>10</v>
      </c>
      <c r="S258" s="22" t="s">
        <v>2</v>
      </c>
    </row>
    <row r="259" spans="14:19" x14ac:dyDescent="0.25">
      <c r="N259" s="62" t="s">
        <v>228</v>
      </c>
      <c r="O259" s="11"/>
      <c r="P259" s="63">
        <v>0.10050000000000001</v>
      </c>
      <c r="Q259" s="63">
        <v>0.10050000000000001</v>
      </c>
      <c r="R259" s="91" t="s">
        <v>10</v>
      </c>
      <c r="S259" s="22" t="s">
        <v>15</v>
      </c>
    </row>
    <row r="260" spans="14:19" x14ac:dyDescent="0.25">
      <c r="N260" s="62" t="s">
        <v>229</v>
      </c>
      <c r="O260" s="11"/>
      <c r="P260" s="63">
        <v>0.74319999999999997</v>
      </c>
      <c r="Q260" s="63">
        <v>0.74319999999999997</v>
      </c>
      <c r="R260" s="91" t="s">
        <v>233</v>
      </c>
      <c r="S260" s="22" t="s">
        <v>16</v>
      </c>
    </row>
    <row r="261" spans="14:19" x14ac:dyDescent="0.25">
      <c r="N261" s="62" t="s">
        <v>229</v>
      </c>
      <c r="O261" s="11"/>
      <c r="P261" s="63">
        <v>0.73970000000000002</v>
      </c>
      <c r="Q261" s="63">
        <v>0.73970000000000002</v>
      </c>
      <c r="R261" s="91" t="s">
        <v>233</v>
      </c>
      <c r="S261" s="22" t="s">
        <v>41</v>
      </c>
    </row>
    <row r="262" spans="14:19" x14ac:dyDescent="0.25">
      <c r="N262" s="62" t="s">
        <v>229</v>
      </c>
      <c r="O262" s="11"/>
      <c r="P262" s="63">
        <v>0.64939999999999998</v>
      </c>
      <c r="Q262" s="63">
        <v>0.64939999999999998</v>
      </c>
      <c r="R262" s="91" t="s">
        <v>233</v>
      </c>
      <c r="S262" s="22" t="s">
        <v>2</v>
      </c>
    </row>
    <row r="263" spans="14:19" x14ac:dyDescent="0.25">
      <c r="N263" s="62" t="s">
        <v>229</v>
      </c>
      <c r="O263" s="11"/>
      <c r="P263" s="63">
        <v>0.52680000000000005</v>
      </c>
      <c r="Q263" s="63">
        <v>0.52680000000000005</v>
      </c>
      <c r="R263" s="91" t="s">
        <v>233</v>
      </c>
      <c r="S263" s="22" t="s">
        <v>15</v>
      </c>
    </row>
    <row r="264" spans="14:19" x14ac:dyDescent="0.25">
      <c r="N264" s="62" t="s">
        <v>230</v>
      </c>
      <c r="O264" s="11"/>
      <c r="P264" s="63">
        <v>0.78910000000000002</v>
      </c>
      <c r="Q264" s="63">
        <v>0.78910000000000002</v>
      </c>
      <c r="R264" s="91" t="s">
        <v>234</v>
      </c>
      <c r="S264" s="22" t="s">
        <v>16</v>
      </c>
    </row>
    <row r="265" spans="14:19" x14ac:dyDescent="0.25">
      <c r="N265" s="62" t="s">
        <v>230</v>
      </c>
      <c r="O265" s="11"/>
      <c r="P265" s="63">
        <v>0.78600000000000003</v>
      </c>
      <c r="Q265" s="63">
        <v>0.78600000000000003</v>
      </c>
      <c r="R265" s="91" t="s">
        <v>234</v>
      </c>
      <c r="S265" s="22" t="s">
        <v>41</v>
      </c>
    </row>
    <row r="266" spans="14:19" x14ac:dyDescent="0.25">
      <c r="N266" s="62" t="s">
        <v>230</v>
      </c>
      <c r="O266" s="11"/>
      <c r="P266" s="63">
        <v>0.7853</v>
      </c>
      <c r="Q266" s="63">
        <v>0.7853</v>
      </c>
      <c r="R266" s="91" t="s">
        <v>234</v>
      </c>
      <c r="S266" s="22" t="s">
        <v>2</v>
      </c>
    </row>
    <row r="267" spans="14:19" x14ac:dyDescent="0.25">
      <c r="N267" s="62" t="s">
        <v>230</v>
      </c>
      <c r="O267" s="11"/>
      <c r="P267" s="63">
        <v>0.871</v>
      </c>
      <c r="Q267" s="63">
        <v>0.871</v>
      </c>
      <c r="R267" s="91" t="s">
        <v>234</v>
      </c>
      <c r="S267" s="22" t="s">
        <v>15</v>
      </c>
    </row>
    <row r="268" spans="14:19" x14ac:dyDescent="0.25">
      <c r="N268" s="62" t="s">
        <v>231</v>
      </c>
      <c r="O268" s="11"/>
      <c r="P268" s="63">
        <v>0.87239999999999995</v>
      </c>
      <c r="Q268" s="63">
        <v>0.87239999999999995</v>
      </c>
      <c r="R268" s="91" t="s">
        <v>235</v>
      </c>
      <c r="S268" s="22" t="s">
        <v>16</v>
      </c>
    </row>
    <row r="269" spans="14:19" x14ac:dyDescent="0.25">
      <c r="N269" s="62" t="s">
        <v>231</v>
      </c>
      <c r="O269" s="11"/>
      <c r="P269" s="63">
        <v>0.87160000000000004</v>
      </c>
      <c r="Q269" s="63">
        <v>0.87160000000000004</v>
      </c>
      <c r="R269" s="91" t="s">
        <v>235</v>
      </c>
      <c r="S269" s="22" t="s">
        <v>41</v>
      </c>
    </row>
    <row r="270" spans="14:19" x14ac:dyDescent="0.25">
      <c r="N270" s="62" t="s">
        <v>231</v>
      </c>
      <c r="O270" s="11"/>
      <c r="P270" s="63">
        <v>0.85899999999999999</v>
      </c>
      <c r="Q270" s="63">
        <v>0.85899999999999999</v>
      </c>
      <c r="R270" s="91" t="s">
        <v>235</v>
      </c>
      <c r="S270" s="22" t="s">
        <v>2</v>
      </c>
    </row>
    <row r="271" spans="14:19" x14ac:dyDescent="0.25">
      <c r="N271" s="62" t="s">
        <v>231</v>
      </c>
      <c r="O271" s="11"/>
      <c r="P271" s="63">
        <v>0.94589999999999996</v>
      </c>
      <c r="Q271" s="63">
        <v>0.94589999999999996</v>
      </c>
      <c r="R271" s="91" t="s">
        <v>235</v>
      </c>
      <c r="S271" s="22" t="s">
        <v>15</v>
      </c>
    </row>
    <row r="272" spans="14:19" x14ac:dyDescent="0.25">
      <c r="N272" s="62" t="s">
        <v>232</v>
      </c>
      <c r="O272" s="11"/>
      <c r="P272" s="63">
        <v>0.9677</v>
      </c>
      <c r="Q272" s="63">
        <v>0.9677</v>
      </c>
      <c r="R272" s="91" t="s">
        <v>236</v>
      </c>
      <c r="S272" s="22" t="s">
        <v>16</v>
      </c>
    </row>
    <row r="273" spans="14:19" x14ac:dyDescent="0.25">
      <c r="N273" s="62" t="s">
        <v>232</v>
      </c>
      <c r="O273" s="11"/>
      <c r="P273" s="63">
        <v>0.96399999999999997</v>
      </c>
      <c r="Q273" s="63">
        <v>0.96399999999999997</v>
      </c>
      <c r="R273" s="91" t="s">
        <v>236</v>
      </c>
      <c r="S273" s="22" t="s">
        <v>41</v>
      </c>
    </row>
    <row r="274" spans="14:19" x14ac:dyDescent="0.25">
      <c r="N274" s="62" t="s">
        <v>232</v>
      </c>
      <c r="O274" s="11"/>
      <c r="P274" s="63">
        <v>0.96120000000000005</v>
      </c>
      <c r="Q274" s="63">
        <v>0.96120000000000005</v>
      </c>
      <c r="R274" s="91" t="s">
        <v>236</v>
      </c>
      <c r="S274" s="22" t="s">
        <v>2</v>
      </c>
    </row>
    <row r="275" spans="14:19" ht="15.75" thickBot="1" x14ac:dyDescent="0.3">
      <c r="N275" s="98" t="s">
        <v>232</v>
      </c>
      <c r="O275" s="92"/>
      <c r="P275" s="109">
        <v>0.98960000000000004</v>
      </c>
      <c r="Q275" s="109">
        <v>0.98960000000000004</v>
      </c>
      <c r="R275" s="93" t="s">
        <v>236</v>
      </c>
      <c r="S275" s="108" t="s">
        <v>15</v>
      </c>
    </row>
    <row r="276" spans="14:19" x14ac:dyDescent="0.25">
      <c r="N276" s="11"/>
    </row>
    <row r="277" spans="14:19" x14ac:dyDescent="0.25">
      <c r="N277" s="11"/>
    </row>
    <row r="278" spans="14:19" x14ac:dyDescent="0.25">
      <c r="N278" s="11"/>
    </row>
    <row r="279" spans="14:19" x14ac:dyDescent="0.25">
      <c r="N279" s="11"/>
    </row>
    <row r="280" spans="14:19" x14ac:dyDescent="0.25">
      <c r="N280" s="11"/>
    </row>
    <row r="281" spans="14:19" x14ac:dyDescent="0.25">
      <c r="N281" s="11"/>
    </row>
    <row r="282" spans="14:19" x14ac:dyDescent="0.25">
      <c r="N282" s="11"/>
    </row>
    <row r="283" spans="14:19" x14ac:dyDescent="0.25">
      <c r="N283" s="11"/>
    </row>
    <row r="284" spans="14:19" x14ac:dyDescent="0.25">
      <c r="N284" s="11"/>
    </row>
    <row r="285" spans="14:19" x14ac:dyDescent="0.25">
      <c r="N285" s="11"/>
    </row>
    <row r="286" spans="14:19" x14ac:dyDescent="0.25">
      <c r="N286" s="11"/>
    </row>
    <row r="287" spans="14:19" x14ac:dyDescent="0.25">
      <c r="N287" s="11"/>
    </row>
    <row r="288" spans="14:19" x14ac:dyDescent="0.25">
      <c r="N288" s="11"/>
    </row>
    <row r="289" spans="14:14" x14ac:dyDescent="0.25">
      <c r="N289" s="11"/>
    </row>
    <row r="290" spans="14:14" x14ac:dyDescent="0.25">
      <c r="N290" s="11"/>
    </row>
    <row r="291" spans="14:14" x14ac:dyDescent="0.25">
      <c r="N291" s="11"/>
    </row>
    <row r="292" spans="14:14" x14ac:dyDescent="0.25">
      <c r="N292" s="11"/>
    </row>
    <row r="293" spans="14:14" x14ac:dyDescent="0.25">
      <c r="N293" s="11"/>
    </row>
    <row r="294" spans="14:14" x14ac:dyDescent="0.25">
      <c r="N294" s="11"/>
    </row>
    <row r="295" spans="14:14" x14ac:dyDescent="0.25">
      <c r="N295" s="11"/>
    </row>
    <row r="296" spans="14:14" x14ac:dyDescent="0.25">
      <c r="N296" s="11"/>
    </row>
    <row r="297" spans="14:14" x14ac:dyDescent="0.25">
      <c r="N297" s="11"/>
    </row>
    <row r="298" spans="14:14" x14ac:dyDescent="0.25">
      <c r="N298" s="11"/>
    </row>
    <row r="299" spans="14:14" x14ac:dyDescent="0.25">
      <c r="N299" s="11"/>
    </row>
    <row r="300" spans="14:14" x14ac:dyDescent="0.25">
      <c r="N300" s="11"/>
    </row>
    <row r="301" spans="14:14" x14ac:dyDescent="0.25">
      <c r="N301" s="11"/>
    </row>
    <row r="302" spans="14:14" x14ac:dyDescent="0.25">
      <c r="N302" s="11"/>
    </row>
    <row r="303" spans="14:14" x14ac:dyDescent="0.25">
      <c r="N303" s="11"/>
    </row>
    <row r="304" spans="14:14" x14ac:dyDescent="0.25">
      <c r="N304" s="11"/>
    </row>
    <row r="305" spans="14:14" x14ac:dyDescent="0.25">
      <c r="N305" s="11"/>
    </row>
    <row r="306" spans="14:14" x14ac:dyDescent="0.25">
      <c r="N306" s="11"/>
    </row>
    <row r="307" spans="14:14" x14ac:dyDescent="0.25">
      <c r="N307" s="11"/>
    </row>
    <row r="308" spans="14:14" x14ac:dyDescent="0.25">
      <c r="N308" s="11"/>
    </row>
    <row r="309" spans="14:14" x14ac:dyDescent="0.25">
      <c r="N309" s="11"/>
    </row>
    <row r="310" spans="14:14" x14ac:dyDescent="0.25">
      <c r="N310" s="11"/>
    </row>
    <row r="311" spans="14:14" x14ac:dyDescent="0.25">
      <c r="N311" s="11"/>
    </row>
    <row r="312" spans="14:14" x14ac:dyDescent="0.25">
      <c r="N312" s="11"/>
    </row>
    <row r="313" spans="14:14" x14ac:dyDescent="0.25">
      <c r="N313" s="11"/>
    </row>
    <row r="314" spans="14:14" x14ac:dyDescent="0.25">
      <c r="N314" s="11"/>
    </row>
    <row r="315" spans="14:14" x14ac:dyDescent="0.25">
      <c r="N315" s="11"/>
    </row>
    <row r="316" spans="14:14" x14ac:dyDescent="0.25">
      <c r="N316" s="11"/>
    </row>
    <row r="317" spans="14:14" x14ac:dyDescent="0.25">
      <c r="N317" s="11"/>
    </row>
    <row r="318" spans="14:14" x14ac:dyDescent="0.25">
      <c r="N318" s="11"/>
    </row>
    <row r="319" spans="14:14" x14ac:dyDescent="0.25">
      <c r="N319" s="11"/>
    </row>
    <row r="320" spans="14:14" x14ac:dyDescent="0.25">
      <c r="N320" s="11"/>
    </row>
    <row r="321" spans="14:14" x14ac:dyDescent="0.25">
      <c r="N321" s="11"/>
    </row>
    <row r="322" spans="14:14" x14ac:dyDescent="0.25">
      <c r="N322" s="11"/>
    </row>
    <row r="323" spans="14:14" x14ac:dyDescent="0.25">
      <c r="N323" s="11"/>
    </row>
    <row r="324" spans="14:14" x14ac:dyDescent="0.25">
      <c r="N324" s="11"/>
    </row>
    <row r="325" spans="14:14" x14ac:dyDescent="0.25">
      <c r="N325" s="11"/>
    </row>
    <row r="326" spans="14:14" x14ac:dyDescent="0.25">
      <c r="N326" s="11"/>
    </row>
    <row r="327" spans="14:14" x14ac:dyDescent="0.25">
      <c r="N327" s="11"/>
    </row>
    <row r="328" spans="14:14" x14ac:dyDescent="0.25">
      <c r="N328" s="11"/>
    </row>
    <row r="329" spans="14:14" x14ac:dyDescent="0.25">
      <c r="N329" s="11"/>
    </row>
    <row r="330" spans="14:14" x14ac:dyDescent="0.25">
      <c r="N330" s="11"/>
    </row>
    <row r="331" spans="14:14" x14ac:dyDescent="0.25">
      <c r="N331" s="11"/>
    </row>
    <row r="332" spans="14:14" x14ac:dyDescent="0.25">
      <c r="N332" s="11"/>
    </row>
    <row r="333" spans="14:14" x14ac:dyDescent="0.25">
      <c r="N333" s="11"/>
    </row>
    <row r="334" spans="14:14" x14ac:dyDescent="0.25">
      <c r="N334" s="11"/>
    </row>
    <row r="335" spans="14:14" x14ac:dyDescent="0.25">
      <c r="N335" s="11"/>
    </row>
    <row r="336" spans="14:14" x14ac:dyDescent="0.25">
      <c r="N336" s="11"/>
    </row>
    <row r="337" spans="14:14" x14ac:dyDescent="0.25">
      <c r="N337" s="11"/>
    </row>
    <row r="338" spans="14:14" x14ac:dyDescent="0.25">
      <c r="N338" s="11"/>
    </row>
    <row r="339" spans="14:14" x14ac:dyDescent="0.25">
      <c r="N339" s="11"/>
    </row>
    <row r="340" spans="14:14" x14ac:dyDescent="0.25">
      <c r="N340" s="11"/>
    </row>
    <row r="341" spans="14:14" x14ac:dyDescent="0.25">
      <c r="N341" s="11"/>
    </row>
    <row r="342" spans="14:14" x14ac:dyDescent="0.25">
      <c r="N342" s="11"/>
    </row>
    <row r="343" spans="14:14" x14ac:dyDescent="0.25">
      <c r="N343" s="11"/>
    </row>
    <row r="344" spans="14:14" x14ac:dyDescent="0.25">
      <c r="N344" s="11"/>
    </row>
    <row r="345" spans="14:14" x14ac:dyDescent="0.25">
      <c r="N345" s="11"/>
    </row>
    <row r="346" spans="14:14" x14ac:dyDescent="0.25">
      <c r="N346" s="11"/>
    </row>
    <row r="347" spans="14:14" x14ac:dyDescent="0.25">
      <c r="N347" s="11"/>
    </row>
    <row r="348" spans="14:14" x14ac:dyDescent="0.25">
      <c r="N348" s="11"/>
    </row>
    <row r="349" spans="14:14" x14ac:dyDescent="0.25">
      <c r="N349" s="11"/>
    </row>
    <row r="350" spans="14:14" x14ac:dyDescent="0.25">
      <c r="N350" s="11"/>
    </row>
    <row r="351" spans="14:14" x14ac:dyDescent="0.25">
      <c r="N351" s="11"/>
    </row>
    <row r="352" spans="14:14" x14ac:dyDescent="0.25">
      <c r="N352" s="11"/>
    </row>
    <row r="353" spans="14:14" x14ac:dyDescent="0.25">
      <c r="N353" s="11"/>
    </row>
    <row r="354" spans="14:14" x14ac:dyDescent="0.25">
      <c r="N354" s="11"/>
    </row>
    <row r="355" spans="14:14" x14ac:dyDescent="0.25">
      <c r="N355" s="11"/>
    </row>
    <row r="356" spans="14:14" x14ac:dyDescent="0.25">
      <c r="N356" s="11"/>
    </row>
    <row r="357" spans="14:14" x14ac:dyDescent="0.25">
      <c r="N357" s="11"/>
    </row>
  </sheetData>
  <phoneticPr fontId="24" type="noConversion"/>
  <pageMargins left="0.7" right="0.7" top="0.75" bottom="0.75" header="0.3" footer="0.3"/>
  <pageSetup scale="42" fitToHeight="2" pageOrder="overThenDown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Button1_Click">
                <anchor moveWithCells="1">
                  <from>
                    <xdr:col>13</xdr:col>
                    <xdr:colOff>457200</xdr:colOff>
                    <xdr:row>1</xdr:row>
                    <xdr:rowOff>123825</xdr:rowOff>
                  </from>
                  <to>
                    <xdr:col>13</xdr:col>
                    <xdr:colOff>1076325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70"/>
  <sheetViews>
    <sheetView zoomScale="80" zoomScaleNormal="80" workbookViewId="0"/>
  </sheetViews>
  <sheetFormatPr defaultRowHeight="15" x14ac:dyDescent="0.25"/>
  <cols>
    <col min="1" max="1" width="38.85546875" style="4" bestFit="1" customWidth="1"/>
    <col min="2" max="2" width="9.140625" style="4"/>
    <col min="3" max="4" width="10.140625" style="113" bestFit="1" customWidth="1"/>
    <col min="5" max="6" width="9.140625" style="4"/>
    <col min="8" max="16384" width="9.140625" style="4"/>
  </cols>
  <sheetData>
    <row r="1" spans="1:7" x14ac:dyDescent="0.25">
      <c r="A1" s="86" t="s">
        <v>128</v>
      </c>
    </row>
    <row r="3" spans="1:7" x14ac:dyDescent="0.25">
      <c r="A3" s="86" t="s">
        <v>105</v>
      </c>
      <c r="B3" s="87" t="s">
        <v>42</v>
      </c>
      <c r="C3" s="114" t="s">
        <v>130</v>
      </c>
      <c r="D3" s="114" t="s">
        <v>104</v>
      </c>
      <c r="E3" s="87" t="s">
        <v>203</v>
      </c>
      <c r="F3" s="87" t="s">
        <v>12</v>
      </c>
    </row>
    <row r="4" spans="1:7" x14ac:dyDescent="0.25">
      <c r="A4" s="88" t="s">
        <v>142</v>
      </c>
      <c r="B4" s="76">
        <v>2025</v>
      </c>
      <c r="C4" s="115">
        <v>0</v>
      </c>
      <c r="D4" s="115">
        <v>20</v>
      </c>
      <c r="E4" s="4" t="s">
        <v>10</v>
      </c>
      <c r="F4" s="76" t="s">
        <v>16</v>
      </c>
    </row>
    <row r="5" spans="1:7" x14ac:dyDescent="0.25">
      <c r="A5" s="88" t="s">
        <v>256</v>
      </c>
      <c r="B5" s="76">
        <v>2025</v>
      </c>
      <c r="C5" s="115">
        <v>20</v>
      </c>
      <c r="D5" s="115">
        <v>20</v>
      </c>
      <c r="E5" s="4" t="s">
        <v>10</v>
      </c>
      <c r="F5" s="76" t="s">
        <v>41</v>
      </c>
      <c r="G5" s="110"/>
    </row>
    <row r="6" spans="1:7" x14ac:dyDescent="0.25">
      <c r="A6" s="88" t="s">
        <v>303</v>
      </c>
      <c r="B6" s="76">
        <v>2025</v>
      </c>
      <c r="C6" s="115">
        <v>10</v>
      </c>
      <c r="D6" s="115">
        <v>10</v>
      </c>
      <c r="E6" s="4" t="s">
        <v>10</v>
      </c>
      <c r="F6" s="76" t="s">
        <v>41</v>
      </c>
      <c r="G6" s="110"/>
    </row>
    <row r="7" spans="1:7" x14ac:dyDescent="0.25">
      <c r="A7" s="88" t="s">
        <v>114</v>
      </c>
      <c r="B7" s="76">
        <v>2025</v>
      </c>
      <c r="C7" s="115">
        <v>20</v>
      </c>
      <c r="D7" s="115">
        <v>20</v>
      </c>
      <c r="E7" s="4" t="s">
        <v>10</v>
      </c>
      <c r="F7" s="76" t="s">
        <v>16</v>
      </c>
      <c r="G7" s="110"/>
    </row>
    <row r="8" spans="1:7" x14ac:dyDescent="0.25">
      <c r="A8" s="88" t="s">
        <v>264</v>
      </c>
      <c r="B8" s="76">
        <v>2025</v>
      </c>
      <c r="C8" s="115">
        <v>0</v>
      </c>
      <c r="D8" s="115">
        <v>150</v>
      </c>
      <c r="E8" s="4" t="s">
        <v>233</v>
      </c>
      <c r="F8" s="76" t="s">
        <v>16</v>
      </c>
      <c r="G8" s="110"/>
    </row>
    <row r="9" spans="1:7" x14ac:dyDescent="0.25">
      <c r="A9" s="88" t="s">
        <v>194</v>
      </c>
      <c r="B9" s="76">
        <v>2025</v>
      </c>
      <c r="C9" s="115">
        <v>0</v>
      </c>
      <c r="D9" s="115">
        <v>15</v>
      </c>
      <c r="E9" s="4" t="s">
        <v>234</v>
      </c>
      <c r="F9" s="76" t="s">
        <v>2</v>
      </c>
      <c r="G9" s="110"/>
    </row>
    <row r="10" spans="1:7" x14ac:dyDescent="0.25">
      <c r="A10" s="88" t="s">
        <v>195</v>
      </c>
      <c r="B10" s="76">
        <v>2025</v>
      </c>
      <c r="C10" s="115">
        <v>20</v>
      </c>
      <c r="D10" s="115">
        <v>20</v>
      </c>
      <c r="E10" s="76" t="s">
        <v>10</v>
      </c>
      <c r="F10" s="76" t="s">
        <v>16</v>
      </c>
      <c r="G10" s="110"/>
    </row>
    <row r="11" spans="1:7" x14ac:dyDescent="0.25">
      <c r="A11" s="88" t="s">
        <v>146</v>
      </c>
      <c r="B11" s="76">
        <v>2025</v>
      </c>
      <c r="C11" s="115">
        <v>20</v>
      </c>
      <c r="D11" s="115">
        <v>20</v>
      </c>
      <c r="E11" s="76" t="s">
        <v>10</v>
      </c>
      <c r="F11" s="76" t="s">
        <v>16</v>
      </c>
      <c r="G11" s="110"/>
    </row>
    <row r="12" spans="1:7" x14ac:dyDescent="0.25">
      <c r="A12" s="88" t="s">
        <v>182</v>
      </c>
      <c r="B12" s="76">
        <v>2025</v>
      </c>
      <c r="C12" s="115">
        <v>0</v>
      </c>
      <c r="D12" s="115">
        <v>20</v>
      </c>
      <c r="E12" s="76" t="s">
        <v>10</v>
      </c>
      <c r="F12" s="76" t="s">
        <v>16</v>
      </c>
      <c r="G12" s="110"/>
    </row>
    <row r="13" spans="1:7" x14ac:dyDescent="0.25">
      <c r="A13" s="88" t="s">
        <v>198</v>
      </c>
      <c r="B13" s="76">
        <v>2025</v>
      </c>
      <c r="C13" s="115">
        <v>0</v>
      </c>
      <c r="D13" s="115">
        <v>20</v>
      </c>
      <c r="E13" s="76" t="s">
        <v>10</v>
      </c>
      <c r="F13" s="76" t="s">
        <v>16</v>
      </c>
      <c r="G13" s="110"/>
    </row>
    <row r="14" spans="1:7" x14ac:dyDescent="0.25">
      <c r="A14" s="88" t="s">
        <v>199</v>
      </c>
      <c r="B14" s="76">
        <v>2025</v>
      </c>
      <c r="C14" s="115">
        <v>0</v>
      </c>
      <c r="D14" s="115">
        <v>20</v>
      </c>
      <c r="E14" s="76" t="s">
        <v>10</v>
      </c>
      <c r="F14" s="76" t="s">
        <v>16</v>
      </c>
      <c r="G14" s="110"/>
    </row>
    <row r="15" spans="1:7" x14ac:dyDescent="0.25">
      <c r="A15" s="88" t="s">
        <v>271</v>
      </c>
      <c r="B15" s="76">
        <v>2025</v>
      </c>
      <c r="C15" s="115">
        <v>20</v>
      </c>
      <c r="D15" s="115">
        <v>20</v>
      </c>
      <c r="E15" s="76" t="s">
        <v>10</v>
      </c>
      <c r="F15" s="76" t="s">
        <v>16</v>
      </c>
      <c r="G15" s="110"/>
    </row>
    <row r="16" spans="1:7" x14ac:dyDescent="0.25">
      <c r="A16" s="88" t="s">
        <v>200</v>
      </c>
      <c r="B16" s="76">
        <v>2025</v>
      </c>
      <c r="C16" s="115">
        <v>0</v>
      </c>
      <c r="D16" s="115">
        <v>20</v>
      </c>
      <c r="E16" s="76" t="s">
        <v>10</v>
      </c>
      <c r="F16" s="76" t="s">
        <v>16</v>
      </c>
      <c r="G16" s="110"/>
    </row>
    <row r="17" spans="1:7" x14ac:dyDescent="0.25">
      <c r="A17" s="88" t="s">
        <v>279</v>
      </c>
      <c r="B17" s="76">
        <v>2025</v>
      </c>
      <c r="C17" s="115">
        <v>0</v>
      </c>
      <c r="D17" s="115">
        <v>160</v>
      </c>
      <c r="E17" s="76" t="s">
        <v>10</v>
      </c>
      <c r="F17" s="76" t="s">
        <v>16</v>
      </c>
      <c r="G17" s="110"/>
    </row>
    <row r="18" spans="1:7" x14ac:dyDescent="0.25">
      <c r="A18" s="88" t="s">
        <v>281</v>
      </c>
      <c r="B18" s="76">
        <v>2025</v>
      </c>
      <c r="C18" s="115">
        <v>0</v>
      </c>
      <c r="D18" s="115">
        <v>0</v>
      </c>
      <c r="E18" s="76" t="s">
        <v>10</v>
      </c>
      <c r="F18" s="76" t="s">
        <v>16</v>
      </c>
      <c r="G18" s="110"/>
    </row>
    <row r="19" spans="1:7" x14ac:dyDescent="0.25">
      <c r="A19" s="88" t="s">
        <v>283</v>
      </c>
      <c r="B19" s="76">
        <v>2025</v>
      </c>
      <c r="C19" s="115">
        <v>0</v>
      </c>
      <c r="D19" s="115">
        <v>20</v>
      </c>
      <c r="E19" s="76" t="s">
        <v>10</v>
      </c>
      <c r="F19" s="76" t="s">
        <v>16</v>
      </c>
      <c r="G19" s="110"/>
    </row>
    <row r="20" spans="1:7" x14ac:dyDescent="0.25">
      <c r="A20" s="89" t="s">
        <v>132</v>
      </c>
      <c r="C20" s="116">
        <f>SUM(C4:C19)</f>
        <v>110</v>
      </c>
      <c r="D20" s="116">
        <f>SUM(D4:D19)</f>
        <v>555</v>
      </c>
    </row>
    <row r="21" spans="1:7" x14ac:dyDescent="0.25">
      <c r="A21" s="89"/>
      <c r="C21" s="116"/>
      <c r="D21" s="116"/>
    </row>
    <row r="22" spans="1:7" x14ac:dyDescent="0.25">
      <c r="A22" s="88" t="s">
        <v>142</v>
      </c>
      <c r="B22" s="76">
        <v>2026</v>
      </c>
      <c r="C22" s="115">
        <v>20</v>
      </c>
      <c r="D22" s="113">
        <v>0</v>
      </c>
      <c r="E22" s="4" t="s">
        <v>10</v>
      </c>
      <c r="F22" s="76" t="s">
        <v>16</v>
      </c>
      <c r="G22" s="110"/>
    </row>
    <row r="23" spans="1:7" x14ac:dyDescent="0.25">
      <c r="A23" s="88" t="s">
        <v>182</v>
      </c>
      <c r="B23" s="76">
        <v>2026</v>
      </c>
      <c r="C23" s="115">
        <v>20</v>
      </c>
      <c r="D23" s="113">
        <v>0</v>
      </c>
      <c r="E23" s="76" t="s">
        <v>10</v>
      </c>
      <c r="F23" s="76" t="s">
        <v>16</v>
      </c>
      <c r="G23" s="110"/>
    </row>
    <row r="24" spans="1:7" x14ac:dyDescent="0.25">
      <c r="A24" s="88" t="s">
        <v>123</v>
      </c>
      <c r="B24" s="76">
        <v>2026</v>
      </c>
      <c r="C24" s="115">
        <v>90</v>
      </c>
      <c r="D24" s="115">
        <v>90</v>
      </c>
      <c r="E24" s="4" t="s">
        <v>10</v>
      </c>
      <c r="F24" s="76" t="s">
        <v>16</v>
      </c>
    </row>
    <row r="25" spans="1:7" x14ac:dyDescent="0.25">
      <c r="A25" s="88" t="s">
        <v>166</v>
      </c>
      <c r="B25" s="76">
        <v>2026</v>
      </c>
      <c r="C25" s="115">
        <v>0</v>
      </c>
      <c r="D25" s="115">
        <v>449</v>
      </c>
      <c r="E25" s="4" t="s">
        <v>11</v>
      </c>
      <c r="F25" s="76" t="s">
        <v>16</v>
      </c>
      <c r="G25" s="110"/>
    </row>
    <row r="26" spans="1:7" x14ac:dyDescent="0.25">
      <c r="A26" s="88" t="s">
        <v>167</v>
      </c>
      <c r="B26" s="76">
        <v>2026</v>
      </c>
      <c r="C26" s="115">
        <v>0</v>
      </c>
      <c r="D26" s="115">
        <v>200.1</v>
      </c>
      <c r="E26" s="4" t="s">
        <v>11</v>
      </c>
      <c r="F26" s="76" t="s">
        <v>16</v>
      </c>
      <c r="G26" s="110"/>
    </row>
    <row r="27" spans="1:7" x14ac:dyDescent="0.25">
      <c r="A27" s="88" t="s">
        <v>145</v>
      </c>
      <c r="B27" s="76">
        <v>2026</v>
      </c>
      <c r="C27" s="115">
        <v>0</v>
      </c>
      <c r="D27" s="115">
        <v>20</v>
      </c>
      <c r="E27" s="4" t="s">
        <v>10</v>
      </c>
      <c r="F27" s="76" t="s">
        <v>16</v>
      </c>
      <c r="G27" s="110"/>
    </row>
    <row r="28" spans="1:7" x14ac:dyDescent="0.25">
      <c r="A28" s="88" t="s">
        <v>135</v>
      </c>
      <c r="B28" s="76">
        <v>2026</v>
      </c>
      <c r="C28" s="115">
        <v>20</v>
      </c>
      <c r="D28" s="115">
        <v>20</v>
      </c>
      <c r="E28" s="4" t="s">
        <v>10</v>
      </c>
      <c r="F28" s="76" t="s">
        <v>16</v>
      </c>
      <c r="G28" s="110"/>
    </row>
    <row r="29" spans="1:7" x14ac:dyDescent="0.25">
      <c r="A29" s="88" t="s">
        <v>143</v>
      </c>
      <c r="B29" s="76">
        <v>2026</v>
      </c>
      <c r="C29" s="115">
        <v>0</v>
      </c>
      <c r="D29" s="115">
        <v>20</v>
      </c>
      <c r="E29" s="4" t="s">
        <v>10</v>
      </c>
      <c r="F29" s="76" t="s">
        <v>16</v>
      </c>
      <c r="G29" s="110"/>
    </row>
    <row r="30" spans="1:7" x14ac:dyDescent="0.25">
      <c r="A30" s="88" t="s">
        <v>140</v>
      </c>
      <c r="B30" s="76">
        <v>2026</v>
      </c>
      <c r="C30" s="115">
        <v>0</v>
      </c>
      <c r="D30" s="115">
        <v>18</v>
      </c>
      <c r="E30" s="4" t="s">
        <v>10</v>
      </c>
      <c r="F30" s="76" t="s">
        <v>16</v>
      </c>
      <c r="G30" s="110"/>
    </row>
    <row r="31" spans="1:7" x14ac:dyDescent="0.25">
      <c r="A31" s="88" t="s">
        <v>141</v>
      </c>
      <c r="B31" s="76">
        <v>2026</v>
      </c>
      <c r="C31" s="115">
        <v>0</v>
      </c>
      <c r="D31" s="115">
        <v>20</v>
      </c>
      <c r="E31" s="4" t="s">
        <v>10</v>
      </c>
      <c r="F31" s="76" t="s">
        <v>16</v>
      </c>
      <c r="G31" s="110"/>
    </row>
    <row r="32" spans="1:7" x14ac:dyDescent="0.25">
      <c r="A32" s="88" t="s">
        <v>121</v>
      </c>
      <c r="B32" s="76">
        <v>2026</v>
      </c>
      <c r="C32" s="115">
        <v>0</v>
      </c>
      <c r="D32" s="115">
        <v>339.1</v>
      </c>
      <c r="E32" s="4" t="s">
        <v>11</v>
      </c>
      <c r="F32" s="76" t="s">
        <v>16</v>
      </c>
      <c r="G32" s="110"/>
    </row>
    <row r="33" spans="1:7" x14ac:dyDescent="0.25">
      <c r="A33" s="88" t="s">
        <v>117</v>
      </c>
      <c r="B33" s="76">
        <v>2026</v>
      </c>
      <c r="C33" s="115">
        <v>100</v>
      </c>
      <c r="D33" s="115">
        <v>100</v>
      </c>
      <c r="E33" s="4" t="s">
        <v>10</v>
      </c>
      <c r="F33" s="76" t="s">
        <v>41</v>
      </c>
      <c r="G33" s="110"/>
    </row>
    <row r="34" spans="1:7" x14ac:dyDescent="0.25">
      <c r="A34" s="88" t="s">
        <v>120</v>
      </c>
      <c r="B34" s="76">
        <v>2026</v>
      </c>
      <c r="C34" s="115">
        <v>0</v>
      </c>
      <c r="D34" s="115">
        <v>100.8</v>
      </c>
      <c r="E34" s="4" t="s">
        <v>11</v>
      </c>
      <c r="F34" s="76" t="s">
        <v>16</v>
      </c>
      <c r="G34" s="110"/>
    </row>
    <row r="35" spans="1:7" x14ac:dyDescent="0.25">
      <c r="A35" s="88" t="s">
        <v>111</v>
      </c>
      <c r="B35" s="76">
        <v>2026</v>
      </c>
      <c r="C35" s="115">
        <v>0</v>
      </c>
      <c r="D35" s="115">
        <v>280</v>
      </c>
      <c r="E35" s="4" t="s">
        <v>10</v>
      </c>
      <c r="F35" s="76" t="s">
        <v>16</v>
      </c>
      <c r="G35" s="110"/>
    </row>
    <row r="36" spans="1:7" x14ac:dyDescent="0.25">
      <c r="A36" s="88" t="s">
        <v>192</v>
      </c>
      <c r="B36" s="76">
        <v>2026</v>
      </c>
      <c r="C36" s="115">
        <v>0</v>
      </c>
      <c r="D36" s="115">
        <v>20</v>
      </c>
      <c r="E36" s="4" t="s">
        <v>10</v>
      </c>
      <c r="F36" s="76" t="s">
        <v>16</v>
      </c>
      <c r="G36" s="110"/>
    </row>
    <row r="37" spans="1:7" x14ac:dyDescent="0.25">
      <c r="A37" s="88" t="s">
        <v>259</v>
      </c>
      <c r="B37" s="76">
        <v>2026</v>
      </c>
      <c r="C37" s="115">
        <v>0</v>
      </c>
      <c r="D37" s="115">
        <v>816</v>
      </c>
      <c r="E37" s="4" t="s">
        <v>11</v>
      </c>
      <c r="F37" s="76" t="s">
        <v>2</v>
      </c>
      <c r="G37" s="110"/>
    </row>
    <row r="38" spans="1:7" x14ac:dyDescent="0.25">
      <c r="A38" s="88" t="s">
        <v>188</v>
      </c>
      <c r="B38" s="76">
        <v>2026</v>
      </c>
      <c r="C38" s="115">
        <v>880</v>
      </c>
      <c r="D38" s="115">
        <v>880</v>
      </c>
      <c r="E38" s="4" t="s">
        <v>11</v>
      </c>
      <c r="F38" s="76" t="s">
        <v>15</v>
      </c>
      <c r="G38" s="110"/>
    </row>
    <row r="39" spans="1:7" x14ac:dyDescent="0.25">
      <c r="A39" s="88" t="s">
        <v>264</v>
      </c>
      <c r="B39" s="76">
        <v>2026</v>
      </c>
      <c r="C39" s="115">
        <v>150</v>
      </c>
      <c r="D39" s="113">
        <v>0</v>
      </c>
      <c r="E39" s="4" t="s">
        <v>233</v>
      </c>
      <c r="F39" s="76" t="s">
        <v>16</v>
      </c>
      <c r="G39" s="4"/>
    </row>
    <row r="40" spans="1:7" x14ac:dyDescent="0.25">
      <c r="A40" s="88" t="s">
        <v>202</v>
      </c>
      <c r="B40" s="76">
        <v>2026</v>
      </c>
      <c r="C40" s="115">
        <v>0</v>
      </c>
      <c r="D40" s="115">
        <v>20</v>
      </c>
      <c r="E40" s="4" t="s">
        <v>234</v>
      </c>
      <c r="F40" s="76" t="s">
        <v>16</v>
      </c>
      <c r="G40" s="4"/>
    </row>
    <row r="41" spans="1:7" x14ac:dyDescent="0.25">
      <c r="A41" s="88" t="s">
        <v>171</v>
      </c>
      <c r="B41" s="76">
        <v>2026</v>
      </c>
      <c r="C41" s="115">
        <v>0</v>
      </c>
      <c r="D41" s="115">
        <v>140</v>
      </c>
      <c r="E41" s="4" t="s">
        <v>10</v>
      </c>
      <c r="F41" s="76" t="s">
        <v>16</v>
      </c>
      <c r="G41" s="4"/>
    </row>
    <row r="42" spans="1:7" x14ac:dyDescent="0.25">
      <c r="A42" s="88" t="s">
        <v>173</v>
      </c>
      <c r="B42" s="76">
        <v>2026</v>
      </c>
      <c r="C42" s="115">
        <v>0</v>
      </c>
      <c r="D42" s="115">
        <v>49.8</v>
      </c>
      <c r="E42" s="4" t="s">
        <v>234</v>
      </c>
      <c r="F42" s="76" t="s">
        <v>2</v>
      </c>
      <c r="G42" s="4"/>
    </row>
    <row r="43" spans="1:7" x14ac:dyDescent="0.25">
      <c r="A43" s="88" t="s">
        <v>194</v>
      </c>
      <c r="B43" s="76">
        <v>2026</v>
      </c>
      <c r="C43" s="115">
        <v>15</v>
      </c>
      <c r="D43" s="113">
        <v>0</v>
      </c>
      <c r="E43" s="4" t="s">
        <v>234</v>
      </c>
      <c r="F43" s="76" t="s">
        <v>2</v>
      </c>
      <c r="G43" s="4"/>
    </row>
    <row r="44" spans="1:7" x14ac:dyDescent="0.25">
      <c r="A44" s="88" t="s">
        <v>196</v>
      </c>
      <c r="B44" s="76">
        <v>2026</v>
      </c>
      <c r="C44" s="115">
        <v>0</v>
      </c>
      <c r="D44" s="115">
        <v>20</v>
      </c>
      <c r="E44" s="4" t="s">
        <v>10</v>
      </c>
      <c r="F44" s="76" t="s">
        <v>16</v>
      </c>
      <c r="G44" s="4"/>
    </row>
    <row r="45" spans="1:7" x14ac:dyDescent="0.25">
      <c r="A45" s="88" t="s">
        <v>197</v>
      </c>
      <c r="B45" s="76">
        <v>2026</v>
      </c>
      <c r="C45" s="115">
        <v>0</v>
      </c>
      <c r="D45" s="115">
        <v>20</v>
      </c>
      <c r="E45" s="4" t="s">
        <v>10</v>
      </c>
      <c r="F45" s="76" t="s">
        <v>16</v>
      </c>
      <c r="G45" s="4"/>
    </row>
    <row r="46" spans="1:7" x14ac:dyDescent="0.25">
      <c r="A46" s="88" t="s">
        <v>267</v>
      </c>
      <c r="B46" s="76">
        <v>2026</v>
      </c>
      <c r="C46" s="115">
        <v>20</v>
      </c>
      <c r="D46" s="115">
        <v>20</v>
      </c>
      <c r="E46" s="4" t="s">
        <v>10</v>
      </c>
      <c r="F46" s="76" t="s">
        <v>16</v>
      </c>
      <c r="G46" s="4"/>
    </row>
    <row r="47" spans="1:7" x14ac:dyDescent="0.25">
      <c r="A47" s="88" t="s">
        <v>174</v>
      </c>
      <c r="B47" s="76">
        <v>2026</v>
      </c>
      <c r="C47" s="115">
        <v>0</v>
      </c>
      <c r="D47" s="115">
        <v>120</v>
      </c>
      <c r="E47" s="4" t="s">
        <v>10</v>
      </c>
      <c r="F47" s="76" t="s">
        <v>16</v>
      </c>
      <c r="G47" s="4"/>
    </row>
    <row r="48" spans="1:7" x14ac:dyDescent="0.25">
      <c r="A48" s="88" t="s">
        <v>198</v>
      </c>
      <c r="B48" s="76">
        <v>2026</v>
      </c>
      <c r="C48" s="115">
        <v>20</v>
      </c>
      <c r="D48" s="113">
        <v>0</v>
      </c>
      <c r="E48" s="76" t="s">
        <v>10</v>
      </c>
      <c r="F48" s="76" t="s">
        <v>16</v>
      </c>
      <c r="G48" s="4"/>
    </row>
    <row r="49" spans="1:7" x14ac:dyDescent="0.25">
      <c r="A49" s="88" t="s">
        <v>199</v>
      </c>
      <c r="B49" s="76">
        <v>2026</v>
      </c>
      <c r="C49" s="115">
        <v>20</v>
      </c>
      <c r="D49" s="113">
        <v>0</v>
      </c>
      <c r="E49" s="76" t="s">
        <v>10</v>
      </c>
      <c r="F49" s="76" t="s">
        <v>16</v>
      </c>
      <c r="G49" s="4"/>
    </row>
    <row r="50" spans="1:7" x14ac:dyDescent="0.25">
      <c r="A50" s="88" t="s">
        <v>270</v>
      </c>
      <c r="B50" s="76">
        <v>2026</v>
      </c>
      <c r="C50" s="115">
        <v>0</v>
      </c>
      <c r="D50" s="113">
        <v>0</v>
      </c>
      <c r="E50" s="76" t="s">
        <v>234</v>
      </c>
      <c r="F50" s="76" t="s">
        <v>2</v>
      </c>
      <c r="G50" s="4"/>
    </row>
    <row r="51" spans="1:7" x14ac:dyDescent="0.25">
      <c r="A51" s="88" t="s">
        <v>177</v>
      </c>
      <c r="B51" s="76">
        <v>2026</v>
      </c>
      <c r="C51" s="115">
        <v>100</v>
      </c>
      <c r="D51" s="115">
        <v>100</v>
      </c>
      <c r="E51" s="76" t="s">
        <v>234</v>
      </c>
      <c r="F51" s="76" t="s">
        <v>2</v>
      </c>
      <c r="G51" s="4"/>
    </row>
    <row r="52" spans="1:7" x14ac:dyDescent="0.25">
      <c r="A52" s="88" t="s">
        <v>190</v>
      </c>
      <c r="B52" s="76">
        <v>2026</v>
      </c>
      <c r="C52" s="115">
        <v>0</v>
      </c>
      <c r="D52" s="115">
        <v>110</v>
      </c>
      <c r="E52" s="76" t="s">
        <v>236</v>
      </c>
      <c r="F52" s="76" t="s">
        <v>15</v>
      </c>
      <c r="G52" s="4"/>
    </row>
    <row r="53" spans="1:7" x14ac:dyDescent="0.25">
      <c r="A53" s="88" t="s">
        <v>191</v>
      </c>
      <c r="B53" s="76">
        <v>2026</v>
      </c>
      <c r="C53" s="115">
        <v>44</v>
      </c>
      <c r="D53" s="115">
        <v>44</v>
      </c>
      <c r="E53" s="76" t="s">
        <v>11</v>
      </c>
      <c r="F53" s="76" t="s">
        <v>15</v>
      </c>
      <c r="G53" s="4"/>
    </row>
    <row r="54" spans="1:7" x14ac:dyDescent="0.25">
      <c r="A54" s="88" t="s">
        <v>277</v>
      </c>
      <c r="B54" s="76">
        <v>2026</v>
      </c>
      <c r="C54" s="115">
        <v>0</v>
      </c>
      <c r="D54" s="115">
        <v>20</v>
      </c>
      <c r="E54" s="76" t="s">
        <v>10</v>
      </c>
      <c r="F54" s="76" t="s">
        <v>16</v>
      </c>
      <c r="G54" s="4"/>
    </row>
    <row r="55" spans="1:7" x14ac:dyDescent="0.25">
      <c r="A55" s="88" t="s">
        <v>200</v>
      </c>
      <c r="B55" s="76">
        <v>2026</v>
      </c>
      <c r="C55" s="115">
        <v>20</v>
      </c>
      <c r="D55" s="113">
        <v>0</v>
      </c>
      <c r="E55" s="76" t="s">
        <v>10</v>
      </c>
      <c r="F55" s="76" t="s">
        <v>16</v>
      </c>
      <c r="G55" s="4"/>
    </row>
    <row r="56" spans="1:7" x14ac:dyDescent="0.25">
      <c r="A56" s="88" t="s">
        <v>279</v>
      </c>
      <c r="B56" s="76">
        <v>2026</v>
      </c>
      <c r="C56" s="115">
        <v>160</v>
      </c>
      <c r="D56" s="113">
        <v>0</v>
      </c>
      <c r="E56" s="76" t="s">
        <v>10</v>
      </c>
      <c r="F56" s="76" t="s">
        <v>16</v>
      </c>
      <c r="G56" s="4"/>
    </row>
    <row r="57" spans="1:7" x14ac:dyDescent="0.25">
      <c r="A57" s="88" t="s">
        <v>281</v>
      </c>
      <c r="B57" s="76">
        <v>2026</v>
      </c>
      <c r="C57" s="115">
        <v>0</v>
      </c>
      <c r="D57" s="113">
        <v>0</v>
      </c>
      <c r="E57" s="76" t="s">
        <v>10</v>
      </c>
      <c r="F57" s="76" t="s">
        <v>16</v>
      </c>
      <c r="G57" s="4"/>
    </row>
    <row r="58" spans="1:7" x14ac:dyDescent="0.25">
      <c r="A58" s="88" t="s">
        <v>282</v>
      </c>
      <c r="B58" s="76">
        <v>2026</v>
      </c>
      <c r="C58" s="115">
        <v>0</v>
      </c>
      <c r="D58" s="115">
        <v>20</v>
      </c>
      <c r="E58" s="76" t="s">
        <v>10</v>
      </c>
      <c r="F58" s="76" t="s">
        <v>16</v>
      </c>
      <c r="G58" s="4"/>
    </row>
    <row r="59" spans="1:7" x14ac:dyDescent="0.25">
      <c r="A59" s="88" t="s">
        <v>283</v>
      </c>
      <c r="B59" s="76">
        <v>2026</v>
      </c>
      <c r="C59" s="115">
        <v>20</v>
      </c>
      <c r="D59" s="113">
        <v>0</v>
      </c>
      <c r="E59" s="76" t="s">
        <v>10</v>
      </c>
      <c r="F59" s="76" t="s">
        <v>16</v>
      </c>
      <c r="G59" s="4"/>
    </row>
    <row r="60" spans="1:7" x14ac:dyDescent="0.25">
      <c r="A60" s="88" t="s">
        <v>294</v>
      </c>
      <c r="B60" s="76">
        <v>2026</v>
      </c>
      <c r="C60" s="115">
        <v>0</v>
      </c>
      <c r="D60" s="115">
        <v>90</v>
      </c>
      <c r="E60" s="76" t="s">
        <v>10</v>
      </c>
      <c r="F60" s="76" t="s">
        <v>16</v>
      </c>
      <c r="G60" s="4"/>
    </row>
    <row r="61" spans="1:7" x14ac:dyDescent="0.25">
      <c r="A61" s="88" t="s">
        <v>298</v>
      </c>
      <c r="B61" s="76">
        <v>2026</v>
      </c>
      <c r="C61" s="115">
        <v>40</v>
      </c>
      <c r="D61" s="115">
        <v>40</v>
      </c>
      <c r="E61" s="76" t="s">
        <v>233</v>
      </c>
      <c r="F61" s="76" t="s">
        <v>15</v>
      </c>
      <c r="G61" s="4"/>
    </row>
    <row r="62" spans="1:7" x14ac:dyDescent="0.25">
      <c r="A62" s="88" t="s">
        <v>299</v>
      </c>
      <c r="B62" s="76">
        <v>2026</v>
      </c>
      <c r="C62" s="115">
        <v>39.9</v>
      </c>
      <c r="D62" s="115">
        <v>39.9</v>
      </c>
      <c r="E62" s="76" t="s">
        <v>233</v>
      </c>
      <c r="F62" s="76" t="s">
        <v>15</v>
      </c>
      <c r="G62" s="4"/>
    </row>
    <row r="63" spans="1:7" x14ac:dyDescent="0.25">
      <c r="A63" s="88" t="s">
        <v>300</v>
      </c>
      <c r="B63" s="76">
        <v>2026</v>
      </c>
      <c r="C63" s="115">
        <v>26.5</v>
      </c>
      <c r="D63" s="115">
        <v>26.5</v>
      </c>
      <c r="E63" s="76" t="s">
        <v>233</v>
      </c>
      <c r="F63" s="76" t="s">
        <v>15</v>
      </c>
      <c r="G63" s="4"/>
    </row>
    <row r="64" spans="1:7" x14ac:dyDescent="0.25">
      <c r="A64" s="88" t="s">
        <v>301</v>
      </c>
      <c r="B64" s="76">
        <v>2026</v>
      </c>
      <c r="C64" s="115">
        <v>0</v>
      </c>
      <c r="D64" s="115">
        <v>20</v>
      </c>
      <c r="E64" s="76" t="s">
        <v>10</v>
      </c>
      <c r="F64" s="76" t="s">
        <v>16</v>
      </c>
      <c r="G64" s="4"/>
    </row>
    <row r="65" spans="1:7" x14ac:dyDescent="0.25">
      <c r="A65" s="89" t="s">
        <v>133</v>
      </c>
      <c r="C65" s="116">
        <f>SUM(C22:C64)</f>
        <v>1805.4</v>
      </c>
      <c r="D65" s="116">
        <f>SUM(D24:D64)</f>
        <v>4273.2</v>
      </c>
    </row>
    <row r="66" spans="1:7" x14ac:dyDescent="0.25">
      <c r="A66" s="89"/>
      <c r="C66" s="116"/>
      <c r="D66" s="116"/>
    </row>
    <row r="67" spans="1:7" x14ac:dyDescent="0.25">
      <c r="A67" s="83" t="s">
        <v>112</v>
      </c>
      <c r="B67" s="4">
        <v>2027</v>
      </c>
      <c r="C67" s="115">
        <v>0</v>
      </c>
      <c r="D67" s="115">
        <v>90.5</v>
      </c>
      <c r="E67" s="4" t="s">
        <v>10</v>
      </c>
      <c r="F67" s="4" t="s">
        <v>16</v>
      </c>
    </row>
    <row r="68" spans="1:7" x14ac:dyDescent="0.25">
      <c r="A68" s="83" t="s">
        <v>113</v>
      </c>
      <c r="B68" s="4">
        <v>2027</v>
      </c>
      <c r="C68" s="115">
        <v>0</v>
      </c>
      <c r="D68" s="115">
        <v>290.7</v>
      </c>
      <c r="E68" s="4" t="s">
        <v>11</v>
      </c>
      <c r="F68" s="4" t="s">
        <v>16</v>
      </c>
      <c r="G68" s="110"/>
    </row>
    <row r="69" spans="1:7" x14ac:dyDescent="0.25">
      <c r="A69" s="88" t="s">
        <v>166</v>
      </c>
      <c r="B69" s="76">
        <v>2027</v>
      </c>
      <c r="C69" s="115">
        <v>449</v>
      </c>
      <c r="D69" s="115">
        <v>0</v>
      </c>
      <c r="E69" s="4" t="s">
        <v>11</v>
      </c>
      <c r="F69" s="76" t="s">
        <v>16</v>
      </c>
      <c r="G69" s="110"/>
    </row>
    <row r="70" spans="1:7" x14ac:dyDescent="0.25">
      <c r="A70" s="88" t="s">
        <v>255</v>
      </c>
      <c r="B70" s="76">
        <v>2027</v>
      </c>
      <c r="C70" s="115">
        <v>0</v>
      </c>
      <c r="D70" s="115">
        <v>79.900000000000006</v>
      </c>
      <c r="E70" s="4" t="s">
        <v>234</v>
      </c>
      <c r="F70" s="76" t="s">
        <v>2</v>
      </c>
      <c r="G70" s="110"/>
    </row>
    <row r="71" spans="1:7" x14ac:dyDescent="0.25">
      <c r="A71" s="88" t="s">
        <v>187</v>
      </c>
      <c r="B71" s="76">
        <v>2027</v>
      </c>
      <c r="C71" s="115">
        <v>36</v>
      </c>
      <c r="D71" s="115">
        <v>36</v>
      </c>
      <c r="E71" s="4" t="s">
        <v>10</v>
      </c>
      <c r="F71" s="76" t="s">
        <v>15</v>
      </c>
      <c r="G71" s="110"/>
    </row>
    <row r="72" spans="1:7" x14ac:dyDescent="0.25">
      <c r="A72" s="88" t="s">
        <v>138</v>
      </c>
      <c r="B72" s="76">
        <v>2027</v>
      </c>
      <c r="C72" s="115">
        <v>20</v>
      </c>
      <c r="D72" s="115">
        <v>20</v>
      </c>
      <c r="E72" s="4" t="s">
        <v>10</v>
      </c>
      <c r="F72" s="76" t="s">
        <v>16</v>
      </c>
      <c r="G72" s="110"/>
    </row>
    <row r="73" spans="1:7" x14ac:dyDescent="0.25">
      <c r="A73" s="88" t="s">
        <v>137</v>
      </c>
      <c r="B73" s="76">
        <v>2027</v>
      </c>
      <c r="C73" s="115">
        <v>20</v>
      </c>
      <c r="D73" s="115">
        <v>20</v>
      </c>
      <c r="E73" s="4" t="s">
        <v>10</v>
      </c>
      <c r="F73" s="76" t="s">
        <v>16</v>
      </c>
      <c r="G73" s="110"/>
    </row>
    <row r="74" spans="1:7" x14ac:dyDescent="0.25">
      <c r="A74" s="88" t="s">
        <v>167</v>
      </c>
      <c r="B74" s="76">
        <v>2027</v>
      </c>
      <c r="C74" s="115">
        <v>200.1</v>
      </c>
      <c r="D74" s="115">
        <v>0</v>
      </c>
      <c r="E74" s="4" t="s">
        <v>11</v>
      </c>
      <c r="F74" s="76" t="s">
        <v>16</v>
      </c>
      <c r="G74" s="110"/>
    </row>
    <row r="75" spans="1:7" x14ac:dyDescent="0.25">
      <c r="A75" s="88" t="s">
        <v>201</v>
      </c>
      <c r="B75" s="76">
        <v>2027</v>
      </c>
      <c r="C75" s="115">
        <v>0</v>
      </c>
      <c r="D75" s="115">
        <v>20</v>
      </c>
      <c r="E75" s="4" t="s">
        <v>10</v>
      </c>
      <c r="F75" s="76" t="s">
        <v>41</v>
      </c>
      <c r="G75" s="110"/>
    </row>
    <row r="76" spans="1:7" x14ac:dyDescent="0.25">
      <c r="A76" s="88" t="s">
        <v>145</v>
      </c>
      <c r="B76" s="76">
        <v>2027</v>
      </c>
      <c r="C76" s="115">
        <v>20</v>
      </c>
      <c r="D76" s="115">
        <v>0</v>
      </c>
      <c r="E76" s="4" t="s">
        <v>10</v>
      </c>
      <c r="F76" s="76" t="s">
        <v>16</v>
      </c>
      <c r="G76" s="110"/>
    </row>
    <row r="77" spans="1:7" x14ac:dyDescent="0.25">
      <c r="A77" s="88" t="s">
        <v>143</v>
      </c>
      <c r="B77" s="76">
        <v>2027</v>
      </c>
      <c r="C77" s="115">
        <v>20</v>
      </c>
      <c r="D77" s="115">
        <v>0</v>
      </c>
      <c r="E77" s="4" t="s">
        <v>10</v>
      </c>
      <c r="F77" s="76" t="s">
        <v>16</v>
      </c>
      <c r="G77" s="110"/>
    </row>
    <row r="78" spans="1:7" x14ac:dyDescent="0.25">
      <c r="A78" s="88" t="s">
        <v>140</v>
      </c>
      <c r="B78" s="76">
        <v>2027</v>
      </c>
      <c r="C78" s="115">
        <v>18</v>
      </c>
      <c r="D78" s="115">
        <v>0</v>
      </c>
      <c r="E78" s="4" t="s">
        <v>10</v>
      </c>
      <c r="F78" s="76" t="s">
        <v>16</v>
      </c>
      <c r="G78" s="110"/>
    </row>
    <row r="79" spans="1:7" x14ac:dyDescent="0.25">
      <c r="A79" s="88" t="s">
        <v>141</v>
      </c>
      <c r="B79" s="76">
        <v>2027</v>
      </c>
      <c r="C79" s="115">
        <v>20</v>
      </c>
      <c r="D79" s="115">
        <v>0</v>
      </c>
      <c r="E79" s="4" t="s">
        <v>10</v>
      </c>
      <c r="F79" s="76" t="s">
        <v>16</v>
      </c>
      <c r="G79" s="110"/>
    </row>
    <row r="80" spans="1:7" x14ac:dyDescent="0.25">
      <c r="A80" s="88" t="s">
        <v>121</v>
      </c>
      <c r="B80" s="76">
        <v>2027</v>
      </c>
      <c r="C80" s="115">
        <v>339.1</v>
      </c>
      <c r="D80" s="115">
        <v>0</v>
      </c>
      <c r="E80" s="4" t="s">
        <v>11</v>
      </c>
      <c r="F80" s="76" t="s">
        <v>16</v>
      </c>
      <c r="G80" s="110"/>
    </row>
    <row r="81" spans="1:7" x14ac:dyDescent="0.25">
      <c r="A81" s="88" t="s">
        <v>125</v>
      </c>
      <c r="B81" s="76">
        <v>2027</v>
      </c>
      <c r="C81" s="115">
        <v>60</v>
      </c>
      <c r="D81" s="115">
        <v>60</v>
      </c>
      <c r="E81" s="4" t="s">
        <v>10</v>
      </c>
      <c r="F81" s="76" t="s">
        <v>16</v>
      </c>
      <c r="G81" s="110"/>
    </row>
    <row r="82" spans="1:7" x14ac:dyDescent="0.25">
      <c r="A82" s="88" t="s">
        <v>118</v>
      </c>
      <c r="B82" s="76">
        <v>2027</v>
      </c>
      <c r="C82" s="115">
        <v>0</v>
      </c>
      <c r="D82" s="115">
        <v>200</v>
      </c>
      <c r="E82" s="4" t="s">
        <v>234</v>
      </c>
      <c r="F82" s="76" t="s">
        <v>41</v>
      </c>
      <c r="G82" s="110"/>
    </row>
    <row r="83" spans="1:7" x14ac:dyDescent="0.25">
      <c r="A83" s="88" t="s">
        <v>119</v>
      </c>
      <c r="B83" s="76">
        <v>2027</v>
      </c>
      <c r="C83" s="115">
        <v>100</v>
      </c>
      <c r="D83" s="115">
        <v>100</v>
      </c>
      <c r="E83" s="4" t="s">
        <v>10</v>
      </c>
      <c r="F83" s="76" t="s">
        <v>16</v>
      </c>
      <c r="G83" s="110"/>
    </row>
    <row r="84" spans="1:7" x14ac:dyDescent="0.25">
      <c r="A84" s="88" t="s">
        <v>120</v>
      </c>
      <c r="B84" s="76">
        <v>2027</v>
      </c>
      <c r="C84" s="115">
        <v>100.8</v>
      </c>
      <c r="D84" s="113">
        <v>0</v>
      </c>
      <c r="E84" s="4" t="s">
        <v>11</v>
      </c>
      <c r="F84" s="76" t="s">
        <v>16</v>
      </c>
      <c r="G84" s="110"/>
    </row>
    <row r="85" spans="1:7" x14ac:dyDescent="0.25">
      <c r="A85" s="88" t="s">
        <v>258</v>
      </c>
      <c r="B85" s="76">
        <v>2027</v>
      </c>
      <c r="C85" s="113">
        <v>0</v>
      </c>
      <c r="D85" s="115">
        <v>93.5</v>
      </c>
      <c r="E85" s="4" t="s">
        <v>10</v>
      </c>
      <c r="F85" s="76" t="s">
        <v>16</v>
      </c>
      <c r="G85" s="110"/>
    </row>
    <row r="86" spans="1:7" x14ac:dyDescent="0.25">
      <c r="A86" s="88" t="s">
        <v>111</v>
      </c>
      <c r="B86" s="76">
        <v>2027</v>
      </c>
      <c r="C86" s="115">
        <v>280</v>
      </c>
      <c r="D86" s="113">
        <v>0</v>
      </c>
      <c r="E86" s="4" t="s">
        <v>10</v>
      </c>
      <c r="F86" s="76" t="s">
        <v>16</v>
      </c>
    </row>
    <row r="87" spans="1:7" x14ac:dyDescent="0.25">
      <c r="A87" s="88" t="s">
        <v>192</v>
      </c>
      <c r="B87" s="76">
        <v>2027</v>
      </c>
      <c r="C87" s="115">
        <v>20</v>
      </c>
      <c r="D87" s="113">
        <v>0</v>
      </c>
      <c r="E87" s="4" t="s">
        <v>10</v>
      </c>
      <c r="F87" s="76" t="s">
        <v>16</v>
      </c>
    </row>
    <row r="88" spans="1:7" x14ac:dyDescent="0.25">
      <c r="A88" s="88" t="s">
        <v>259</v>
      </c>
      <c r="B88" s="76">
        <v>2027</v>
      </c>
      <c r="C88" s="115">
        <v>816</v>
      </c>
      <c r="D88" s="113">
        <v>0</v>
      </c>
      <c r="E88" s="4" t="s">
        <v>11</v>
      </c>
      <c r="F88" s="76" t="s">
        <v>2</v>
      </c>
      <c r="G88" s="110"/>
    </row>
    <row r="89" spans="1:7" x14ac:dyDescent="0.25">
      <c r="A89" s="88" t="s">
        <v>262</v>
      </c>
      <c r="B89" s="76">
        <v>2027</v>
      </c>
      <c r="C89" s="115">
        <v>0</v>
      </c>
      <c r="D89" s="115">
        <v>135</v>
      </c>
      <c r="E89" s="4" t="s">
        <v>10</v>
      </c>
      <c r="F89" s="76" t="s">
        <v>16</v>
      </c>
      <c r="G89" s="4"/>
    </row>
    <row r="90" spans="1:7" x14ac:dyDescent="0.25">
      <c r="A90" s="88" t="s">
        <v>263</v>
      </c>
      <c r="B90" s="76">
        <v>2027</v>
      </c>
      <c r="C90" s="115">
        <v>0</v>
      </c>
      <c r="D90" s="115">
        <v>270</v>
      </c>
      <c r="E90" s="4" t="s">
        <v>234</v>
      </c>
      <c r="F90" s="76" t="s">
        <v>16</v>
      </c>
      <c r="G90" s="4"/>
    </row>
    <row r="91" spans="1:7" x14ac:dyDescent="0.25">
      <c r="A91" s="88" t="s">
        <v>170</v>
      </c>
      <c r="B91" s="76">
        <v>2027</v>
      </c>
      <c r="C91" s="115">
        <v>0</v>
      </c>
      <c r="D91" s="115">
        <v>147</v>
      </c>
      <c r="E91" s="4" t="s">
        <v>11</v>
      </c>
      <c r="F91" s="76" t="s">
        <v>16</v>
      </c>
      <c r="G91" s="4"/>
    </row>
    <row r="92" spans="1:7" x14ac:dyDescent="0.25">
      <c r="A92" s="88" t="s">
        <v>202</v>
      </c>
      <c r="B92" s="76">
        <v>2027</v>
      </c>
      <c r="C92" s="115">
        <v>20</v>
      </c>
      <c r="D92" s="113">
        <v>0</v>
      </c>
      <c r="E92" s="4" t="s">
        <v>234</v>
      </c>
      <c r="F92" s="76" t="s">
        <v>16</v>
      </c>
      <c r="G92" s="4"/>
    </row>
    <row r="93" spans="1:7" x14ac:dyDescent="0.25">
      <c r="A93" s="88" t="s">
        <v>171</v>
      </c>
      <c r="B93" s="76">
        <v>2027</v>
      </c>
      <c r="C93" s="115">
        <v>140</v>
      </c>
      <c r="D93" s="113">
        <v>0</v>
      </c>
      <c r="E93" s="4" t="s">
        <v>10</v>
      </c>
      <c r="F93" s="76" t="s">
        <v>16</v>
      </c>
      <c r="G93" s="4"/>
    </row>
    <row r="94" spans="1:7" x14ac:dyDescent="0.25">
      <c r="A94" s="88" t="s">
        <v>172</v>
      </c>
      <c r="B94" s="76">
        <v>2027</v>
      </c>
      <c r="C94" s="115">
        <v>500</v>
      </c>
      <c r="D94" s="115">
        <v>500</v>
      </c>
      <c r="E94" s="4" t="s">
        <v>10</v>
      </c>
      <c r="F94" s="76" t="s">
        <v>16</v>
      </c>
      <c r="G94" s="4"/>
    </row>
    <row r="95" spans="1:7" x14ac:dyDescent="0.25">
      <c r="A95" s="88" t="s">
        <v>173</v>
      </c>
      <c r="B95" s="76">
        <v>2027</v>
      </c>
      <c r="C95" s="115">
        <v>49.8</v>
      </c>
      <c r="D95" s="113">
        <v>0</v>
      </c>
      <c r="E95" s="4" t="s">
        <v>234</v>
      </c>
      <c r="F95" s="76" t="s">
        <v>2</v>
      </c>
      <c r="G95" s="4"/>
    </row>
    <row r="96" spans="1:7" x14ac:dyDescent="0.25">
      <c r="A96" s="88" t="s">
        <v>196</v>
      </c>
      <c r="B96" s="76">
        <v>2027</v>
      </c>
      <c r="C96" s="115">
        <v>20</v>
      </c>
      <c r="D96" s="113">
        <v>0</v>
      </c>
      <c r="E96" s="4" t="s">
        <v>10</v>
      </c>
      <c r="F96" s="76" t="s">
        <v>16</v>
      </c>
      <c r="G96" s="4"/>
    </row>
    <row r="97" spans="1:7" x14ac:dyDescent="0.25">
      <c r="A97" s="88" t="s">
        <v>197</v>
      </c>
      <c r="B97" s="76">
        <v>2027</v>
      </c>
      <c r="C97" s="115">
        <v>20</v>
      </c>
      <c r="D97" s="113">
        <v>0</v>
      </c>
      <c r="E97" s="4" t="s">
        <v>10</v>
      </c>
      <c r="F97" s="76" t="s">
        <v>16</v>
      </c>
      <c r="G97" s="4"/>
    </row>
    <row r="98" spans="1:7" x14ac:dyDescent="0.25">
      <c r="A98" s="88" t="s">
        <v>266</v>
      </c>
      <c r="B98" s="76">
        <v>2027</v>
      </c>
      <c r="C98" s="115">
        <v>79</v>
      </c>
      <c r="D98" s="115">
        <v>79</v>
      </c>
      <c r="E98" s="4" t="s">
        <v>234</v>
      </c>
      <c r="F98" s="76" t="s">
        <v>2</v>
      </c>
      <c r="G98" s="4"/>
    </row>
    <row r="99" spans="1:7" x14ac:dyDescent="0.25">
      <c r="A99" s="88" t="s">
        <v>189</v>
      </c>
      <c r="B99" s="76">
        <v>2027</v>
      </c>
      <c r="C99" s="115">
        <v>56.3</v>
      </c>
      <c r="D99" s="115">
        <v>56.3</v>
      </c>
      <c r="E99" s="4" t="s">
        <v>234</v>
      </c>
      <c r="F99" s="76" t="s">
        <v>2</v>
      </c>
      <c r="G99" s="4"/>
    </row>
    <row r="100" spans="1:7" x14ac:dyDescent="0.25">
      <c r="A100" s="88" t="s">
        <v>174</v>
      </c>
      <c r="B100" s="76">
        <v>2027</v>
      </c>
      <c r="C100" s="115">
        <v>120</v>
      </c>
      <c r="D100" s="113">
        <v>0</v>
      </c>
      <c r="E100" s="4" t="s">
        <v>10</v>
      </c>
      <c r="F100" s="76" t="s">
        <v>16</v>
      </c>
      <c r="G100" s="4"/>
    </row>
    <row r="101" spans="1:7" x14ac:dyDescent="0.25">
      <c r="A101" s="88" t="s">
        <v>269</v>
      </c>
      <c r="B101" s="76">
        <v>2027</v>
      </c>
      <c r="C101" s="115">
        <v>0</v>
      </c>
      <c r="D101" s="115">
        <v>100</v>
      </c>
      <c r="E101" s="4" t="s">
        <v>10</v>
      </c>
      <c r="F101" s="76" t="s">
        <v>16</v>
      </c>
      <c r="G101" s="4"/>
    </row>
    <row r="102" spans="1:7" x14ac:dyDescent="0.25">
      <c r="A102" s="88" t="s">
        <v>272</v>
      </c>
      <c r="B102" s="76">
        <v>2027</v>
      </c>
      <c r="C102" s="115">
        <v>200</v>
      </c>
      <c r="D102" s="115">
        <v>200</v>
      </c>
      <c r="E102" s="4" t="s">
        <v>10</v>
      </c>
      <c r="F102" s="76" t="s">
        <v>16</v>
      </c>
      <c r="G102" s="4"/>
    </row>
    <row r="103" spans="1:7" x14ac:dyDescent="0.25">
      <c r="A103" s="88" t="s">
        <v>273</v>
      </c>
      <c r="B103" s="76">
        <v>2027</v>
      </c>
      <c r="C103" s="115">
        <v>0</v>
      </c>
      <c r="D103" s="115">
        <v>125</v>
      </c>
      <c r="E103" s="4" t="s">
        <v>10</v>
      </c>
      <c r="F103" s="76" t="s">
        <v>16</v>
      </c>
      <c r="G103" s="4"/>
    </row>
    <row r="104" spans="1:7" x14ac:dyDescent="0.25">
      <c r="A104" s="88" t="s">
        <v>190</v>
      </c>
      <c r="B104" s="76">
        <v>2027</v>
      </c>
      <c r="C104" s="115">
        <v>110</v>
      </c>
      <c r="D104" s="113">
        <v>0</v>
      </c>
      <c r="E104" s="76" t="s">
        <v>236</v>
      </c>
      <c r="F104" s="76" t="s">
        <v>15</v>
      </c>
      <c r="G104" s="4"/>
    </row>
    <row r="105" spans="1:7" x14ac:dyDescent="0.25">
      <c r="A105" s="88" t="s">
        <v>274</v>
      </c>
      <c r="B105" s="76">
        <v>2027</v>
      </c>
      <c r="C105" s="115">
        <v>0</v>
      </c>
      <c r="D105" s="115">
        <v>94</v>
      </c>
      <c r="E105" s="76" t="s">
        <v>234</v>
      </c>
      <c r="F105" s="76" t="s">
        <v>41</v>
      </c>
      <c r="G105" s="4"/>
    </row>
    <row r="106" spans="1:7" x14ac:dyDescent="0.25">
      <c r="A106" s="88" t="s">
        <v>275</v>
      </c>
      <c r="B106" s="76">
        <v>2027</v>
      </c>
      <c r="C106" s="115">
        <v>54.5</v>
      </c>
      <c r="D106" s="115">
        <v>54.5</v>
      </c>
      <c r="E106" s="76" t="s">
        <v>236</v>
      </c>
      <c r="F106" s="76" t="s">
        <v>15</v>
      </c>
      <c r="G106" s="4"/>
    </row>
    <row r="107" spans="1:7" x14ac:dyDescent="0.25">
      <c r="A107" s="88" t="s">
        <v>277</v>
      </c>
      <c r="B107" s="76">
        <v>2027</v>
      </c>
      <c r="C107" s="115">
        <v>20</v>
      </c>
      <c r="D107" s="113">
        <v>0</v>
      </c>
      <c r="E107" s="76" t="s">
        <v>10</v>
      </c>
      <c r="F107" s="76" t="s">
        <v>16</v>
      </c>
      <c r="G107" s="4"/>
    </row>
    <row r="108" spans="1:7" x14ac:dyDescent="0.25">
      <c r="A108" s="88" t="s">
        <v>278</v>
      </c>
      <c r="B108" s="76">
        <v>2027</v>
      </c>
      <c r="C108" s="115">
        <v>0</v>
      </c>
      <c r="D108" s="115">
        <v>220.1</v>
      </c>
      <c r="E108" s="76" t="s">
        <v>234</v>
      </c>
      <c r="F108" s="76" t="s">
        <v>2</v>
      </c>
      <c r="G108" s="4"/>
    </row>
    <row r="109" spans="1:7" x14ac:dyDescent="0.25">
      <c r="A109" s="88" t="s">
        <v>282</v>
      </c>
      <c r="B109" s="76">
        <v>2027</v>
      </c>
      <c r="C109" s="115">
        <v>20</v>
      </c>
      <c r="D109" s="113">
        <v>0</v>
      </c>
      <c r="E109" s="76" t="s">
        <v>10</v>
      </c>
      <c r="F109" s="76" t="s">
        <v>16</v>
      </c>
      <c r="G109" s="4"/>
    </row>
    <row r="110" spans="1:7" x14ac:dyDescent="0.25">
      <c r="A110" s="88" t="s">
        <v>284</v>
      </c>
      <c r="B110" s="76">
        <v>2027</v>
      </c>
      <c r="C110" s="115">
        <v>125</v>
      </c>
      <c r="D110" s="115">
        <v>125</v>
      </c>
      <c r="E110" s="76" t="s">
        <v>10</v>
      </c>
      <c r="F110" s="76" t="s">
        <v>16</v>
      </c>
      <c r="G110" s="4"/>
    </row>
    <row r="111" spans="1:7" x14ac:dyDescent="0.25">
      <c r="A111" s="88" t="s">
        <v>287</v>
      </c>
      <c r="B111" s="76">
        <v>2027</v>
      </c>
      <c r="C111" s="115">
        <v>0</v>
      </c>
      <c r="D111" s="115">
        <v>20</v>
      </c>
      <c r="E111" s="76" t="s">
        <v>235</v>
      </c>
      <c r="F111" s="76" t="s">
        <v>15</v>
      </c>
      <c r="G111" s="4"/>
    </row>
    <row r="112" spans="1:7" x14ac:dyDescent="0.25">
      <c r="A112" s="88" t="s">
        <v>289</v>
      </c>
      <c r="B112" s="76">
        <v>2027</v>
      </c>
      <c r="C112" s="115">
        <v>0</v>
      </c>
      <c r="D112" s="115">
        <v>30.4</v>
      </c>
      <c r="E112" s="76" t="s">
        <v>235</v>
      </c>
      <c r="F112" s="76" t="s">
        <v>15</v>
      </c>
      <c r="G112" s="4"/>
    </row>
    <row r="113" spans="1:7" x14ac:dyDescent="0.25">
      <c r="A113" s="88" t="s">
        <v>291</v>
      </c>
      <c r="B113" s="76">
        <v>2027</v>
      </c>
      <c r="C113" s="115">
        <v>0</v>
      </c>
      <c r="D113" s="115">
        <v>150</v>
      </c>
      <c r="E113" s="76" t="s">
        <v>234</v>
      </c>
      <c r="F113" s="76" t="s">
        <v>15</v>
      </c>
      <c r="G113" s="4"/>
    </row>
    <row r="114" spans="1:7" x14ac:dyDescent="0.25">
      <c r="A114" s="88" t="s">
        <v>292</v>
      </c>
      <c r="B114" s="76">
        <v>2027</v>
      </c>
      <c r="C114" s="115">
        <v>0</v>
      </c>
      <c r="D114" s="115">
        <v>72</v>
      </c>
      <c r="E114" s="76" t="s">
        <v>11</v>
      </c>
      <c r="F114" s="76" t="s">
        <v>16</v>
      </c>
      <c r="G114" s="4"/>
    </row>
    <row r="115" spans="1:7" x14ac:dyDescent="0.25">
      <c r="A115" s="88" t="s">
        <v>293</v>
      </c>
      <c r="B115" s="76">
        <v>2027</v>
      </c>
      <c r="C115" s="115">
        <v>0</v>
      </c>
      <c r="D115" s="115">
        <v>97</v>
      </c>
      <c r="E115" s="76" t="s">
        <v>11</v>
      </c>
      <c r="F115" s="76" t="s">
        <v>16</v>
      </c>
      <c r="G115" s="4"/>
    </row>
    <row r="116" spans="1:7" x14ac:dyDescent="0.25">
      <c r="A116" s="88" t="s">
        <v>294</v>
      </c>
      <c r="B116" s="76">
        <v>2027</v>
      </c>
      <c r="C116" s="115">
        <v>90</v>
      </c>
      <c r="D116" s="113">
        <v>0</v>
      </c>
      <c r="E116" s="76" t="s">
        <v>10</v>
      </c>
      <c r="F116" s="76" t="s">
        <v>16</v>
      </c>
      <c r="G116" s="4"/>
    </row>
    <row r="117" spans="1:7" x14ac:dyDescent="0.25">
      <c r="A117" s="88" t="s">
        <v>295</v>
      </c>
      <c r="B117" s="76">
        <v>2027</v>
      </c>
      <c r="C117" s="115">
        <v>0</v>
      </c>
      <c r="D117" s="115">
        <v>250</v>
      </c>
      <c r="E117" s="76" t="s">
        <v>10</v>
      </c>
      <c r="F117" s="76" t="s">
        <v>16</v>
      </c>
      <c r="G117" s="4"/>
    </row>
    <row r="118" spans="1:7" x14ac:dyDescent="0.25">
      <c r="A118" s="88" t="s">
        <v>296</v>
      </c>
      <c r="B118" s="76">
        <v>2027</v>
      </c>
      <c r="C118" s="115">
        <v>0</v>
      </c>
      <c r="D118" s="115">
        <v>200</v>
      </c>
      <c r="E118" s="76" t="s">
        <v>10</v>
      </c>
      <c r="F118" s="76" t="s">
        <v>16</v>
      </c>
      <c r="G118" s="4"/>
    </row>
    <row r="119" spans="1:7" x14ac:dyDescent="0.25">
      <c r="A119" s="88" t="s">
        <v>297</v>
      </c>
      <c r="B119" s="76">
        <v>2027</v>
      </c>
      <c r="C119" s="115">
        <v>0</v>
      </c>
      <c r="D119" s="115">
        <v>105</v>
      </c>
      <c r="E119" s="76" t="s">
        <v>10</v>
      </c>
      <c r="F119" s="76" t="s">
        <v>16</v>
      </c>
      <c r="G119" s="4"/>
    </row>
    <row r="120" spans="1:7" x14ac:dyDescent="0.25">
      <c r="A120" s="88" t="s">
        <v>301</v>
      </c>
      <c r="B120" s="76">
        <v>2027</v>
      </c>
      <c r="C120" s="115">
        <v>20</v>
      </c>
      <c r="D120" s="113">
        <v>0</v>
      </c>
      <c r="E120" s="76" t="s">
        <v>10</v>
      </c>
      <c r="F120" s="76" t="s">
        <v>16</v>
      </c>
      <c r="G120" s="4"/>
    </row>
    <row r="121" spans="1:7" x14ac:dyDescent="0.25">
      <c r="A121" s="89" t="s">
        <v>134</v>
      </c>
      <c r="C121" s="116">
        <f>SUM(C67:C120)</f>
        <v>4163.6000000000004</v>
      </c>
      <c r="D121" s="116">
        <f>SUM(D67:D120)</f>
        <v>4040.9</v>
      </c>
    </row>
    <row r="122" spans="1:7" x14ac:dyDescent="0.25">
      <c r="G122" s="110"/>
    </row>
    <row r="123" spans="1:7" x14ac:dyDescent="0.25">
      <c r="A123" s="88" t="s">
        <v>255</v>
      </c>
      <c r="B123" s="76">
        <v>2028</v>
      </c>
      <c r="C123" s="115">
        <v>79.900000000000006</v>
      </c>
      <c r="D123" s="113">
        <v>0</v>
      </c>
      <c r="E123" s="4" t="s">
        <v>234</v>
      </c>
      <c r="F123" s="76" t="s">
        <v>2</v>
      </c>
      <c r="G123" s="110"/>
    </row>
    <row r="124" spans="1:7" x14ac:dyDescent="0.25">
      <c r="A124" s="88" t="s">
        <v>118</v>
      </c>
      <c r="B124" s="76">
        <v>2028</v>
      </c>
      <c r="C124" s="115">
        <v>200</v>
      </c>
      <c r="D124" s="113">
        <v>0</v>
      </c>
      <c r="E124" s="4" t="s">
        <v>234</v>
      </c>
      <c r="F124" s="76" t="s">
        <v>41</v>
      </c>
      <c r="G124" s="110"/>
    </row>
    <row r="125" spans="1:7" x14ac:dyDescent="0.25">
      <c r="A125" s="88" t="s">
        <v>278</v>
      </c>
      <c r="B125" s="76">
        <v>2028</v>
      </c>
      <c r="C125" s="115">
        <v>220.1</v>
      </c>
      <c r="D125" s="115">
        <v>0</v>
      </c>
      <c r="E125" s="76" t="s">
        <v>234</v>
      </c>
      <c r="F125" s="76" t="s">
        <v>2</v>
      </c>
      <c r="G125" s="110"/>
    </row>
    <row r="126" spans="1:7" x14ac:dyDescent="0.25">
      <c r="A126" s="83" t="s">
        <v>253</v>
      </c>
      <c r="B126" s="4">
        <v>2028</v>
      </c>
      <c r="C126" s="115">
        <v>90.5</v>
      </c>
      <c r="D126" s="113">
        <v>0</v>
      </c>
      <c r="E126" s="4" t="s">
        <v>10</v>
      </c>
      <c r="F126" s="4" t="s">
        <v>16</v>
      </c>
      <c r="G126" s="110"/>
    </row>
    <row r="127" spans="1:7" x14ac:dyDescent="0.25">
      <c r="A127" s="83" t="s">
        <v>113</v>
      </c>
      <c r="B127" s="4">
        <v>2028</v>
      </c>
      <c r="C127" s="115">
        <v>290.7</v>
      </c>
      <c r="D127" s="115">
        <v>0</v>
      </c>
      <c r="E127" s="4" t="s">
        <v>11</v>
      </c>
      <c r="F127" s="4" t="s">
        <v>16</v>
      </c>
      <c r="G127" s="110"/>
    </row>
    <row r="128" spans="1:7" x14ac:dyDescent="0.25">
      <c r="A128" s="88" t="s">
        <v>201</v>
      </c>
      <c r="B128" s="76">
        <v>2028</v>
      </c>
      <c r="C128" s="115">
        <v>20</v>
      </c>
      <c r="D128" s="113">
        <v>0</v>
      </c>
      <c r="E128" s="4" t="s">
        <v>10</v>
      </c>
      <c r="F128" s="76" t="s">
        <v>41</v>
      </c>
      <c r="G128" s="110"/>
    </row>
    <row r="129" spans="1:7" x14ac:dyDescent="0.25">
      <c r="A129" s="88" t="s">
        <v>116</v>
      </c>
      <c r="B129" s="76">
        <v>2028</v>
      </c>
      <c r="C129" s="115">
        <v>50</v>
      </c>
      <c r="D129" s="115">
        <v>50</v>
      </c>
      <c r="E129" s="4" t="s">
        <v>10</v>
      </c>
      <c r="F129" s="76" t="s">
        <v>16</v>
      </c>
      <c r="G129" s="110"/>
    </row>
    <row r="130" spans="1:7" x14ac:dyDescent="0.25">
      <c r="A130" s="88" t="s">
        <v>124</v>
      </c>
      <c r="B130" s="76">
        <v>2028</v>
      </c>
      <c r="C130" s="115">
        <v>180</v>
      </c>
      <c r="D130" s="115">
        <v>180</v>
      </c>
      <c r="E130" s="4" t="s">
        <v>10</v>
      </c>
      <c r="F130" s="76" t="s">
        <v>16</v>
      </c>
      <c r="G130" s="110"/>
    </row>
    <row r="131" spans="1:7" x14ac:dyDescent="0.25">
      <c r="A131" s="88" t="s">
        <v>257</v>
      </c>
      <c r="B131" s="76">
        <v>2028</v>
      </c>
      <c r="C131" s="115">
        <v>20</v>
      </c>
      <c r="D131" s="115">
        <v>20</v>
      </c>
      <c r="E131" s="4" t="s">
        <v>10</v>
      </c>
      <c r="F131" s="76" t="s">
        <v>16</v>
      </c>
      <c r="G131" s="110"/>
    </row>
    <row r="132" spans="1:7" x14ac:dyDescent="0.25">
      <c r="A132" s="88" t="s">
        <v>168</v>
      </c>
      <c r="B132" s="76">
        <v>2028</v>
      </c>
      <c r="C132" s="115">
        <v>180</v>
      </c>
      <c r="D132" s="115">
        <v>180</v>
      </c>
      <c r="E132" s="4" t="s">
        <v>10</v>
      </c>
      <c r="F132" s="76" t="s">
        <v>16</v>
      </c>
      <c r="G132" s="110"/>
    </row>
    <row r="133" spans="1:7" x14ac:dyDescent="0.25">
      <c r="A133" s="88" t="s">
        <v>258</v>
      </c>
      <c r="B133" s="76">
        <v>2028</v>
      </c>
      <c r="C133" s="115">
        <v>93.5</v>
      </c>
      <c r="D133" s="113">
        <v>0</v>
      </c>
      <c r="E133" s="4" t="s">
        <v>10</v>
      </c>
      <c r="F133" s="76" t="s">
        <v>16</v>
      </c>
    </row>
    <row r="134" spans="1:7" x14ac:dyDescent="0.25">
      <c r="A134" s="88" t="s">
        <v>131</v>
      </c>
      <c r="B134" s="76">
        <v>2028</v>
      </c>
      <c r="C134" s="115">
        <v>80</v>
      </c>
      <c r="D134" s="115">
        <v>80</v>
      </c>
      <c r="E134" s="4" t="s">
        <v>10</v>
      </c>
      <c r="F134" s="76" t="s">
        <v>16</v>
      </c>
    </row>
    <row r="135" spans="1:7" x14ac:dyDescent="0.25">
      <c r="A135" s="88" t="s">
        <v>193</v>
      </c>
      <c r="B135" s="76">
        <v>2028</v>
      </c>
      <c r="C135" s="115">
        <v>20</v>
      </c>
      <c r="D135" s="115">
        <v>20</v>
      </c>
      <c r="E135" s="4" t="s">
        <v>10</v>
      </c>
      <c r="F135" s="76" t="s">
        <v>41</v>
      </c>
      <c r="G135" s="110"/>
    </row>
    <row r="136" spans="1:7" x14ac:dyDescent="0.25">
      <c r="A136" s="88" t="s">
        <v>260</v>
      </c>
      <c r="B136" s="76">
        <v>2028</v>
      </c>
      <c r="C136" s="115">
        <v>0</v>
      </c>
      <c r="D136" s="115">
        <v>119</v>
      </c>
      <c r="E136" s="4" t="s">
        <v>10</v>
      </c>
      <c r="F136" s="76" t="s">
        <v>16</v>
      </c>
      <c r="G136" s="110"/>
    </row>
    <row r="137" spans="1:7" x14ac:dyDescent="0.25">
      <c r="A137" s="88" t="s">
        <v>262</v>
      </c>
      <c r="B137" s="76">
        <v>2028</v>
      </c>
      <c r="C137" s="115">
        <v>135</v>
      </c>
      <c r="D137" s="113">
        <v>0</v>
      </c>
      <c r="E137" s="4" t="s">
        <v>10</v>
      </c>
      <c r="F137" s="76" t="s">
        <v>16</v>
      </c>
      <c r="G137" s="110"/>
    </row>
    <row r="138" spans="1:7" x14ac:dyDescent="0.25">
      <c r="A138" s="88" t="s">
        <v>263</v>
      </c>
      <c r="B138" s="76">
        <v>2028</v>
      </c>
      <c r="C138" s="115">
        <v>270</v>
      </c>
      <c r="D138" s="113">
        <v>0</v>
      </c>
      <c r="E138" s="4" t="s">
        <v>234</v>
      </c>
      <c r="F138" s="76" t="s">
        <v>16</v>
      </c>
      <c r="G138" s="110"/>
    </row>
    <row r="139" spans="1:7" x14ac:dyDescent="0.25">
      <c r="A139" s="88" t="s">
        <v>265</v>
      </c>
      <c r="B139" s="76">
        <v>2028</v>
      </c>
      <c r="C139" s="115">
        <v>240</v>
      </c>
      <c r="D139" s="115">
        <v>240</v>
      </c>
      <c r="E139" s="4" t="s">
        <v>234</v>
      </c>
      <c r="F139" s="76" t="s">
        <v>16</v>
      </c>
      <c r="G139" s="110"/>
    </row>
    <row r="140" spans="1:7" x14ac:dyDescent="0.25">
      <c r="A140" s="88" t="s">
        <v>170</v>
      </c>
      <c r="B140" s="76">
        <v>2028</v>
      </c>
      <c r="C140" s="115">
        <v>147</v>
      </c>
      <c r="D140" s="113">
        <v>0</v>
      </c>
      <c r="E140" s="4" t="s">
        <v>11</v>
      </c>
      <c r="F140" s="76" t="s">
        <v>16</v>
      </c>
      <c r="G140" s="110"/>
    </row>
    <row r="141" spans="1:7" x14ac:dyDescent="0.25">
      <c r="A141" s="88" t="s">
        <v>144</v>
      </c>
      <c r="B141" s="76">
        <v>2028</v>
      </c>
      <c r="C141" s="115">
        <v>20</v>
      </c>
      <c r="D141" s="115">
        <v>20</v>
      </c>
      <c r="E141" s="4" t="s">
        <v>10</v>
      </c>
      <c r="F141" s="76" t="s">
        <v>16</v>
      </c>
      <c r="G141" s="110"/>
    </row>
    <row r="142" spans="1:7" x14ac:dyDescent="0.25">
      <c r="A142" s="88" t="s">
        <v>268</v>
      </c>
      <c r="B142" s="76">
        <v>2028</v>
      </c>
      <c r="C142" s="115">
        <v>100</v>
      </c>
      <c r="D142" s="115">
        <v>100</v>
      </c>
      <c r="E142" s="4" t="s">
        <v>10</v>
      </c>
      <c r="F142" s="76" t="s">
        <v>16</v>
      </c>
      <c r="G142" s="110"/>
    </row>
    <row r="143" spans="1:7" x14ac:dyDescent="0.25">
      <c r="A143" s="88" t="s">
        <v>269</v>
      </c>
      <c r="B143" s="76">
        <v>2028</v>
      </c>
      <c r="C143" s="115">
        <v>100</v>
      </c>
      <c r="D143" s="113">
        <v>0</v>
      </c>
      <c r="E143" s="4" t="s">
        <v>10</v>
      </c>
      <c r="F143" s="76" t="s">
        <v>16</v>
      </c>
      <c r="G143" s="110"/>
    </row>
    <row r="144" spans="1:7" x14ac:dyDescent="0.25">
      <c r="A144" s="88" t="s">
        <v>175</v>
      </c>
      <c r="B144" s="76">
        <v>2028</v>
      </c>
      <c r="C144" s="115">
        <v>200</v>
      </c>
      <c r="D144" s="115">
        <v>200</v>
      </c>
      <c r="E144" s="4" t="s">
        <v>10</v>
      </c>
      <c r="F144" s="76" t="s">
        <v>16</v>
      </c>
      <c r="G144" s="110"/>
    </row>
    <row r="145" spans="1:8" x14ac:dyDescent="0.25">
      <c r="A145" s="88" t="s">
        <v>176</v>
      </c>
      <c r="B145" s="76">
        <v>2028</v>
      </c>
      <c r="C145" s="115">
        <v>79.900000000000006</v>
      </c>
      <c r="D145" s="115">
        <v>79.900000000000006</v>
      </c>
      <c r="E145" s="4" t="s">
        <v>234</v>
      </c>
      <c r="F145" s="76" t="s">
        <v>2</v>
      </c>
      <c r="G145" s="110"/>
    </row>
    <row r="146" spans="1:8" x14ac:dyDescent="0.25">
      <c r="A146" s="88" t="s">
        <v>273</v>
      </c>
      <c r="B146" s="76">
        <v>2028</v>
      </c>
      <c r="C146" s="115">
        <v>125</v>
      </c>
      <c r="D146" s="113">
        <v>0</v>
      </c>
      <c r="E146" s="4" t="s">
        <v>10</v>
      </c>
      <c r="F146" s="76" t="s">
        <v>16</v>
      </c>
      <c r="G146" s="110"/>
    </row>
    <row r="147" spans="1:8" x14ac:dyDescent="0.25">
      <c r="A147" s="88" t="s">
        <v>274</v>
      </c>
      <c r="B147" s="76">
        <v>2028</v>
      </c>
      <c r="C147" s="115">
        <v>94</v>
      </c>
      <c r="D147" s="113">
        <v>0</v>
      </c>
      <c r="E147" s="76" t="s">
        <v>234</v>
      </c>
      <c r="F147" s="76" t="s">
        <v>41</v>
      </c>
      <c r="G147" s="110"/>
    </row>
    <row r="148" spans="1:8" x14ac:dyDescent="0.25">
      <c r="A148" s="88" t="s">
        <v>276</v>
      </c>
      <c r="B148" s="76">
        <v>2028</v>
      </c>
      <c r="C148" s="115">
        <v>0</v>
      </c>
      <c r="D148" s="115">
        <v>130</v>
      </c>
      <c r="E148" s="76" t="s">
        <v>10</v>
      </c>
      <c r="F148" s="76" t="s">
        <v>16</v>
      </c>
      <c r="G148" s="110"/>
    </row>
    <row r="149" spans="1:8" x14ac:dyDescent="0.25">
      <c r="A149" s="88" t="s">
        <v>280</v>
      </c>
      <c r="B149" s="76">
        <v>2028</v>
      </c>
      <c r="C149" s="115">
        <v>0</v>
      </c>
      <c r="D149" s="115">
        <v>250</v>
      </c>
      <c r="E149" s="76" t="s">
        <v>234</v>
      </c>
      <c r="F149" s="76" t="s">
        <v>16</v>
      </c>
      <c r="G149" s="110"/>
    </row>
    <row r="150" spans="1:8" x14ac:dyDescent="0.25">
      <c r="A150" s="88" t="s">
        <v>285</v>
      </c>
      <c r="B150" s="76">
        <v>2028</v>
      </c>
      <c r="C150" s="115">
        <v>401.6</v>
      </c>
      <c r="D150" s="115">
        <v>401.6</v>
      </c>
      <c r="E150" s="76" t="s">
        <v>10</v>
      </c>
      <c r="F150" s="76" t="s">
        <v>16</v>
      </c>
      <c r="G150" s="110"/>
      <c r="H150" s="84"/>
    </row>
    <row r="151" spans="1:8" x14ac:dyDescent="0.25">
      <c r="A151" s="88" t="s">
        <v>286</v>
      </c>
      <c r="B151" s="76">
        <v>2028</v>
      </c>
      <c r="C151" s="115">
        <v>0</v>
      </c>
      <c r="D151" s="115">
        <v>200</v>
      </c>
      <c r="E151" s="76" t="s">
        <v>10</v>
      </c>
      <c r="F151" s="76" t="s">
        <v>16</v>
      </c>
      <c r="G151" s="110"/>
    </row>
    <row r="152" spans="1:8" x14ac:dyDescent="0.25">
      <c r="A152" s="88" t="s">
        <v>287</v>
      </c>
      <c r="B152" s="76">
        <v>2028</v>
      </c>
      <c r="C152" s="115">
        <v>20</v>
      </c>
      <c r="D152" s="113">
        <v>0</v>
      </c>
      <c r="E152" s="76" t="s">
        <v>235</v>
      </c>
      <c r="F152" s="76" t="s">
        <v>15</v>
      </c>
      <c r="G152" s="110"/>
    </row>
    <row r="153" spans="1:8" x14ac:dyDescent="0.25">
      <c r="A153" s="88" t="s">
        <v>288</v>
      </c>
      <c r="B153" s="76">
        <v>2028</v>
      </c>
      <c r="C153" s="115">
        <v>0</v>
      </c>
      <c r="D153" s="115">
        <v>100</v>
      </c>
      <c r="E153" s="76" t="s">
        <v>10</v>
      </c>
      <c r="F153" s="76" t="s">
        <v>16</v>
      </c>
      <c r="G153" s="110"/>
    </row>
    <row r="154" spans="1:8" x14ac:dyDescent="0.25">
      <c r="A154" s="88" t="s">
        <v>289</v>
      </c>
      <c r="B154" s="76">
        <v>2028</v>
      </c>
      <c r="C154" s="115">
        <v>30.4</v>
      </c>
      <c r="D154" s="113">
        <v>0</v>
      </c>
      <c r="E154" s="76" t="s">
        <v>235</v>
      </c>
      <c r="F154" s="76" t="s">
        <v>15</v>
      </c>
      <c r="G154" s="110"/>
    </row>
    <row r="155" spans="1:8" x14ac:dyDescent="0.25">
      <c r="A155" s="88" t="s">
        <v>290</v>
      </c>
      <c r="B155" s="76">
        <v>2028</v>
      </c>
      <c r="C155" s="115">
        <v>0</v>
      </c>
      <c r="D155" s="115">
        <v>205</v>
      </c>
      <c r="E155" s="76" t="s">
        <v>234</v>
      </c>
      <c r="F155" s="76" t="s">
        <v>41</v>
      </c>
      <c r="G155" s="110"/>
    </row>
    <row r="156" spans="1:8" x14ac:dyDescent="0.25">
      <c r="A156" s="88" t="s">
        <v>291</v>
      </c>
      <c r="B156" s="76">
        <v>2028</v>
      </c>
      <c r="C156" s="115">
        <v>150</v>
      </c>
      <c r="D156" s="113">
        <v>0</v>
      </c>
      <c r="E156" s="76" t="s">
        <v>234</v>
      </c>
      <c r="F156" s="76" t="s">
        <v>15</v>
      </c>
      <c r="G156" s="110"/>
    </row>
    <row r="157" spans="1:8" x14ac:dyDescent="0.25">
      <c r="A157" s="88" t="s">
        <v>292</v>
      </c>
      <c r="B157" s="76">
        <v>2028</v>
      </c>
      <c r="C157" s="115">
        <v>72</v>
      </c>
      <c r="D157" s="113">
        <v>0</v>
      </c>
      <c r="E157" s="76" t="s">
        <v>11</v>
      </c>
      <c r="F157" s="76" t="s">
        <v>16</v>
      </c>
      <c r="G157" s="110"/>
    </row>
    <row r="158" spans="1:8" x14ac:dyDescent="0.25">
      <c r="A158" s="88" t="s">
        <v>293</v>
      </c>
      <c r="B158" s="76">
        <v>2028</v>
      </c>
      <c r="C158" s="115">
        <v>97</v>
      </c>
      <c r="D158" s="113">
        <v>0</v>
      </c>
      <c r="E158" s="76" t="s">
        <v>11</v>
      </c>
      <c r="F158" s="76" t="s">
        <v>16</v>
      </c>
      <c r="G158" s="110"/>
    </row>
    <row r="159" spans="1:8" x14ac:dyDescent="0.25">
      <c r="A159" s="88" t="s">
        <v>295</v>
      </c>
      <c r="B159" s="76">
        <v>2028</v>
      </c>
      <c r="C159" s="115">
        <v>250</v>
      </c>
      <c r="D159" s="113">
        <v>0</v>
      </c>
      <c r="E159" s="76" t="s">
        <v>10</v>
      </c>
      <c r="F159" s="76" t="s">
        <v>16</v>
      </c>
      <c r="G159" s="110"/>
    </row>
    <row r="160" spans="1:8" x14ac:dyDescent="0.25">
      <c r="A160" s="88" t="s">
        <v>296</v>
      </c>
      <c r="B160" s="76">
        <v>2028</v>
      </c>
      <c r="C160" s="115">
        <v>200</v>
      </c>
      <c r="D160" s="113">
        <v>0</v>
      </c>
      <c r="E160" s="76" t="s">
        <v>10</v>
      </c>
      <c r="F160" s="76" t="s">
        <v>16</v>
      </c>
      <c r="G160" s="110"/>
    </row>
    <row r="161" spans="1:7" x14ac:dyDescent="0.25">
      <c r="A161" s="88" t="s">
        <v>297</v>
      </c>
      <c r="B161" s="76">
        <v>2028</v>
      </c>
      <c r="C161" s="115">
        <v>105</v>
      </c>
      <c r="D161" s="113">
        <v>0</v>
      </c>
      <c r="E161" s="76" t="s">
        <v>10</v>
      </c>
      <c r="F161" s="76" t="s">
        <v>16</v>
      </c>
      <c r="G161" s="110"/>
    </row>
    <row r="162" spans="1:7" x14ac:dyDescent="0.25">
      <c r="A162" s="89" t="s">
        <v>254</v>
      </c>
      <c r="C162" s="117">
        <f>SUM(C123:C161)</f>
        <v>4361.6000000000004</v>
      </c>
      <c r="D162" s="117">
        <f>SUM(D126:D161)</f>
        <v>2575.5</v>
      </c>
    </row>
    <row r="164" spans="1:7" x14ac:dyDescent="0.25">
      <c r="A164" s="88" t="s">
        <v>260</v>
      </c>
      <c r="B164" s="76">
        <v>2029</v>
      </c>
      <c r="C164" s="115">
        <v>119</v>
      </c>
      <c r="D164" s="113">
        <v>0</v>
      </c>
      <c r="E164" s="4" t="s">
        <v>10</v>
      </c>
      <c r="F164" s="76" t="s">
        <v>16</v>
      </c>
    </row>
    <row r="165" spans="1:7" x14ac:dyDescent="0.25">
      <c r="A165" s="88" t="s">
        <v>276</v>
      </c>
      <c r="B165" s="76">
        <v>2029</v>
      </c>
      <c r="C165" s="115">
        <v>130</v>
      </c>
      <c r="D165" s="113">
        <v>0</v>
      </c>
      <c r="E165" s="76" t="s">
        <v>10</v>
      </c>
      <c r="F165" s="76" t="s">
        <v>16</v>
      </c>
      <c r="G165" s="110"/>
    </row>
    <row r="166" spans="1:7" x14ac:dyDescent="0.25">
      <c r="A166" s="88" t="s">
        <v>280</v>
      </c>
      <c r="B166" s="76">
        <v>2029</v>
      </c>
      <c r="C166" s="115">
        <v>250</v>
      </c>
      <c r="D166" s="113">
        <v>0</v>
      </c>
      <c r="E166" s="76" t="s">
        <v>234</v>
      </c>
      <c r="F166" s="76" t="s">
        <v>16</v>
      </c>
      <c r="G166" s="110"/>
    </row>
    <row r="167" spans="1:7" x14ac:dyDescent="0.25">
      <c r="A167" s="88" t="s">
        <v>286</v>
      </c>
      <c r="B167" s="76">
        <v>2029</v>
      </c>
      <c r="C167" s="115">
        <v>200</v>
      </c>
      <c r="D167" s="113">
        <v>0</v>
      </c>
      <c r="E167" s="76" t="s">
        <v>10</v>
      </c>
      <c r="F167" s="76" t="s">
        <v>16</v>
      </c>
      <c r="G167" s="110"/>
    </row>
    <row r="168" spans="1:7" x14ac:dyDescent="0.25">
      <c r="A168" s="88" t="s">
        <v>288</v>
      </c>
      <c r="B168" s="76">
        <v>2029</v>
      </c>
      <c r="C168" s="115">
        <v>100</v>
      </c>
      <c r="D168" s="113">
        <v>0</v>
      </c>
      <c r="E168" s="76" t="s">
        <v>10</v>
      </c>
      <c r="F168" s="76" t="s">
        <v>16</v>
      </c>
      <c r="G168" s="110"/>
    </row>
    <row r="169" spans="1:7" x14ac:dyDescent="0.25">
      <c r="A169" s="88" t="s">
        <v>290</v>
      </c>
      <c r="B169" s="76">
        <v>2029</v>
      </c>
      <c r="C169" s="115">
        <v>205</v>
      </c>
      <c r="D169" s="113">
        <v>0</v>
      </c>
      <c r="E169" s="76" t="s">
        <v>234</v>
      </c>
      <c r="F169" s="76" t="s">
        <v>41</v>
      </c>
      <c r="G169" s="110"/>
    </row>
    <row r="170" spans="1:7" x14ac:dyDescent="0.25">
      <c r="A170" s="89" t="s">
        <v>261</v>
      </c>
      <c r="C170" s="117">
        <f>SUM(C164:C169)</f>
        <v>1004</v>
      </c>
      <c r="D170" s="117">
        <f>SUM(D164:D169)</f>
        <v>0</v>
      </c>
    </row>
  </sheetData>
  <pageMargins left="0.7" right="0.7" top="0.75" bottom="0.75" header="0.3" footer="0.3"/>
  <pageSetup scale="54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6"/>
  <sheetViews>
    <sheetView zoomScale="80" zoomScaleNormal="80" workbookViewId="0"/>
  </sheetViews>
  <sheetFormatPr defaultRowHeight="15" x14ac:dyDescent="0.25"/>
  <cols>
    <col min="1" max="1" width="27.28515625" customWidth="1"/>
    <col min="3" max="4" width="9.140625" bestFit="1" customWidth="1"/>
    <col min="5" max="5" width="9.140625" style="96" customWidth="1"/>
  </cols>
  <sheetData>
    <row r="1" spans="1:8" x14ac:dyDescent="0.25">
      <c r="A1" s="69" t="s">
        <v>129</v>
      </c>
    </row>
    <row r="3" spans="1:8" x14ac:dyDescent="0.25">
      <c r="A3" s="69" t="s">
        <v>105</v>
      </c>
      <c r="B3" s="70" t="s">
        <v>42</v>
      </c>
      <c r="C3" s="70" t="s">
        <v>130</v>
      </c>
      <c r="D3" s="70" t="s">
        <v>104</v>
      </c>
      <c r="E3" s="70"/>
      <c r="F3" s="70" t="s">
        <v>12</v>
      </c>
    </row>
    <row r="4" spans="1:8" s="4" customFormat="1" x14ac:dyDescent="0.25">
      <c r="A4" s="88" t="s">
        <v>156</v>
      </c>
      <c r="B4" s="76">
        <v>2025</v>
      </c>
      <c r="C4" s="76">
        <v>-13.8</v>
      </c>
      <c r="D4" s="18">
        <v>-18</v>
      </c>
      <c r="E4" s="76"/>
      <c r="F4" s="76" t="s">
        <v>2</v>
      </c>
      <c r="G4" s="60"/>
      <c r="H4" s="60"/>
    </row>
    <row r="5" spans="1:8" x14ac:dyDescent="0.25">
      <c r="A5" t="s">
        <v>159</v>
      </c>
      <c r="B5">
        <v>2025</v>
      </c>
      <c r="C5">
        <v>-16.7</v>
      </c>
      <c r="D5">
        <v>-21.3</v>
      </c>
      <c r="F5" t="s">
        <v>15</v>
      </c>
    </row>
    <row r="6" spans="1:8" s="4" customFormat="1" x14ac:dyDescent="0.25">
      <c r="A6" s="88" t="s">
        <v>302</v>
      </c>
      <c r="B6" s="76">
        <v>2025</v>
      </c>
      <c r="C6" s="76">
        <v>-11.6</v>
      </c>
      <c r="D6" s="76">
        <v>-11.6</v>
      </c>
      <c r="E6" s="76"/>
      <c r="F6" s="76" t="s">
        <v>16</v>
      </c>
      <c r="G6" s="60"/>
      <c r="H6" s="60"/>
    </row>
    <row r="7" spans="1:8" s="73" customFormat="1" x14ac:dyDescent="0.25">
      <c r="A7" s="71" t="s">
        <v>132</v>
      </c>
      <c r="B7"/>
      <c r="C7" s="69">
        <f>SUM(C4:C6)</f>
        <v>-42.1</v>
      </c>
      <c r="D7" s="69">
        <f>SUM(D4:D6)</f>
        <v>-50.9</v>
      </c>
      <c r="E7" s="69"/>
      <c r="F7"/>
    </row>
    <row r="8" spans="1:8" s="73" customFormat="1" x14ac:dyDescent="0.25">
      <c r="A8" s="82"/>
      <c r="B8"/>
      <c r="C8"/>
      <c r="D8"/>
      <c r="E8" s="96"/>
      <c r="F8"/>
    </row>
    <row r="9" spans="1:8" s="96" customFormat="1" x14ac:dyDescent="0.25">
      <c r="A9" s="82" t="s">
        <v>153</v>
      </c>
      <c r="B9" s="96">
        <v>2026</v>
      </c>
      <c r="C9" s="96">
        <v>-19.7</v>
      </c>
      <c r="D9" s="96">
        <v>-25.2</v>
      </c>
      <c r="F9" s="96" t="s">
        <v>41</v>
      </c>
    </row>
    <row r="10" spans="1:8" s="73" customFormat="1" x14ac:dyDescent="0.25">
      <c r="A10" s="71" t="s">
        <v>133</v>
      </c>
      <c r="B10"/>
      <c r="C10" s="69">
        <f>SUM(C9)</f>
        <v>-19.7</v>
      </c>
      <c r="D10" s="69">
        <f>SUM(D9)</f>
        <v>-25.2</v>
      </c>
      <c r="E10" s="96"/>
      <c r="F10"/>
    </row>
    <row r="11" spans="1:8" s="73" customFormat="1" x14ac:dyDescent="0.25">
      <c r="A11"/>
      <c r="B11"/>
      <c r="C11"/>
      <c r="D11"/>
      <c r="E11" s="96"/>
      <c r="F11"/>
    </row>
    <row r="12" spans="1:8" s="96" customFormat="1" x14ac:dyDescent="0.25">
      <c r="C12" s="18"/>
      <c r="D12" s="18"/>
    </row>
    <row r="13" spans="1:8" s="96" customFormat="1" x14ac:dyDescent="0.25">
      <c r="C13" s="18"/>
      <c r="D13" s="18"/>
    </row>
    <row r="14" spans="1:8" s="96" customFormat="1" x14ac:dyDescent="0.25">
      <c r="C14" s="18"/>
      <c r="D14" s="18"/>
    </row>
    <row r="15" spans="1:8" s="96" customFormat="1" x14ac:dyDescent="0.25">
      <c r="C15" s="18"/>
      <c r="D15" s="18"/>
    </row>
    <row r="16" spans="1:8" s="96" customFormat="1" x14ac:dyDescent="0.25">
      <c r="C16" s="18"/>
      <c r="D16" s="18"/>
    </row>
    <row r="17" spans="1:6" s="96" customFormat="1" x14ac:dyDescent="0.25">
      <c r="C17" s="18"/>
      <c r="D17" s="18"/>
    </row>
    <row r="18" spans="1:6" s="96" customFormat="1" x14ac:dyDescent="0.25">
      <c r="C18" s="18"/>
      <c r="D18" s="18"/>
    </row>
    <row r="19" spans="1:6" s="96" customFormat="1" x14ac:dyDescent="0.25">
      <c r="C19" s="18"/>
      <c r="D19" s="18"/>
    </row>
    <row r="20" spans="1:6" s="96" customFormat="1" x14ac:dyDescent="0.25">
      <c r="C20" s="18"/>
      <c r="D20" s="18"/>
    </row>
    <row r="21" spans="1:6" s="96" customFormat="1" x14ac:dyDescent="0.25">
      <c r="C21" s="18"/>
      <c r="D21" s="18"/>
    </row>
    <row r="22" spans="1:6" s="96" customFormat="1" x14ac:dyDescent="0.25">
      <c r="C22" s="18"/>
      <c r="D22" s="18"/>
    </row>
    <row r="23" spans="1:6" s="96" customFormat="1" x14ac:dyDescent="0.25">
      <c r="A23" s="71"/>
      <c r="C23" s="81"/>
      <c r="D23" s="81"/>
    </row>
    <row r="24" spans="1:6" s="96" customFormat="1" x14ac:dyDescent="0.25">
      <c r="C24" s="18"/>
      <c r="D24" s="18"/>
    </row>
    <row r="25" spans="1:6" s="73" customFormat="1" x14ac:dyDescent="0.25">
      <c r="A25"/>
      <c r="B25"/>
      <c r="C25" s="18"/>
      <c r="D25" s="18"/>
      <c r="E25" s="96"/>
      <c r="F25" s="96"/>
    </row>
    <row r="26" spans="1:6" s="73" customFormat="1" x14ac:dyDescent="0.25">
      <c r="A26"/>
      <c r="B26" s="96"/>
      <c r="C26" s="18"/>
      <c r="D26" s="18"/>
      <c r="E26" s="96"/>
      <c r="F26" s="96"/>
    </row>
    <row r="27" spans="1:6" s="73" customFormat="1" x14ac:dyDescent="0.25">
      <c r="A27"/>
      <c r="B27" s="96"/>
      <c r="C27" s="18"/>
      <c r="D27" s="18"/>
      <c r="E27" s="96"/>
      <c r="F27" s="96"/>
    </row>
    <row r="28" spans="1:6" s="73" customFormat="1" x14ac:dyDescent="0.25">
      <c r="A28"/>
      <c r="B28" s="96"/>
      <c r="C28" s="18"/>
      <c r="D28" s="18"/>
      <c r="E28" s="96"/>
      <c r="F28" s="96"/>
    </row>
    <row r="29" spans="1:6" s="73" customFormat="1" x14ac:dyDescent="0.25">
      <c r="A29"/>
      <c r="B29" s="96"/>
      <c r="C29" s="18"/>
      <c r="D29" s="18"/>
      <c r="E29" s="96"/>
      <c r="F29" s="96"/>
    </row>
    <row r="30" spans="1:6" s="73" customFormat="1" x14ac:dyDescent="0.25">
      <c r="A30"/>
      <c r="B30" s="96"/>
      <c r="C30" s="18"/>
      <c r="D30" s="18"/>
      <c r="E30" s="96"/>
      <c r="F30" s="96"/>
    </row>
    <row r="31" spans="1:6" s="73" customFormat="1" x14ac:dyDescent="0.25">
      <c r="A31"/>
      <c r="B31" s="96"/>
      <c r="C31" s="18"/>
      <c r="D31" s="18"/>
      <c r="E31" s="96"/>
      <c r="F31" s="96"/>
    </row>
    <row r="32" spans="1:6" s="73" customFormat="1" x14ac:dyDescent="0.25">
      <c r="A32"/>
      <c r="B32" s="96"/>
      <c r="C32" s="18"/>
      <c r="D32" s="18"/>
      <c r="E32" s="96"/>
      <c r="F32" s="96"/>
    </row>
    <row r="33" spans="1:6" x14ac:dyDescent="0.25">
      <c r="B33" s="96"/>
      <c r="C33" s="18"/>
      <c r="D33" s="18"/>
      <c r="F33" s="96"/>
    </row>
    <row r="34" spans="1:6" x14ac:dyDescent="0.25">
      <c r="B34" s="96"/>
      <c r="C34" s="18"/>
      <c r="D34" s="18"/>
      <c r="F34" s="96"/>
    </row>
    <row r="35" spans="1:6" x14ac:dyDescent="0.25">
      <c r="B35" s="96"/>
      <c r="C35" s="18"/>
      <c r="D35" s="18"/>
      <c r="F35" s="96"/>
    </row>
    <row r="36" spans="1:6" x14ac:dyDescent="0.25">
      <c r="A36" s="71"/>
      <c r="C36" s="69"/>
      <c r="D36" s="8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zoomScale="80" zoomScaleNormal="80" workbookViewId="0"/>
  </sheetViews>
  <sheetFormatPr defaultRowHeight="15" x14ac:dyDescent="0.25"/>
  <cols>
    <col min="1" max="1" width="41.7109375" bestFit="1" customWidth="1"/>
  </cols>
  <sheetData>
    <row r="1" spans="1:8" x14ac:dyDescent="0.25">
      <c r="A1" s="69" t="s">
        <v>152</v>
      </c>
      <c r="B1" s="73"/>
      <c r="C1" s="73"/>
      <c r="D1" s="73"/>
      <c r="E1" s="73"/>
    </row>
    <row r="2" spans="1:8" x14ac:dyDescent="0.25">
      <c r="A2" s="73"/>
      <c r="B2" s="73"/>
      <c r="C2" s="73"/>
      <c r="D2" s="73"/>
      <c r="E2" s="73"/>
    </row>
    <row r="3" spans="1:8" x14ac:dyDescent="0.25">
      <c r="A3" s="69" t="s">
        <v>105</v>
      </c>
      <c r="B3" s="70" t="s">
        <v>42</v>
      </c>
      <c r="C3" s="70" t="s">
        <v>130</v>
      </c>
      <c r="D3" s="70" t="s">
        <v>104</v>
      </c>
      <c r="F3" s="70" t="s">
        <v>12</v>
      </c>
    </row>
    <row r="4" spans="1:8" s="96" customFormat="1" x14ac:dyDescent="0.25">
      <c r="A4" s="88" t="s">
        <v>158</v>
      </c>
      <c r="B4" s="76">
        <v>2025</v>
      </c>
      <c r="C4" s="95">
        <v>-46</v>
      </c>
      <c r="D4" s="95">
        <v>-50.7</v>
      </c>
      <c r="E4" s="76"/>
      <c r="F4" s="76" t="s">
        <v>15</v>
      </c>
      <c r="G4" s="60"/>
      <c r="H4" s="11"/>
    </row>
    <row r="5" spans="1:8" s="96" customFormat="1" x14ac:dyDescent="0.25">
      <c r="A5" s="88" t="s">
        <v>160</v>
      </c>
      <c r="B5" s="76">
        <v>2025</v>
      </c>
      <c r="C5" s="95">
        <v>-54.1</v>
      </c>
      <c r="D5" s="95">
        <v>-66.599999999999994</v>
      </c>
      <c r="E5" s="76"/>
      <c r="F5" s="76" t="s">
        <v>15</v>
      </c>
      <c r="G5" s="60"/>
      <c r="H5" s="11"/>
    </row>
    <row r="6" spans="1:8" s="110" customFormat="1" x14ac:dyDescent="0.25">
      <c r="A6" s="88" t="s">
        <v>161</v>
      </c>
      <c r="B6" s="76">
        <v>2025</v>
      </c>
      <c r="C6" s="95">
        <v>-12.4</v>
      </c>
      <c r="D6" s="95">
        <v>-16.100000000000001</v>
      </c>
      <c r="E6" s="76"/>
      <c r="F6" s="76" t="s">
        <v>2</v>
      </c>
      <c r="G6" s="60"/>
      <c r="H6" s="11"/>
    </row>
    <row r="7" spans="1:8" s="96" customFormat="1" x14ac:dyDescent="0.25">
      <c r="A7" s="89" t="s">
        <v>132</v>
      </c>
      <c r="B7" s="76"/>
      <c r="C7" s="94">
        <f>SUM(C4:C6)</f>
        <v>-112.5</v>
      </c>
      <c r="D7" s="94">
        <f>SUM(D4:D6)</f>
        <v>-133.4</v>
      </c>
      <c r="E7" s="76"/>
      <c r="F7" s="76"/>
      <c r="G7" s="60"/>
      <c r="H7" s="11"/>
    </row>
    <row r="8" spans="1:8" s="96" customFormat="1" x14ac:dyDescent="0.25">
      <c r="A8" s="88"/>
      <c r="B8" s="76"/>
      <c r="C8" s="95"/>
      <c r="D8" s="95"/>
      <c r="E8" s="76"/>
      <c r="F8" s="76"/>
      <c r="G8" s="60"/>
      <c r="H8" s="11"/>
    </row>
    <row r="9" spans="1:8" s="96" customFormat="1" x14ac:dyDescent="0.25">
      <c r="A9" s="74" t="s">
        <v>162</v>
      </c>
      <c r="B9" s="97">
        <v>2026</v>
      </c>
      <c r="C9" s="75">
        <v>-142.19999999999999</v>
      </c>
      <c r="D9" s="75"/>
      <c r="F9" s="75" t="s">
        <v>2</v>
      </c>
    </row>
    <row r="10" spans="1:8" s="96" customFormat="1" x14ac:dyDescent="0.25">
      <c r="A10" s="74" t="s">
        <v>163</v>
      </c>
      <c r="B10" s="97">
        <v>2026</v>
      </c>
      <c r="C10" s="75">
        <v>-140.19999999999999</v>
      </c>
      <c r="D10" s="75"/>
      <c r="F10" s="75" t="s">
        <v>2</v>
      </c>
    </row>
    <row r="11" spans="1:8" s="96" customFormat="1" x14ac:dyDescent="0.25">
      <c r="A11" s="74" t="s">
        <v>164</v>
      </c>
      <c r="B11" s="97">
        <v>2026</v>
      </c>
      <c r="C11" s="75">
        <v>-288.3</v>
      </c>
      <c r="D11" s="75"/>
      <c r="F11" s="75" t="s">
        <v>2</v>
      </c>
    </row>
    <row r="12" spans="1:8" s="96" customFormat="1" x14ac:dyDescent="0.25">
      <c r="A12" s="89" t="s">
        <v>133</v>
      </c>
      <c r="B12" s="70"/>
      <c r="C12" s="70">
        <f>SUM(C9:C11)</f>
        <v>-570.70000000000005</v>
      </c>
      <c r="D12" s="70"/>
      <c r="F12" s="70"/>
    </row>
    <row r="13" spans="1:8" s="96" customFormat="1" x14ac:dyDescent="0.25">
      <c r="A13" s="69"/>
      <c r="B13" s="70"/>
      <c r="C13" s="70"/>
      <c r="D13" s="70"/>
      <c r="F13" s="70"/>
    </row>
    <row r="14" spans="1:8" s="110" customFormat="1" x14ac:dyDescent="0.25">
      <c r="A14" s="110" t="s">
        <v>214</v>
      </c>
      <c r="B14" s="110">
        <v>2030</v>
      </c>
      <c r="D14" s="18">
        <v>-40</v>
      </c>
      <c r="F14" s="110" t="s">
        <v>2</v>
      </c>
    </row>
    <row r="15" spans="1:8" s="110" customFormat="1" x14ac:dyDescent="0.25">
      <c r="A15" s="110" t="s">
        <v>215</v>
      </c>
      <c r="B15" s="110">
        <v>2030</v>
      </c>
      <c r="D15" s="18">
        <v>-39.9</v>
      </c>
      <c r="F15" s="110" t="s">
        <v>2</v>
      </c>
    </row>
    <row r="16" spans="1:8" s="110" customFormat="1" x14ac:dyDescent="0.25">
      <c r="A16" s="110" t="s">
        <v>216</v>
      </c>
      <c r="B16" s="110">
        <v>2030</v>
      </c>
      <c r="D16" s="18">
        <v>-46</v>
      </c>
      <c r="F16" s="110" t="s">
        <v>2</v>
      </c>
    </row>
    <row r="17" spans="1:6" s="110" customFormat="1" x14ac:dyDescent="0.25">
      <c r="A17" s="110" t="s">
        <v>217</v>
      </c>
      <c r="B17" s="110">
        <v>2030</v>
      </c>
      <c r="D17" s="18">
        <v>-46</v>
      </c>
      <c r="F17" s="110" t="s">
        <v>2</v>
      </c>
    </row>
    <row r="18" spans="1:6" s="110" customFormat="1" x14ac:dyDescent="0.25">
      <c r="A18" s="110" t="s">
        <v>218</v>
      </c>
      <c r="B18" s="110">
        <v>2030</v>
      </c>
      <c r="D18" s="18">
        <v>-39.9</v>
      </c>
      <c r="F18" s="110" t="s">
        <v>2</v>
      </c>
    </row>
    <row r="19" spans="1:6" s="110" customFormat="1" x14ac:dyDescent="0.25">
      <c r="A19" s="110" t="s">
        <v>219</v>
      </c>
      <c r="B19" s="110">
        <v>2030</v>
      </c>
      <c r="D19" s="18">
        <v>-40</v>
      </c>
      <c r="F19" s="110" t="s">
        <v>2</v>
      </c>
    </row>
    <row r="20" spans="1:6" s="110" customFormat="1" x14ac:dyDescent="0.25">
      <c r="A20" s="110" t="s">
        <v>220</v>
      </c>
      <c r="B20" s="110">
        <v>2030</v>
      </c>
      <c r="D20" s="18">
        <v>-39.9</v>
      </c>
      <c r="F20" s="110" t="s">
        <v>2</v>
      </c>
    </row>
    <row r="21" spans="1:6" s="110" customFormat="1" x14ac:dyDescent="0.25">
      <c r="A21" s="110" t="s">
        <v>221</v>
      </c>
      <c r="B21" s="110">
        <v>2030</v>
      </c>
      <c r="D21" s="18">
        <v>-40</v>
      </c>
      <c r="F21" s="110" t="s">
        <v>2</v>
      </c>
    </row>
    <row r="22" spans="1:6" s="110" customFormat="1" x14ac:dyDescent="0.25">
      <c r="A22" s="110" t="s">
        <v>222</v>
      </c>
      <c r="B22" s="110">
        <v>2030</v>
      </c>
      <c r="D22" s="18">
        <v>-40</v>
      </c>
      <c r="F22" s="110" t="s">
        <v>2</v>
      </c>
    </row>
    <row r="23" spans="1:6" s="110" customFormat="1" x14ac:dyDescent="0.25">
      <c r="A23" s="110" t="s">
        <v>223</v>
      </c>
      <c r="B23" s="110">
        <v>2030</v>
      </c>
      <c r="D23" s="18">
        <v>-39.9</v>
      </c>
      <c r="F23" s="110" t="s">
        <v>2</v>
      </c>
    </row>
    <row r="24" spans="1:6" s="110" customFormat="1" x14ac:dyDescent="0.25">
      <c r="A24" s="110" t="s">
        <v>224</v>
      </c>
      <c r="B24" s="110">
        <v>2030</v>
      </c>
      <c r="D24" s="18">
        <v>-46</v>
      </c>
      <c r="F24" s="110" t="s">
        <v>15</v>
      </c>
    </row>
    <row r="25" spans="1:6" s="110" customFormat="1" x14ac:dyDescent="0.25">
      <c r="A25" s="71" t="s">
        <v>225</v>
      </c>
      <c r="D25" s="81">
        <f>SUM(D14:D24)</f>
        <v>-457.59999999999997</v>
      </c>
    </row>
    <row r="26" spans="1:6" s="110" customFormat="1" x14ac:dyDescent="0.25">
      <c r="A26" s="71"/>
      <c r="C26" s="81"/>
    </row>
    <row r="27" spans="1:6" x14ac:dyDescent="0.25">
      <c r="A27" s="96" t="s">
        <v>214</v>
      </c>
      <c r="B27" s="96">
        <v>2031</v>
      </c>
      <c r="C27" s="18">
        <v>-40</v>
      </c>
      <c r="E27" s="96"/>
      <c r="F27" s="96" t="s">
        <v>2</v>
      </c>
    </row>
    <row r="28" spans="1:6" x14ac:dyDescent="0.25">
      <c r="A28" s="96" t="s">
        <v>215</v>
      </c>
      <c r="B28" s="96">
        <v>2031</v>
      </c>
      <c r="C28" s="18">
        <v>-39.9</v>
      </c>
      <c r="E28" s="96"/>
      <c r="F28" s="96" t="s">
        <v>2</v>
      </c>
    </row>
    <row r="29" spans="1:6" s="73" customFormat="1" x14ac:dyDescent="0.25">
      <c r="A29" s="96" t="s">
        <v>216</v>
      </c>
      <c r="B29" s="96">
        <v>2031</v>
      </c>
      <c r="C29" s="18">
        <v>-45.7</v>
      </c>
      <c r="E29" s="96"/>
      <c r="F29" s="96" t="s">
        <v>2</v>
      </c>
    </row>
    <row r="30" spans="1:6" x14ac:dyDescent="0.25">
      <c r="A30" s="96" t="s">
        <v>217</v>
      </c>
      <c r="B30" s="96">
        <v>2031</v>
      </c>
      <c r="C30" s="18">
        <v>-44.7</v>
      </c>
      <c r="E30" s="96"/>
      <c r="F30" s="96" t="s">
        <v>2</v>
      </c>
    </row>
    <row r="31" spans="1:6" x14ac:dyDescent="0.25">
      <c r="A31" s="96" t="s">
        <v>218</v>
      </c>
      <c r="B31" s="96">
        <v>2031</v>
      </c>
      <c r="C31" s="18">
        <v>-39.9</v>
      </c>
      <c r="E31" s="96"/>
      <c r="F31" s="96" t="s">
        <v>2</v>
      </c>
    </row>
    <row r="32" spans="1:6" x14ac:dyDescent="0.25">
      <c r="A32" s="96" t="s">
        <v>219</v>
      </c>
      <c r="B32" s="96">
        <v>2031</v>
      </c>
      <c r="C32" s="18">
        <v>-39.6</v>
      </c>
      <c r="E32" s="96"/>
      <c r="F32" s="96" t="s">
        <v>2</v>
      </c>
    </row>
    <row r="33" spans="1:6" s="73" customFormat="1" x14ac:dyDescent="0.25">
      <c r="A33" s="96" t="s">
        <v>220</v>
      </c>
      <c r="B33" s="96">
        <v>2031</v>
      </c>
      <c r="C33" s="18">
        <v>-39.9</v>
      </c>
      <c r="E33" s="96"/>
      <c r="F33" s="96" t="s">
        <v>2</v>
      </c>
    </row>
    <row r="34" spans="1:6" s="73" customFormat="1" x14ac:dyDescent="0.25">
      <c r="A34" s="96" t="s">
        <v>221</v>
      </c>
      <c r="B34" s="96">
        <v>2031</v>
      </c>
      <c r="C34" s="18">
        <v>-39.6</v>
      </c>
      <c r="E34" s="96"/>
      <c r="F34" s="96" t="s">
        <v>2</v>
      </c>
    </row>
    <row r="35" spans="1:6" x14ac:dyDescent="0.25">
      <c r="A35" s="96" t="s">
        <v>222</v>
      </c>
      <c r="B35" s="96">
        <v>2031</v>
      </c>
      <c r="C35" s="18">
        <v>-40</v>
      </c>
      <c r="E35" s="96"/>
      <c r="F35" s="96" t="s">
        <v>2</v>
      </c>
    </row>
    <row r="36" spans="1:6" x14ac:dyDescent="0.25">
      <c r="A36" s="96" t="s">
        <v>223</v>
      </c>
      <c r="B36" s="96">
        <v>2031</v>
      </c>
      <c r="C36" s="18">
        <v>-39.9</v>
      </c>
      <c r="E36" s="96"/>
      <c r="F36" s="96" t="s">
        <v>2</v>
      </c>
    </row>
    <row r="37" spans="1:6" x14ac:dyDescent="0.25">
      <c r="A37" s="96" t="s">
        <v>224</v>
      </c>
      <c r="B37" s="96">
        <v>2031</v>
      </c>
      <c r="C37" s="18">
        <v>-45</v>
      </c>
      <c r="E37" s="96"/>
      <c r="F37" s="96" t="s">
        <v>15</v>
      </c>
    </row>
    <row r="38" spans="1:6" x14ac:dyDescent="0.25">
      <c r="A38" s="71" t="s">
        <v>225</v>
      </c>
      <c r="B38" s="96"/>
      <c r="C38" s="81">
        <f>SUM(C27:C37)</f>
        <v>-454.2</v>
      </c>
      <c r="E38" s="96"/>
      <c r="F38" s="9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pageSetUpPr fitToPage="1"/>
  </sheetPr>
  <dimension ref="A1:Q44"/>
  <sheetViews>
    <sheetView zoomScale="80" zoomScaleNormal="80" workbookViewId="0">
      <selection activeCell="D24" sqref="D24:O24"/>
    </sheetView>
  </sheetViews>
  <sheetFormatPr defaultColWidth="8.85546875" defaultRowHeight="15" x14ac:dyDescent="0.25"/>
  <cols>
    <col min="4" max="4" width="10.140625" bestFit="1" customWidth="1"/>
    <col min="5" max="5" width="11.140625" bestFit="1" customWidth="1"/>
    <col min="8" max="8" width="10.140625" bestFit="1" customWidth="1"/>
    <col min="14" max="14" width="10.28515625" bestFit="1" customWidth="1"/>
  </cols>
  <sheetData>
    <row r="1" spans="1:15" x14ac:dyDescent="0.25">
      <c r="A1" t="s">
        <v>50</v>
      </c>
      <c r="O1" s="16"/>
    </row>
    <row r="2" spans="1:15" x14ac:dyDescent="0.25">
      <c r="O2" s="16"/>
    </row>
    <row r="3" spans="1:15" ht="18.75" x14ac:dyDescent="0.3">
      <c r="A3" s="44"/>
    </row>
    <row r="4" spans="1:15" x14ac:dyDescent="0.25">
      <c r="D4" t="s">
        <v>57</v>
      </c>
      <c r="G4" s="4" t="s">
        <v>87</v>
      </c>
      <c r="H4" s="4"/>
      <c r="I4" s="4"/>
      <c r="J4" t="s">
        <v>58</v>
      </c>
      <c r="M4" t="s">
        <v>6</v>
      </c>
    </row>
    <row r="5" spans="1:15" x14ac:dyDescent="0.25">
      <c r="D5" t="s">
        <v>31</v>
      </c>
      <c r="E5" s="1" t="s">
        <v>3</v>
      </c>
      <c r="F5" t="s">
        <v>4</v>
      </c>
      <c r="G5" s="4" t="s">
        <v>31</v>
      </c>
      <c r="H5" s="5" t="s">
        <v>3</v>
      </c>
      <c r="I5" s="4" t="s">
        <v>4</v>
      </c>
      <c r="J5" t="s">
        <v>31</v>
      </c>
      <c r="K5" s="1" t="s">
        <v>3</v>
      </c>
      <c r="L5" t="s">
        <v>4</v>
      </c>
      <c r="M5" t="s">
        <v>31</v>
      </c>
      <c r="N5" s="1" t="s">
        <v>3</v>
      </c>
      <c r="O5" t="s">
        <v>4</v>
      </c>
    </row>
    <row r="6" spans="1:15" x14ac:dyDescent="0.25">
      <c r="A6" t="s">
        <v>7</v>
      </c>
      <c r="D6" s="65">
        <v>0.78500000000000003</v>
      </c>
      <c r="G6" s="65">
        <v>0.78800000000000003</v>
      </c>
      <c r="H6" s="4"/>
      <c r="I6" s="4"/>
      <c r="J6" s="65">
        <v>1.0649999999999999</v>
      </c>
      <c r="M6" s="65">
        <v>1.244</v>
      </c>
    </row>
    <row r="7" spans="1:15" x14ac:dyDescent="0.25">
      <c r="A7" t="s">
        <v>0</v>
      </c>
      <c r="D7" s="2">
        <v>0.18</v>
      </c>
      <c r="G7" s="6">
        <v>0.15</v>
      </c>
      <c r="H7" s="4"/>
      <c r="I7" s="4"/>
      <c r="J7" s="2">
        <v>0.18</v>
      </c>
      <c r="M7" s="2">
        <v>0.12</v>
      </c>
    </row>
    <row r="8" spans="1:15" x14ac:dyDescent="0.25">
      <c r="D8" s="2"/>
      <c r="G8" s="6"/>
      <c r="H8" s="4"/>
      <c r="I8" s="4"/>
      <c r="J8" s="2"/>
      <c r="M8" s="2"/>
    </row>
    <row r="9" spans="1:15" x14ac:dyDescent="0.25">
      <c r="G9" s="4"/>
      <c r="H9" s="4"/>
      <c r="I9" s="4"/>
    </row>
    <row r="10" spans="1:15" x14ac:dyDescent="0.25">
      <c r="A10" s="45">
        <v>2045</v>
      </c>
      <c r="B10" s="40" t="s">
        <v>245</v>
      </c>
      <c r="C10" s="40"/>
      <c r="D10" s="40"/>
      <c r="G10" s="4"/>
      <c r="H10" s="4"/>
      <c r="I10" s="4"/>
    </row>
    <row r="11" spans="1:15" x14ac:dyDescent="0.25">
      <c r="J11" s="1"/>
      <c r="K11" s="1"/>
      <c r="L11" s="1"/>
      <c r="M11" s="1"/>
    </row>
    <row r="12" spans="1:15" x14ac:dyDescent="0.25">
      <c r="A12" t="s">
        <v>35</v>
      </c>
      <c r="D12" s="1">
        <f>AVERAGE(E12,F12)</f>
        <v>16.005000000000003</v>
      </c>
      <c r="E12" s="66">
        <v>17.37</v>
      </c>
      <c r="F12" s="1">
        <v>14.64</v>
      </c>
      <c r="G12" s="1">
        <f>AVERAGE(H12,I12)</f>
        <v>5.7200000000000006</v>
      </c>
      <c r="H12" s="66">
        <v>6.15</v>
      </c>
      <c r="I12" s="1">
        <v>5.29</v>
      </c>
      <c r="J12" s="1">
        <f>AVERAGE(K12,L12)</f>
        <v>7.7899999999999991</v>
      </c>
      <c r="K12" s="66">
        <v>6.8</v>
      </c>
      <c r="L12" s="1">
        <v>8.7799999999999994</v>
      </c>
      <c r="M12" s="1">
        <f>AVERAGE(N12,O12)</f>
        <v>5.0250000000000004</v>
      </c>
      <c r="N12" s="66">
        <v>5.72</v>
      </c>
      <c r="O12" s="1">
        <v>4.33</v>
      </c>
    </row>
    <row r="13" spans="1:15" x14ac:dyDescent="0.25">
      <c r="A13" t="s">
        <v>34</v>
      </c>
      <c r="D13" s="9">
        <f>VLOOKUP($A10,Demand,14,FALSE)</f>
        <v>12170</v>
      </c>
      <c r="E13" s="9"/>
      <c r="F13" s="9"/>
      <c r="G13" s="9">
        <f>VLOOKUP($A10,Demand,16,FALSE)</f>
        <v>17258</v>
      </c>
      <c r="H13" s="9"/>
      <c r="I13" s="9"/>
      <c r="J13" s="9">
        <f>VLOOKUP($A10,Demand,15,FALSE)</f>
        <v>5986</v>
      </c>
      <c r="K13" s="9"/>
      <c r="L13" s="9"/>
      <c r="M13" s="9">
        <f>VLOOKUP($A10,Demand,13,FALSE)</f>
        <v>37400</v>
      </c>
    </row>
    <row r="14" spans="1:15" x14ac:dyDescent="0.25">
      <c r="A14" t="s">
        <v>8</v>
      </c>
      <c r="D14" s="9">
        <f>D13*D$6</f>
        <v>9553.4500000000007</v>
      </c>
      <c r="E14" s="9"/>
      <c r="F14" s="9"/>
      <c r="G14" s="9">
        <f>G13*G$6</f>
        <v>13599.304</v>
      </c>
      <c r="H14" s="9"/>
      <c r="I14" s="9"/>
      <c r="J14" s="9">
        <f>J13*J$6</f>
        <v>6375.0899999999992</v>
      </c>
      <c r="K14" s="9"/>
      <c r="L14" s="9"/>
      <c r="M14" s="9">
        <f>M13*M$6</f>
        <v>46525.599999999999</v>
      </c>
    </row>
    <row r="15" spans="1:15" x14ac:dyDescent="0.25">
      <c r="A15" t="s">
        <v>1</v>
      </c>
      <c r="D15" s="9">
        <f>D14*D$7</f>
        <v>1719.6210000000001</v>
      </c>
      <c r="E15" s="9"/>
      <c r="F15" s="63"/>
      <c r="G15" s="9">
        <f>G14*G$7</f>
        <v>2039.8955999999998</v>
      </c>
      <c r="H15" s="9"/>
      <c r="I15" s="9"/>
      <c r="J15" s="9">
        <f>J14*J$7</f>
        <v>1147.5161999999998</v>
      </c>
      <c r="K15" s="9"/>
      <c r="L15" s="9"/>
      <c r="M15" s="9">
        <f>M14*M$7</f>
        <v>5583.0719999999992</v>
      </c>
    </row>
    <row r="16" spans="1:15" x14ac:dyDescent="0.25">
      <c r="A16" t="s">
        <v>32</v>
      </c>
      <c r="D16" s="3">
        <f>-E12/D15</f>
        <v>-1.0101062966781633E-2</v>
      </c>
      <c r="E16" s="3"/>
      <c r="F16" s="3"/>
      <c r="G16" s="3">
        <f>-H12/G15</f>
        <v>-3.0148601722558748E-3</v>
      </c>
      <c r="H16" s="3"/>
      <c r="I16" s="3"/>
      <c r="J16" s="3">
        <f>-K12/J15</f>
        <v>-5.925842266976275E-3</v>
      </c>
      <c r="K16" s="3"/>
      <c r="L16" s="3"/>
      <c r="M16" s="3">
        <f>-N12/M15</f>
        <v>-1.024525565853351E-3</v>
      </c>
    </row>
    <row r="17" spans="1:17" x14ac:dyDescent="0.25">
      <c r="A17" t="s">
        <v>29</v>
      </c>
      <c r="E17" s="9">
        <f>VLOOKUP($A10,Supply,4,FALSE)</f>
        <v>9003.3504000000012</v>
      </c>
      <c r="F17" s="9">
        <f>VLOOKUP($A10,Supply,12,FALSE)</f>
        <v>10029.850399999999</v>
      </c>
      <c r="G17" s="9"/>
      <c r="H17" s="9">
        <f>VLOOKUP($A10,Supply,6,FALSE)</f>
        <v>14244.9254</v>
      </c>
      <c r="I17" s="9">
        <f>VLOOKUP($A10,Supply,14,FALSE)</f>
        <v>15469.3254</v>
      </c>
      <c r="J17" s="9"/>
      <c r="K17" s="9">
        <f>VLOOKUP($A10,Supply,5,FALSE)</f>
        <v>6455.7816800000001</v>
      </c>
      <c r="L17" s="9">
        <f>VLOOKUP($A10,Supply,13,FALSE)</f>
        <v>6866.6816799999997</v>
      </c>
      <c r="M17" s="9"/>
      <c r="N17" s="9">
        <f>VLOOKUP($A10,Supply,8,FALSE)</f>
        <v>45108.521200000003</v>
      </c>
      <c r="O17" s="9">
        <f>VLOOKUP($A10,Supply,16,FALSE)</f>
        <v>45319.321200000013</v>
      </c>
    </row>
    <row r="18" spans="1:17" x14ac:dyDescent="0.25">
      <c r="A18" t="s">
        <v>30</v>
      </c>
      <c r="D18" s="1"/>
      <c r="E18" s="9">
        <f>E17-D14</f>
        <v>-550.09959999999955</v>
      </c>
      <c r="F18" s="9">
        <f>F17-D14</f>
        <v>476.40039999999863</v>
      </c>
      <c r="G18" s="9"/>
      <c r="H18" s="9">
        <f>H17-G14</f>
        <v>645.62139999999999</v>
      </c>
      <c r="I18" s="9">
        <f>I17-G14</f>
        <v>1870.0213999999996</v>
      </c>
      <c r="J18" s="9"/>
      <c r="K18" s="9">
        <f>K17-J14</f>
        <v>80.691680000000815</v>
      </c>
      <c r="L18" s="9">
        <f>L17-J14</f>
        <v>491.59168000000045</v>
      </c>
      <c r="M18" s="9"/>
      <c r="N18" s="9">
        <f>N17-M14</f>
        <v>-1417.0787999999957</v>
      </c>
      <c r="O18" s="9">
        <f>O17-M14</f>
        <v>-1206.2787999999855</v>
      </c>
    </row>
    <row r="19" spans="1:17" x14ac:dyDescent="0.25">
      <c r="A19" t="s">
        <v>52</v>
      </c>
      <c r="D19" s="1"/>
      <c r="E19" s="9">
        <f>MAX(0,-E18)</f>
        <v>550.09959999999955</v>
      </c>
      <c r="F19" s="9">
        <f>E19*1.087</f>
        <v>597.95826519999946</v>
      </c>
      <c r="G19" s="9"/>
      <c r="H19" s="9">
        <f>MAX(0,-H18-E19)</f>
        <v>0</v>
      </c>
      <c r="I19" s="9">
        <f>H19*1.068</f>
        <v>0</v>
      </c>
      <c r="J19" s="9"/>
      <c r="K19" s="9">
        <f t="shared" ref="K19" si="0">MAX(0,-K18)</f>
        <v>0</v>
      </c>
      <c r="L19" s="9">
        <f>K19*1.07</f>
        <v>0</v>
      </c>
      <c r="M19" s="9"/>
      <c r="N19" s="9">
        <f>MAX(0,-N18-E19-H19-K19)</f>
        <v>866.97919999999613</v>
      </c>
      <c r="O19" s="9">
        <f>N19*1.047</f>
        <v>907.72722239999587</v>
      </c>
    </row>
    <row r="20" spans="1:17" x14ac:dyDescent="0.25">
      <c r="A20" t="s">
        <v>38</v>
      </c>
      <c r="D20" s="1"/>
      <c r="E20" s="9">
        <f>E17+E19</f>
        <v>9553.4500000000007</v>
      </c>
      <c r="F20" s="9">
        <f>F17+F19</f>
        <v>10627.808665199998</v>
      </c>
      <c r="G20" s="9"/>
      <c r="H20" s="9">
        <f>H17+E19+H19</f>
        <v>14795.025</v>
      </c>
      <c r="I20" s="9">
        <f>I17+F19+I19</f>
        <v>16067.283665199999</v>
      </c>
      <c r="J20" s="9"/>
      <c r="K20" s="9">
        <f>K17+K19</f>
        <v>6455.7816800000001</v>
      </c>
      <c r="L20" s="9">
        <f>L17+L19</f>
        <v>6866.6816799999997</v>
      </c>
      <c r="M20" s="9"/>
      <c r="N20" s="9">
        <f>N17+N19+K19+H19+E19</f>
        <v>46525.599999999999</v>
      </c>
      <c r="O20" s="9">
        <f>O17+O19+L19+I19+F19</f>
        <v>46825.006687600013</v>
      </c>
    </row>
    <row r="21" spans="1:17" x14ac:dyDescent="0.25">
      <c r="A21" t="s">
        <v>39</v>
      </c>
      <c r="D21" s="1"/>
      <c r="E21" s="9">
        <f>E20-D14</f>
        <v>0</v>
      </c>
      <c r="F21" s="9">
        <f>F20-D14</f>
        <v>1074.3586651999976</v>
      </c>
      <c r="G21" s="9"/>
      <c r="H21" s="9">
        <f>H20-G14</f>
        <v>1195.7209999999995</v>
      </c>
      <c r="I21" s="9">
        <f>I20-G14</f>
        <v>2467.9796651999986</v>
      </c>
      <c r="J21" s="9"/>
      <c r="K21" s="9">
        <f>K20-J14</f>
        <v>80.691680000000815</v>
      </c>
      <c r="L21" s="9">
        <f>L20-J14</f>
        <v>491.59168000000045</v>
      </c>
      <c r="M21" s="9"/>
      <c r="N21" s="9">
        <f>N20-M14</f>
        <v>0</v>
      </c>
      <c r="O21" s="9">
        <f>O20-M14</f>
        <v>299.40668760001427</v>
      </c>
    </row>
    <row r="22" spans="1:17" x14ac:dyDescent="0.25">
      <c r="A22" t="s">
        <v>33</v>
      </c>
      <c r="D22" s="5">
        <f>AVERAGE(E22:F22)</f>
        <v>11.943917736953679</v>
      </c>
      <c r="E22" s="5">
        <f>E12+D16*E21</f>
        <v>17.37</v>
      </c>
      <c r="F22" s="5">
        <f>E12+D16*F21</f>
        <v>6.5178354739073576</v>
      </c>
      <c r="G22" s="5">
        <f>AVERAGE(H22:I22)</f>
        <v>0.62722739071058564</v>
      </c>
      <c r="H22" s="5">
        <f>H12+G16*H21</f>
        <v>2.5450683799700347</v>
      </c>
      <c r="I22" s="5">
        <f>H12+G16*I21</f>
        <v>-1.2906135985488634</v>
      </c>
      <c r="J22" s="5">
        <f>AVERAGE(K22:L22)</f>
        <v>5.1043695383123966</v>
      </c>
      <c r="K22" s="5">
        <f>K12+J16*K21</f>
        <v>6.321833832062671</v>
      </c>
      <c r="L22" s="5">
        <f>K12+J16*L21</f>
        <v>3.8869052445621217</v>
      </c>
      <c r="M22" s="5">
        <f>AVERAGE(N22:O22)</f>
        <v>5.5666250969831585</v>
      </c>
      <c r="N22" s="5">
        <f>MAX(N12+M16*N21,0.01)</f>
        <v>5.72</v>
      </c>
      <c r="O22" s="5">
        <f>MAX(N12+M16*O21,0.01)</f>
        <v>5.4132501939663173</v>
      </c>
    </row>
    <row r="23" spans="1:17" x14ac:dyDescent="0.25">
      <c r="A23" t="s">
        <v>54</v>
      </c>
      <c r="D23" s="5">
        <f>AVERAGE(E23:F23)</f>
        <v>11.943917736953679</v>
      </c>
      <c r="E23" s="5">
        <f>IF(D22&gt;D12,E12,E22)</f>
        <v>17.37</v>
      </c>
      <c r="F23" s="5">
        <f>IF(D22&gt;D12,F12,F22)</f>
        <v>6.5178354739073576</v>
      </c>
      <c r="G23" s="5">
        <f>AVERAGE(H23:I23)</f>
        <v>0.62722739071058564</v>
      </c>
      <c r="H23" s="5">
        <f>IF(G22&gt;G12,H12,H22)</f>
        <v>2.5450683799700347</v>
      </c>
      <c r="I23" s="5">
        <f>IF(G22&gt;G12,I12,I22)</f>
        <v>-1.2906135985488634</v>
      </c>
      <c r="J23" s="5">
        <f>AVERAGE(K23:L23)</f>
        <v>5.1043695383123966</v>
      </c>
      <c r="K23" s="5">
        <f>IF(J22&gt;J12,K12,K22)</f>
        <v>6.321833832062671</v>
      </c>
      <c r="L23" s="5">
        <f>IF(J22&gt;J12,L12,L22)</f>
        <v>3.8869052445621217</v>
      </c>
      <c r="M23" s="5">
        <f>AVERAGE(N23:O23)</f>
        <v>5.0250000000000004</v>
      </c>
      <c r="N23" s="5">
        <f>IF(M22&gt;M12,N12,N22)</f>
        <v>5.72</v>
      </c>
      <c r="O23" s="5">
        <f>IF(M22&gt;M12,O12,O22)</f>
        <v>4.33</v>
      </c>
    </row>
    <row r="24" spans="1:17" x14ac:dyDescent="0.25">
      <c r="A24" t="s">
        <v>51</v>
      </c>
      <c r="D24" s="7">
        <f>AVERAGE(E24:F24)</f>
        <v>11.943917736953679</v>
      </c>
      <c r="E24" s="1">
        <f>MAX(E23,H24,N24)</f>
        <v>17.37</v>
      </c>
      <c r="F24" s="1">
        <f>MAX(F23,I24,O24)</f>
        <v>6.5178354739073576</v>
      </c>
      <c r="G24" s="7">
        <f>AVERAGE(H24:I24)</f>
        <v>5.0250000000000004</v>
      </c>
      <c r="H24" s="1">
        <f>MAX(H23,N23)</f>
        <v>5.72</v>
      </c>
      <c r="I24" s="1">
        <f>MAX(I23,O23)</f>
        <v>4.33</v>
      </c>
      <c r="J24" s="7">
        <f>AVERAGE(K24:L24)</f>
        <v>5.3259169160313355</v>
      </c>
      <c r="K24" s="1">
        <f>MAX(K23,N23)</f>
        <v>6.321833832062671</v>
      </c>
      <c r="L24" s="1">
        <f>MAX(L23,O23)</f>
        <v>4.33</v>
      </c>
      <c r="M24" s="7">
        <f>AVERAGE(N24:O24)</f>
        <v>5.0250000000000004</v>
      </c>
      <c r="N24" s="1">
        <f>N23</f>
        <v>5.72</v>
      </c>
      <c r="O24" s="1">
        <f>O23</f>
        <v>4.33</v>
      </c>
    </row>
    <row r="25" spans="1:17" x14ac:dyDescent="0.25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7" x14ac:dyDescent="0.25">
      <c r="D26" s="5"/>
      <c r="E26" s="5"/>
      <c r="F26" s="5"/>
      <c r="G26" s="5"/>
      <c r="H26" s="68">
        <f>H17-E17</f>
        <v>5241.5749999999989</v>
      </c>
      <c r="I26" s="68">
        <f>I17-F17</f>
        <v>5439.4750000000004</v>
      </c>
      <c r="J26" s="5"/>
      <c r="K26" s="5"/>
      <c r="L26" s="5"/>
      <c r="M26" s="5"/>
      <c r="N26" s="68">
        <f>N17-K17-H17</f>
        <v>24407.814120000003</v>
      </c>
      <c r="O26" s="68">
        <f>O17-L17-I17</f>
        <v>22983.31412000001</v>
      </c>
    </row>
    <row r="27" spans="1:17" x14ac:dyDescent="0.25">
      <c r="A27" t="s">
        <v>239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7" x14ac:dyDescent="0.25">
      <c r="A28" t="s">
        <v>246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7" x14ac:dyDescent="0.25">
      <c r="A29" t="s">
        <v>59</v>
      </c>
    </row>
    <row r="30" spans="1:17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25">
      <c r="E31" s="1"/>
      <c r="F31" s="1"/>
      <c r="H31" s="1"/>
      <c r="I31" s="1"/>
      <c r="K31" s="1"/>
      <c r="L31" s="1"/>
      <c r="M31" s="1"/>
      <c r="N31" s="1"/>
      <c r="O31" s="1"/>
      <c r="Q31" s="1"/>
    </row>
    <row r="32" spans="1:17" x14ac:dyDescent="0.25">
      <c r="M32" s="1"/>
      <c r="N32" s="1"/>
    </row>
    <row r="34" spans="4:15" x14ac:dyDescent="0.25">
      <c r="D34" s="3"/>
      <c r="E34" s="3"/>
      <c r="F34" s="3"/>
      <c r="G34" s="3"/>
      <c r="H34" s="3"/>
      <c r="I34" s="3"/>
      <c r="J34" s="3"/>
      <c r="K34" s="3"/>
      <c r="L34" s="3"/>
      <c r="M34" s="3"/>
    </row>
    <row r="36" spans="4:15" x14ac:dyDescent="0.25">
      <c r="D36" s="5"/>
      <c r="E36" s="4"/>
      <c r="F36" s="4"/>
      <c r="G36" s="4"/>
      <c r="H36" s="4"/>
      <c r="I36" s="4"/>
      <c r="J36" s="4"/>
      <c r="K36" s="4"/>
      <c r="L36" s="4"/>
      <c r="M36" s="4"/>
    </row>
    <row r="37" spans="4:15" x14ac:dyDescent="0.25">
      <c r="D37" s="1"/>
    </row>
    <row r="38" spans="4:15" x14ac:dyDescent="0.25">
      <c r="D38" s="1"/>
    </row>
    <row r="39" spans="4:15" x14ac:dyDescent="0.25">
      <c r="D39" s="1"/>
    </row>
    <row r="40" spans="4:15" x14ac:dyDescent="0.25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4:15" x14ac:dyDescent="0.2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4:15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0"/>
      <c r="O42" s="10"/>
    </row>
    <row r="43" spans="4:15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0"/>
      <c r="O43" s="10"/>
    </row>
    <row r="44" spans="4:15" x14ac:dyDescent="0.25">
      <c r="D44" s="1"/>
      <c r="E44" s="1"/>
      <c r="F44" s="1"/>
      <c r="G44" s="1"/>
      <c r="H44" s="1"/>
      <c r="I44" s="1"/>
      <c r="J44" s="1"/>
      <c r="K44" s="1"/>
      <c r="L44" s="1"/>
      <c r="M44" s="1"/>
      <c r="N44" s="8"/>
      <c r="O44" s="8"/>
    </row>
  </sheetData>
  <pageMargins left="0.7" right="0.7" top="0.75" bottom="0.75" header="0.3" footer="0.3"/>
  <pageSetup scale="87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U52"/>
  <sheetViews>
    <sheetView zoomScale="80" zoomScaleNormal="80" zoomScaleSheetLayoutView="100" workbookViewId="0"/>
  </sheetViews>
  <sheetFormatPr defaultColWidth="8.85546875" defaultRowHeight="15" x14ac:dyDescent="0.25"/>
  <cols>
    <col min="1" max="1" width="12.42578125" customWidth="1"/>
    <col min="9" max="12" width="8.85546875" customWidth="1"/>
  </cols>
  <sheetData>
    <row r="1" spans="1:21" x14ac:dyDescent="0.25">
      <c r="A1" t="s">
        <v>95</v>
      </c>
    </row>
    <row r="3" spans="1:21" x14ac:dyDescent="0.25">
      <c r="A3" t="s">
        <v>17</v>
      </c>
      <c r="B3" t="s">
        <v>13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</v>
      </c>
      <c r="L3" t="s">
        <v>15</v>
      </c>
      <c r="M3" t="s">
        <v>6</v>
      </c>
      <c r="N3" t="s">
        <v>40</v>
      </c>
      <c r="O3" t="s">
        <v>165</v>
      </c>
      <c r="P3" t="s">
        <v>55</v>
      </c>
      <c r="Q3" t="s">
        <v>18</v>
      </c>
    </row>
    <row r="4" spans="1:2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1" x14ac:dyDescent="0.25">
      <c r="A5" s="9">
        <v>2025</v>
      </c>
      <c r="B5" s="9">
        <v>2864</v>
      </c>
      <c r="C5" s="9">
        <v>1855</v>
      </c>
      <c r="D5" s="9">
        <v>2516</v>
      </c>
      <c r="E5" s="9">
        <v>691</v>
      </c>
      <c r="F5" s="9">
        <v>1310</v>
      </c>
      <c r="G5" s="9">
        <v>2269</v>
      </c>
      <c r="H5" s="9">
        <v>2264</v>
      </c>
      <c r="I5" s="9">
        <v>619</v>
      </c>
      <c r="J5" s="9">
        <v>1316</v>
      </c>
      <c r="K5" s="9">
        <v>10764</v>
      </c>
      <c r="L5" s="9">
        <v>5003</v>
      </c>
      <c r="M5" s="9">
        <f t="shared" ref="M5:M25" si="0">SUM(B5:L5)</f>
        <v>31471</v>
      </c>
      <c r="N5" s="9">
        <v>11005</v>
      </c>
      <c r="O5" s="9">
        <v>5079</v>
      </c>
      <c r="P5" s="9">
        <v>15206</v>
      </c>
      <c r="Q5" s="9">
        <f>SUM(B5:G5)</f>
        <v>11505</v>
      </c>
      <c r="R5" s="9"/>
      <c r="S5" s="9"/>
    </row>
    <row r="6" spans="1:21" x14ac:dyDescent="0.25">
      <c r="A6" s="9">
        <f t="shared" ref="A6:A25" si="1">1+A5</f>
        <v>2026</v>
      </c>
      <c r="B6" s="9">
        <v>2943</v>
      </c>
      <c r="C6" s="9">
        <v>1854</v>
      </c>
      <c r="D6" s="9">
        <v>2568</v>
      </c>
      <c r="E6" s="9">
        <v>1042</v>
      </c>
      <c r="F6" s="9">
        <v>1298</v>
      </c>
      <c r="G6" s="9">
        <v>2255</v>
      </c>
      <c r="H6" s="9">
        <v>2304</v>
      </c>
      <c r="I6" s="9">
        <v>620</v>
      </c>
      <c r="J6" s="9">
        <v>1320</v>
      </c>
      <c r="K6" s="9">
        <v>10790</v>
      </c>
      <c r="L6" s="9">
        <v>4996</v>
      </c>
      <c r="M6" s="9">
        <f t="shared" si="0"/>
        <v>31990</v>
      </c>
      <c r="N6" s="9">
        <v>11030</v>
      </c>
      <c r="O6" s="9">
        <v>5072</v>
      </c>
      <c r="P6" s="9">
        <v>15280</v>
      </c>
      <c r="Q6" s="9">
        <f t="shared" ref="Q6:Q25" si="2">SUM(B6:G6)</f>
        <v>11960</v>
      </c>
      <c r="R6" s="9"/>
      <c r="S6" s="9"/>
      <c r="T6" s="9"/>
      <c r="U6" s="9"/>
    </row>
    <row r="7" spans="1:21" x14ac:dyDescent="0.25">
      <c r="A7" s="9">
        <f t="shared" si="1"/>
        <v>2027</v>
      </c>
      <c r="B7" s="9">
        <v>2936</v>
      </c>
      <c r="C7" s="9">
        <v>1846</v>
      </c>
      <c r="D7" s="9">
        <v>2639</v>
      </c>
      <c r="E7" s="9">
        <v>1171</v>
      </c>
      <c r="F7" s="9">
        <v>1293</v>
      </c>
      <c r="G7" s="9">
        <v>2275</v>
      </c>
      <c r="H7" s="9">
        <v>2331</v>
      </c>
      <c r="I7" s="9">
        <v>625</v>
      </c>
      <c r="J7" s="9">
        <v>1327</v>
      </c>
      <c r="K7" s="9">
        <v>10820</v>
      </c>
      <c r="L7" s="9">
        <v>5017</v>
      </c>
      <c r="M7" s="9">
        <f t="shared" si="0"/>
        <v>32280</v>
      </c>
      <c r="N7" s="9">
        <v>11060</v>
      </c>
      <c r="O7" s="9">
        <v>5094</v>
      </c>
      <c r="P7" s="9">
        <v>15349</v>
      </c>
      <c r="Q7" s="9">
        <f t="shared" si="2"/>
        <v>12160</v>
      </c>
      <c r="R7" s="9"/>
      <c r="S7" s="9"/>
      <c r="T7" s="9"/>
      <c r="U7" s="9"/>
    </row>
    <row r="8" spans="1:21" x14ac:dyDescent="0.25">
      <c r="A8" s="9">
        <f t="shared" si="1"/>
        <v>2028</v>
      </c>
      <c r="B8" s="9">
        <v>2925</v>
      </c>
      <c r="C8" s="9">
        <v>1834</v>
      </c>
      <c r="D8" s="9">
        <v>2737</v>
      </c>
      <c r="E8" s="9">
        <v>1173</v>
      </c>
      <c r="F8" s="9">
        <v>1293</v>
      </c>
      <c r="G8" s="9">
        <v>2265</v>
      </c>
      <c r="H8" s="9">
        <v>2344</v>
      </c>
      <c r="I8" s="9">
        <v>625</v>
      </c>
      <c r="J8" s="9">
        <v>1336</v>
      </c>
      <c r="K8" s="9">
        <v>10840</v>
      </c>
      <c r="L8" s="9">
        <v>5038</v>
      </c>
      <c r="M8" s="9">
        <f t="shared" si="0"/>
        <v>32410</v>
      </c>
      <c r="N8" s="9">
        <v>11080</v>
      </c>
      <c r="O8" s="9">
        <v>5115</v>
      </c>
      <c r="P8" s="9">
        <v>15392</v>
      </c>
      <c r="Q8" s="9">
        <f t="shared" si="2"/>
        <v>12227</v>
      </c>
      <c r="R8" s="9"/>
      <c r="S8" s="9"/>
      <c r="T8" s="9"/>
      <c r="U8" s="9"/>
    </row>
    <row r="9" spans="1:21" x14ac:dyDescent="0.25">
      <c r="A9" s="9">
        <f t="shared" si="1"/>
        <v>2029</v>
      </c>
      <c r="B9" s="9">
        <v>2920</v>
      </c>
      <c r="C9" s="9">
        <v>1826</v>
      </c>
      <c r="D9" s="9">
        <v>2876</v>
      </c>
      <c r="E9" s="9">
        <v>1179</v>
      </c>
      <c r="F9" s="9">
        <v>1296</v>
      </c>
      <c r="G9" s="9">
        <v>2264</v>
      </c>
      <c r="H9" s="9">
        <v>2346</v>
      </c>
      <c r="I9" s="9">
        <v>627</v>
      </c>
      <c r="J9" s="9">
        <v>1343</v>
      </c>
      <c r="K9" s="9">
        <v>10860</v>
      </c>
      <c r="L9" s="9">
        <v>5083</v>
      </c>
      <c r="M9" s="9">
        <f t="shared" si="0"/>
        <v>32620</v>
      </c>
      <c r="N9" s="9">
        <v>11100</v>
      </c>
      <c r="O9" s="9">
        <v>5161</v>
      </c>
      <c r="P9" s="9">
        <v>15423</v>
      </c>
      <c r="Q9" s="9">
        <f t="shared" si="2"/>
        <v>12361</v>
      </c>
      <c r="R9" s="9"/>
      <c r="S9" s="9"/>
      <c r="T9" s="9"/>
      <c r="U9" s="9"/>
    </row>
    <row r="10" spans="1:21" x14ac:dyDescent="0.25">
      <c r="A10" s="9">
        <f t="shared" si="1"/>
        <v>2030</v>
      </c>
      <c r="B10" s="9">
        <v>2917</v>
      </c>
      <c r="C10" s="9">
        <v>1821</v>
      </c>
      <c r="D10" s="9">
        <v>3062</v>
      </c>
      <c r="E10" s="9">
        <v>1180</v>
      </c>
      <c r="F10" s="9">
        <v>1307</v>
      </c>
      <c r="G10" s="9">
        <v>2267</v>
      </c>
      <c r="H10" s="9">
        <v>2347</v>
      </c>
      <c r="I10" s="9">
        <v>627</v>
      </c>
      <c r="J10" s="9">
        <v>1351</v>
      </c>
      <c r="K10" s="9">
        <v>10880</v>
      </c>
      <c r="L10" s="9">
        <v>5151</v>
      </c>
      <c r="M10" s="9">
        <f t="shared" si="0"/>
        <v>32910</v>
      </c>
      <c r="N10" s="9">
        <v>11120</v>
      </c>
      <c r="O10" s="9">
        <v>5230</v>
      </c>
      <c r="P10" s="9">
        <v>15452</v>
      </c>
      <c r="Q10" s="9">
        <f t="shared" si="2"/>
        <v>12554</v>
      </c>
      <c r="R10" s="9"/>
      <c r="S10" s="9"/>
      <c r="T10" s="9"/>
      <c r="U10" s="9"/>
    </row>
    <row r="11" spans="1:21" x14ac:dyDescent="0.25">
      <c r="A11" s="9">
        <f t="shared" si="1"/>
        <v>2031</v>
      </c>
      <c r="B11" s="9">
        <v>2924</v>
      </c>
      <c r="C11" s="9">
        <v>1822</v>
      </c>
      <c r="D11" s="9">
        <v>3176</v>
      </c>
      <c r="E11" s="9">
        <v>1182</v>
      </c>
      <c r="F11" s="9">
        <v>1307</v>
      </c>
      <c r="G11" s="9">
        <v>2277</v>
      </c>
      <c r="H11" s="9">
        <v>2361</v>
      </c>
      <c r="I11" s="9">
        <v>630</v>
      </c>
      <c r="J11" s="9">
        <v>1359</v>
      </c>
      <c r="K11" s="9">
        <v>10930</v>
      </c>
      <c r="L11" s="9">
        <v>5222</v>
      </c>
      <c r="M11" s="9">
        <f t="shared" si="0"/>
        <v>33190</v>
      </c>
      <c r="N11" s="9">
        <v>11170</v>
      </c>
      <c r="O11" s="9">
        <v>5302</v>
      </c>
      <c r="P11" s="9">
        <v>15528</v>
      </c>
      <c r="Q11" s="9">
        <f t="shared" si="2"/>
        <v>12688</v>
      </c>
      <c r="R11" s="9"/>
      <c r="S11" s="9"/>
      <c r="T11" s="9"/>
      <c r="U11" s="9"/>
    </row>
    <row r="12" spans="1:21" x14ac:dyDescent="0.25">
      <c r="A12" s="9">
        <f t="shared" si="1"/>
        <v>2032</v>
      </c>
      <c r="B12" s="9">
        <v>2932</v>
      </c>
      <c r="C12" s="9">
        <v>1826</v>
      </c>
      <c r="D12" s="9">
        <v>3291</v>
      </c>
      <c r="E12" s="9">
        <v>1185</v>
      </c>
      <c r="F12" s="9">
        <v>1314</v>
      </c>
      <c r="G12" s="9">
        <v>2290</v>
      </c>
      <c r="H12" s="9">
        <v>2388</v>
      </c>
      <c r="I12" s="9">
        <v>635</v>
      </c>
      <c r="J12" s="9">
        <v>1368</v>
      </c>
      <c r="K12" s="9">
        <v>11010</v>
      </c>
      <c r="L12" s="9">
        <v>5281</v>
      </c>
      <c r="M12" s="9">
        <f t="shared" si="0"/>
        <v>33520</v>
      </c>
      <c r="N12" s="9">
        <v>11260</v>
      </c>
      <c r="O12" s="9">
        <v>5362</v>
      </c>
      <c r="P12" s="9">
        <v>15651</v>
      </c>
      <c r="Q12" s="9">
        <f t="shared" si="2"/>
        <v>12838</v>
      </c>
      <c r="R12" s="9"/>
      <c r="S12" s="9"/>
      <c r="T12" s="9"/>
      <c r="U12" s="9"/>
    </row>
    <row r="13" spans="1:21" x14ac:dyDescent="0.25">
      <c r="A13" s="9">
        <f t="shared" si="1"/>
        <v>2033</v>
      </c>
      <c r="B13" s="9">
        <v>2947</v>
      </c>
      <c r="C13" s="9">
        <v>1832</v>
      </c>
      <c r="D13" s="9">
        <v>3415</v>
      </c>
      <c r="E13" s="9">
        <v>1189</v>
      </c>
      <c r="F13" s="9">
        <v>1326</v>
      </c>
      <c r="G13" s="9">
        <v>2302</v>
      </c>
      <c r="H13" s="9">
        <v>2418</v>
      </c>
      <c r="I13" s="9">
        <v>640</v>
      </c>
      <c r="J13" s="9">
        <v>1377</v>
      </c>
      <c r="K13" s="9">
        <v>11080</v>
      </c>
      <c r="L13" s="9">
        <v>5344</v>
      </c>
      <c r="M13" s="9">
        <f t="shared" si="0"/>
        <v>33870</v>
      </c>
      <c r="N13" s="9">
        <v>11330</v>
      </c>
      <c r="O13" s="9">
        <v>5426</v>
      </c>
      <c r="P13" s="9">
        <v>15767</v>
      </c>
      <c r="Q13" s="9">
        <f t="shared" si="2"/>
        <v>13011</v>
      </c>
      <c r="R13" s="9"/>
      <c r="S13" s="9"/>
      <c r="T13" s="9"/>
      <c r="U13" s="9"/>
    </row>
    <row r="14" spans="1:21" x14ac:dyDescent="0.25">
      <c r="A14" s="9">
        <f t="shared" si="1"/>
        <v>2034</v>
      </c>
      <c r="B14" s="9">
        <v>2961</v>
      </c>
      <c r="C14" s="9">
        <v>1839</v>
      </c>
      <c r="D14" s="9">
        <v>3465</v>
      </c>
      <c r="E14" s="9">
        <v>1192</v>
      </c>
      <c r="F14" s="9">
        <v>1343</v>
      </c>
      <c r="G14" s="9">
        <v>2322</v>
      </c>
      <c r="H14" s="9">
        <v>2451</v>
      </c>
      <c r="I14" s="9">
        <v>646</v>
      </c>
      <c r="J14" s="9">
        <v>1385</v>
      </c>
      <c r="K14" s="9">
        <v>11170</v>
      </c>
      <c r="L14" s="9">
        <v>5396</v>
      </c>
      <c r="M14" s="9">
        <f t="shared" si="0"/>
        <v>34170</v>
      </c>
      <c r="N14" s="9">
        <v>11420</v>
      </c>
      <c r="O14" s="9">
        <v>5479</v>
      </c>
      <c r="P14" s="9">
        <v>15908</v>
      </c>
      <c r="Q14" s="9">
        <f t="shared" si="2"/>
        <v>13122</v>
      </c>
      <c r="R14" s="9"/>
      <c r="S14" s="9"/>
      <c r="T14" s="9"/>
      <c r="U14" s="9"/>
    </row>
    <row r="15" spans="1:21" x14ac:dyDescent="0.25">
      <c r="A15" s="9">
        <f t="shared" si="1"/>
        <v>2035</v>
      </c>
      <c r="B15" s="9">
        <v>2986</v>
      </c>
      <c r="C15" s="9">
        <v>1851</v>
      </c>
      <c r="D15" s="9">
        <v>3505</v>
      </c>
      <c r="E15" s="9">
        <v>1194</v>
      </c>
      <c r="F15" s="9">
        <v>1363</v>
      </c>
      <c r="G15" s="9">
        <v>2348</v>
      </c>
      <c r="H15" s="9">
        <v>2486</v>
      </c>
      <c r="I15" s="9">
        <v>651</v>
      </c>
      <c r="J15" s="9">
        <v>1401</v>
      </c>
      <c r="K15" s="9">
        <v>11250</v>
      </c>
      <c r="L15" s="9">
        <v>5465</v>
      </c>
      <c r="M15" s="9">
        <f t="shared" si="0"/>
        <v>34500</v>
      </c>
      <c r="N15" s="9">
        <v>11500</v>
      </c>
      <c r="O15" s="9">
        <v>5549</v>
      </c>
      <c r="P15" s="9">
        <v>16046</v>
      </c>
      <c r="Q15" s="9">
        <f t="shared" si="2"/>
        <v>13247</v>
      </c>
      <c r="R15" s="9"/>
      <c r="S15" s="9"/>
      <c r="T15" s="9"/>
      <c r="U15" s="9"/>
    </row>
    <row r="16" spans="1:21" x14ac:dyDescent="0.25">
      <c r="A16" s="9">
        <f t="shared" si="1"/>
        <v>2036</v>
      </c>
      <c r="B16" s="9">
        <v>3017</v>
      </c>
      <c r="C16" s="9">
        <v>1865</v>
      </c>
      <c r="D16" s="9">
        <v>3548</v>
      </c>
      <c r="E16" s="9">
        <v>1198</v>
      </c>
      <c r="F16" s="9">
        <v>1383</v>
      </c>
      <c r="G16" s="9">
        <v>2380</v>
      </c>
      <c r="H16" s="9">
        <v>2525</v>
      </c>
      <c r="I16" s="9">
        <v>654</v>
      </c>
      <c r="J16" s="9">
        <v>1416</v>
      </c>
      <c r="K16" s="9">
        <v>11340</v>
      </c>
      <c r="L16" s="9">
        <v>5524</v>
      </c>
      <c r="M16" s="9">
        <f t="shared" si="0"/>
        <v>34850</v>
      </c>
      <c r="N16" s="9">
        <v>11590</v>
      </c>
      <c r="O16" s="9">
        <v>5609</v>
      </c>
      <c r="P16" s="9">
        <v>16195</v>
      </c>
      <c r="Q16" s="9">
        <f t="shared" si="2"/>
        <v>13391</v>
      </c>
      <c r="R16" s="9"/>
      <c r="S16" s="9"/>
      <c r="T16" s="9"/>
      <c r="U16" s="9"/>
    </row>
    <row r="17" spans="1:21" x14ac:dyDescent="0.25">
      <c r="A17" s="9">
        <f t="shared" si="1"/>
        <v>2037</v>
      </c>
      <c r="B17" s="9">
        <v>3053</v>
      </c>
      <c r="C17" s="9">
        <v>1883</v>
      </c>
      <c r="D17" s="9">
        <v>3580</v>
      </c>
      <c r="E17" s="9">
        <v>1202</v>
      </c>
      <c r="F17" s="9">
        <v>1402</v>
      </c>
      <c r="G17" s="9">
        <v>2417</v>
      </c>
      <c r="H17" s="9">
        <v>2566</v>
      </c>
      <c r="I17" s="9">
        <v>658</v>
      </c>
      <c r="J17" s="9">
        <v>1430</v>
      </c>
      <c r="K17" s="9">
        <v>11410</v>
      </c>
      <c r="L17" s="9">
        <v>5579</v>
      </c>
      <c r="M17" s="9">
        <f t="shared" si="0"/>
        <v>35180</v>
      </c>
      <c r="N17" s="9">
        <v>11670</v>
      </c>
      <c r="O17" s="9">
        <v>5664</v>
      </c>
      <c r="P17" s="9">
        <v>16326</v>
      </c>
      <c r="Q17" s="9">
        <f t="shared" si="2"/>
        <v>13537</v>
      </c>
      <c r="R17" s="9"/>
      <c r="S17" s="9"/>
      <c r="T17" s="9"/>
      <c r="U17" s="9"/>
    </row>
    <row r="18" spans="1:21" x14ac:dyDescent="0.25">
      <c r="A18" s="9">
        <f t="shared" si="1"/>
        <v>2038</v>
      </c>
      <c r="B18" s="9">
        <v>3091</v>
      </c>
      <c r="C18" s="9">
        <v>1905</v>
      </c>
      <c r="D18" s="9">
        <v>3600</v>
      </c>
      <c r="E18" s="9">
        <v>1206</v>
      </c>
      <c r="F18" s="9">
        <v>1420</v>
      </c>
      <c r="G18" s="9">
        <v>2454</v>
      </c>
      <c r="H18" s="9">
        <v>2607</v>
      </c>
      <c r="I18" s="9">
        <v>664</v>
      </c>
      <c r="J18" s="9">
        <v>1444</v>
      </c>
      <c r="K18" s="9">
        <v>11490</v>
      </c>
      <c r="L18" s="9">
        <v>5629</v>
      </c>
      <c r="M18" s="9">
        <f t="shared" si="0"/>
        <v>35510</v>
      </c>
      <c r="N18" s="9">
        <v>11750</v>
      </c>
      <c r="O18" s="9">
        <v>5715</v>
      </c>
      <c r="P18" s="9">
        <v>16469</v>
      </c>
      <c r="Q18" s="9">
        <f t="shared" si="2"/>
        <v>13676</v>
      </c>
      <c r="R18" s="9"/>
      <c r="S18" s="9"/>
      <c r="T18" s="9"/>
      <c r="U18" s="9"/>
    </row>
    <row r="19" spans="1:21" x14ac:dyDescent="0.25">
      <c r="A19" s="9">
        <f t="shared" si="1"/>
        <v>2039</v>
      </c>
      <c r="B19" s="9">
        <v>3129</v>
      </c>
      <c r="C19" s="9">
        <v>1924</v>
      </c>
      <c r="D19" s="9">
        <v>3616</v>
      </c>
      <c r="E19" s="9">
        <v>1210</v>
      </c>
      <c r="F19" s="9">
        <v>1439</v>
      </c>
      <c r="G19" s="9">
        <v>2495</v>
      </c>
      <c r="H19" s="9">
        <v>2640</v>
      </c>
      <c r="I19" s="9">
        <v>668</v>
      </c>
      <c r="J19" s="9">
        <v>1455</v>
      </c>
      <c r="K19" s="9">
        <v>11560</v>
      </c>
      <c r="L19" s="9">
        <v>5674</v>
      </c>
      <c r="M19" s="9">
        <f t="shared" si="0"/>
        <v>35810</v>
      </c>
      <c r="N19" s="9">
        <v>11820</v>
      </c>
      <c r="O19" s="9">
        <v>5761</v>
      </c>
      <c r="P19" s="9">
        <v>16589</v>
      </c>
      <c r="Q19" s="9">
        <f t="shared" si="2"/>
        <v>13813</v>
      </c>
      <c r="R19" s="9"/>
      <c r="S19" s="9"/>
      <c r="T19" s="9"/>
      <c r="U19" s="9"/>
    </row>
    <row r="20" spans="1:21" x14ac:dyDescent="0.25">
      <c r="A20" s="9">
        <f t="shared" si="1"/>
        <v>2040</v>
      </c>
      <c r="B20" s="9">
        <v>3161</v>
      </c>
      <c r="C20" s="9">
        <v>1939</v>
      </c>
      <c r="D20" s="9">
        <v>3640</v>
      </c>
      <c r="E20" s="9">
        <v>1212</v>
      </c>
      <c r="F20" s="9">
        <v>1456</v>
      </c>
      <c r="G20" s="9">
        <v>2538</v>
      </c>
      <c r="H20" s="9">
        <v>2682</v>
      </c>
      <c r="I20" s="9">
        <v>674</v>
      </c>
      <c r="J20" s="9">
        <v>1466</v>
      </c>
      <c r="K20" s="9">
        <v>11620</v>
      </c>
      <c r="L20" s="9">
        <v>5712</v>
      </c>
      <c r="M20" s="9">
        <f t="shared" si="0"/>
        <v>36100</v>
      </c>
      <c r="N20" s="9">
        <v>11880</v>
      </c>
      <c r="O20" s="9">
        <v>5799</v>
      </c>
      <c r="P20" s="9">
        <v>16710</v>
      </c>
      <c r="Q20" s="9">
        <f t="shared" si="2"/>
        <v>13946</v>
      </c>
      <c r="R20" s="9"/>
      <c r="S20" s="9"/>
      <c r="T20" s="9"/>
      <c r="U20" s="9"/>
    </row>
    <row r="21" spans="1:21" x14ac:dyDescent="0.25">
      <c r="A21" s="9">
        <f t="shared" si="1"/>
        <v>2041</v>
      </c>
      <c r="B21" s="9">
        <v>3195</v>
      </c>
      <c r="C21" s="9">
        <v>1959</v>
      </c>
      <c r="D21" s="9">
        <v>3661</v>
      </c>
      <c r="E21" s="9">
        <v>1216</v>
      </c>
      <c r="F21" s="9">
        <v>1478</v>
      </c>
      <c r="G21" s="9">
        <v>2577</v>
      </c>
      <c r="H21" s="9">
        <v>2722</v>
      </c>
      <c r="I21" s="9">
        <v>677</v>
      </c>
      <c r="J21" s="9">
        <v>1476</v>
      </c>
      <c r="K21" s="9">
        <v>11690</v>
      </c>
      <c r="L21" s="9">
        <v>5749</v>
      </c>
      <c r="M21" s="9">
        <f t="shared" si="0"/>
        <v>36400</v>
      </c>
      <c r="N21" s="9">
        <v>11950</v>
      </c>
      <c r="O21" s="9">
        <v>5837</v>
      </c>
      <c r="P21" s="9">
        <v>16835</v>
      </c>
      <c r="Q21" s="9">
        <f t="shared" si="2"/>
        <v>14086</v>
      </c>
      <c r="R21" s="9"/>
      <c r="S21" s="9"/>
      <c r="T21" s="9"/>
      <c r="U21" s="9"/>
    </row>
    <row r="22" spans="1:21" x14ac:dyDescent="0.25">
      <c r="A22" s="9">
        <f t="shared" si="1"/>
        <v>2042</v>
      </c>
      <c r="B22" s="9">
        <v>3225</v>
      </c>
      <c r="C22" s="9">
        <v>1974</v>
      </c>
      <c r="D22" s="9">
        <v>3672</v>
      </c>
      <c r="E22" s="9">
        <v>1218</v>
      </c>
      <c r="F22" s="9">
        <v>1500</v>
      </c>
      <c r="G22" s="9">
        <v>2612</v>
      </c>
      <c r="H22" s="9">
        <v>2758</v>
      </c>
      <c r="I22" s="9">
        <v>679</v>
      </c>
      <c r="J22" s="9">
        <v>1485</v>
      </c>
      <c r="K22" s="9">
        <v>11740</v>
      </c>
      <c r="L22" s="9">
        <v>5787</v>
      </c>
      <c r="M22" s="9">
        <f t="shared" si="0"/>
        <v>36650</v>
      </c>
      <c r="N22" s="9">
        <v>12000</v>
      </c>
      <c r="O22" s="9">
        <v>5876</v>
      </c>
      <c r="P22" s="9">
        <v>16933</v>
      </c>
      <c r="Q22" s="9">
        <f t="shared" si="2"/>
        <v>14201</v>
      </c>
      <c r="R22" s="9"/>
      <c r="S22" s="9"/>
      <c r="T22" s="9"/>
      <c r="U22" s="9"/>
    </row>
    <row r="23" spans="1:21" x14ac:dyDescent="0.25">
      <c r="A23" s="9">
        <f t="shared" si="1"/>
        <v>2043</v>
      </c>
      <c r="B23" s="9">
        <v>3254</v>
      </c>
      <c r="C23" s="9">
        <v>1985</v>
      </c>
      <c r="D23" s="9">
        <v>3692</v>
      </c>
      <c r="E23" s="9">
        <v>1222</v>
      </c>
      <c r="F23" s="9">
        <v>1525</v>
      </c>
      <c r="G23" s="9">
        <v>2648</v>
      </c>
      <c r="H23" s="9">
        <v>2794</v>
      </c>
      <c r="I23" s="9">
        <v>681</v>
      </c>
      <c r="J23" s="9">
        <v>1495</v>
      </c>
      <c r="K23" s="9">
        <v>11800</v>
      </c>
      <c r="L23" s="9">
        <v>5824</v>
      </c>
      <c r="M23" s="9">
        <f t="shared" si="0"/>
        <v>36920</v>
      </c>
      <c r="N23" s="9">
        <v>12060</v>
      </c>
      <c r="O23" s="9">
        <v>5913</v>
      </c>
      <c r="P23" s="9">
        <v>17043</v>
      </c>
      <c r="Q23" s="9">
        <f t="shared" si="2"/>
        <v>14326</v>
      </c>
      <c r="R23" s="9"/>
      <c r="S23" s="9"/>
      <c r="T23" s="9"/>
      <c r="U23" s="9"/>
    </row>
    <row r="24" spans="1:21" x14ac:dyDescent="0.25">
      <c r="A24" s="9">
        <f t="shared" si="1"/>
        <v>2044</v>
      </c>
      <c r="B24" s="9">
        <v>3276</v>
      </c>
      <c r="C24" s="9">
        <v>1992</v>
      </c>
      <c r="D24" s="9">
        <v>3711</v>
      </c>
      <c r="E24" s="9">
        <v>1224</v>
      </c>
      <c r="F24" s="9">
        <v>1547</v>
      </c>
      <c r="G24" s="9">
        <v>2681</v>
      </c>
      <c r="H24" s="9">
        <v>2841</v>
      </c>
      <c r="I24" s="9">
        <v>684</v>
      </c>
      <c r="J24" s="9">
        <v>1504</v>
      </c>
      <c r="K24" s="9">
        <v>11850</v>
      </c>
      <c r="L24" s="9">
        <v>5860</v>
      </c>
      <c r="M24" s="9">
        <f t="shared" si="0"/>
        <v>37170</v>
      </c>
      <c r="N24" s="9">
        <v>12120</v>
      </c>
      <c r="O24" s="9">
        <v>5950</v>
      </c>
      <c r="P24" s="9">
        <v>17154</v>
      </c>
      <c r="Q24" s="9">
        <f t="shared" si="2"/>
        <v>14431</v>
      </c>
      <c r="R24" s="9"/>
      <c r="S24" s="9"/>
      <c r="T24" s="9"/>
      <c r="U24" s="9"/>
    </row>
    <row r="25" spans="1:21" x14ac:dyDescent="0.25">
      <c r="A25" s="9">
        <f t="shared" si="1"/>
        <v>2045</v>
      </c>
      <c r="B25" s="9">
        <v>3298</v>
      </c>
      <c r="C25" s="9">
        <v>1998</v>
      </c>
      <c r="D25" s="9">
        <v>3729</v>
      </c>
      <c r="E25" s="9">
        <v>1226</v>
      </c>
      <c r="F25" s="9">
        <v>1566</v>
      </c>
      <c r="G25" s="9">
        <v>2706</v>
      </c>
      <c r="H25" s="9">
        <v>2882</v>
      </c>
      <c r="I25" s="9">
        <v>686</v>
      </c>
      <c r="J25" s="9">
        <v>1513</v>
      </c>
      <c r="K25" s="9">
        <v>11900</v>
      </c>
      <c r="L25" s="9">
        <v>5896</v>
      </c>
      <c r="M25" s="9">
        <f t="shared" si="0"/>
        <v>37400</v>
      </c>
      <c r="N25" s="9">
        <v>12170</v>
      </c>
      <c r="O25" s="9">
        <v>5986</v>
      </c>
      <c r="P25" s="9">
        <v>17258</v>
      </c>
      <c r="Q25" s="9">
        <f t="shared" si="2"/>
        <v>14523</v>
      </c>
      <c r="R25" s="9"/>
      <c r="S25" s="9"/>
      <c r="T25" s="9"/>
      <c r="U25" s="9"/>
    </row>
    <row r="26" spans="1:2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9" spans="1:21" x14ac:dyDescent="0.25">
      <c r="A29" t="s">
        <v>247</v>
      </c>
    </row>
    <row r="30" spans="1:21" x14ac:dyDescent="0.25">
      <c r="A30" s="4" t="s">
        <v>251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1" x14ac:dyDescent="0.25">
      <c r="B31" s="2"/>
      <c r="C31" s="2"/>
      <c r="D31" s="2"/>
      <c r="E31" s="2"/>
      <c r="F31" s="2"/>
      <c r="G31" s="2"/>
      <c r="H31" s="2"/>
      <c r="I31" s="2"/>
      <c r="J31" s="2"/>
      <c r="K31" s="9"/>
      <c r="L31" s="9"/>
      <c r="M31" s="9"/>
      <c r="N31" s="2"/>
      <c r="O31" s="2"/>
      <c r="P31" s="2"/>
      <c r="Q31" s="2"/>
    </row>
    <row r="32" spans="1:21" x14ac:dyDescent="0.25">
      <c r="K32" s="9"/>
      <c r="L32" s="9"/>
      <c r="M32" s="9"/>
    </row>
    <row r="33" spans="11:13" x14ac:dyDescent="0.25">
      <c r="K33" s="9"/>
      <c r="L33" s="9"/>
      <c r="M33" s="9"/>
    </row>
    <row r="34" spans="11:13" x14ac:dyDescent="0.25">
      <c r="K34" s="9"/>
      <c r="L34" s="9"/>
      <c r="M34" s="9"/>
    </row>
    <row r="35" spans="11:13" x14ac:dyDescent="0.25">
      <c r="K35" s="9"/>
      <c r="L35" s="9"/>
      <c r="M35" s="9"/>
    </row>
    <row r="36" spans="11:13" x14ac:dyDescent="0.25">
      <c r="K36" s="9"/>
      <c r="L36" s="9"/>
      <c r="M36" s="9"/>
    </row>
    <row r="37" spans="11:13" x14ac:dyDescent="0.25">
      <c r="K37" s="9"/>
      <c r="L37" s="9"/>
      <c r="M37" s="9"/>
    </row>
    <row r="38" spans="11:13" x14ac:dyDescent="0.25">
      <c r="K38" s="9"/>
      <c r="L38" s="9"/>
      <c r="M38" s="9"/>
    </row>
    <row r="39" spans="11:13" x14ac:dyDescent="0.25">
      <c r="K39" s="9"/>
      <c r="L39" s="9"/>
      <c r="M39" s="9"/>
    </row>
    <row r="40" spans="11:13" x14ac:dyDescent="0.25">
      <c r="K40" s="9"/>
      <c r="L40" s="9"/>
      <c r="M40" s="9"/>
    </row>
    <row r="41" spans="11:13" x14ac:dyDescent="0.25">
      <c r="K41" s="9"/>
      <c r="L41" s="9"/>
      <c r="M41" s="9"/>
    </row>
    <row r="42" spans="11:13" x14ac:dyDescent="0.25">
      <c r="K42" s="9"/>
      <c r="L42" s="9"/>
      <c r="M42" s="9"/>
    </row>
    <row r="43" spans="11:13" x14ac:dyDescent="0.25">
      <c r="K43" s="9"/>
      <c r="L43" s="9"/>
      <c r="M43" s="9"/>
    </row>
    <row r="44" spans="11:13" x14ac:dyDescent="0.25">
      <c r="K44" s="9"/>
      <c r="L44" s="9"/>
      <c r="M44" s="9"/>
    </row>
    <row r="45" spans="11:13" x14ac:dyDescent="0.25">
      <c r="K45" s="9"/>
      <c r="L45" s="9"/>
      <c r="M45" s="9"/>
    </row>
    <row r="46" spans="11:13" x14ac:dyDescent="0.25">
      <c r="K46" s="9"/>
      <c r="L46" s="9"/>
      <c r="M46" s="9"/>
    </row>
    <row r="47" spans="11:13" x14ac:dyDescent="0.25">
      <c r="K47" s="9"/>
      <c r="L47" s="9"/>
      <c r="M47" s="9"/>
    </row>
    <row r="48" spans="11:13" x14ac:dyDescent="0.25">
      <c r="K48" s="9"/>
      <c r="L48" s="9"/>
      <c r="M48" s="9"/>
    </row>
    <row r="49" spans="11:13" x14ac:dyDescent="0.25">
      <c r="K49" s="9"/>
      <c r="L49" s="9"/>
      <c r="M49" s="9"/>
    </row>
    <row r="50" spans="11:13" x14ac:dyDescent="0.25">
      <c r="K50" s="9"/>
      <c r="L50" s="9"/>
      <c r="M50" s="9"/>
    </row>
    <row r="51" spans="11:13" x14ac:dyDescent="0.25">
      <c r="K51" s="9"/>
      <c r="L51" s="9"/>
      <c r="M51" s="9"/>
    </row>
    <row r="52" spans="11:13" x14ac:dyDescent="0.25">
      <c r="K52" s="9"/>
      <c r="L52" s="9"/>
      <c r="M52" s="9"/>
    </row>
  </sheetData>
  <pageMargins left="0.7" right="0.7" top="0.75" bottom="0.75" header="0.3" footer="0.3"/>
  <pageSetup scale="7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15</vt:i4>
      </vt:variant>
    </vt:vector>
  </HeadingPairs>
  <TitlesOfParts>
    <vt:vector size="26" baseType="lpstr">
      <vt:lpstr>AGCC Annual</vt:lpstr>
      <vt:lpstr>AGCC Summer</vt:lpstr>
      <vt:lpstr>AGCC Winter</vt:lpstr>
      <vt:lpstr>ICAP Prices</vt:lpstr>
      <vt:lpstr>Additions</vt:lpstr>
      <vt:lpstr>Deactivations</vt:lpstr>
      <vt:lpstr>DEC Peaker Rule</vt:lpstr>
      <vt:lpstr>DC Model</vt:lpstr>
      <vt:lpstr>Demand</vt:lpstr>
      <vt:lpstr>Supply</vt:lpstr>
      <vt:lpstr>ICAP 2025</vt:lpstr>
      <vt:lpstr>additions</vt:lpstr>
      <vt:lpstr>cap</vt:lpstr>
      <vt:lpstr>Demand</vt:lpstr>
      <vt:lpstr>JD</vt:lpstr>
      <vt:lpstr>KD</vt:lpstr>
      <vt:lpstr>NCZD</vt:lpstr>
      <vt:lpstr>NYCAD</vt:lpstr>
      <vt:lpstr>'ICAP Prices'!Print_Area</vt:lpstr>
      <vt:lpstr>Supply</vt:lpstr>
      <vt:lpstr>UDRsSummer</vt:lpstr>
      <vt:lpstr>UDRsWinter</vt:lpstr>
      <vt:lpstr>wcap</vt:lpstr>
      <vt:lpstr>YD</vt:lpstr>
      <vt:lpstr>year</vt:lpstr>
      <vt:lpstr>zone</vt:lpstr>
    </vt:vector>
  </TitlesOfParts>
  <Company>NYSDPS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r203hj</dc:creator>
  <cp:lastModifiedBy>Edmundson, Caitlyn (DPS)</cp:lastModifiedBy>
  <cp:lastPrinted>2023-08-11T18:37:50Z</cp:lastPrinted>
  <dcterms:created xsi:type="dcterms:W3CDTF">2013-09-19T16:03:12Z</dcterms:created>
  <dcterms:modified xsi:type="dcterms:W3CDTF">2025-10-07T17:23:10Z</dcterms:modified>
</cp:coreProperties>
</file>