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C:\Users\n025us\Documents\"/>
    </mc:Choice>
  </mc:AlternateContent>
  <bookViews>
    <workbookView xWindow="0" yWindow="0" windowWidth="13800" windowHeight="3828"/>
  </bookViews>
  <sheets>
    <sheet name="Sheet1" sheetId="1" r:id="rId1"/>
    <sheet name="Sheet2"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9" i="1" l="1"/>
  <c r="E39" i="1"/>
  <c r="D39" i="1"/>
  <c r="D33" i="1" l="1"/>
  <c r="E33" i="1" s="1"/>
  <c r="F33" i="1" s="1"/>
  <c r="C33" i="1"/>
  <c r="D29" i="1" l="1"/>
  <c r="E29" i="1" s="1"/>
  <c r="F29" i="1" s="1"/>
  <c r="C34" i="1"/>
  <c r="D34" i="1" s="1"/>
  <c r="E34" i="1" s="1"/>
  <c r="F34" i="1" s="1"/>
  <c r="C32" i="1"/>
  <c r="D32" i="1" s="1"/>
  <c r="E32" i="1" s="1"/>
  <c r="F32" i="1" s="1"/>
  <c r="C43" i="1" l="1"/>
  <c r="C42" i="1"/>
  <c r="C41" i="1"/>
  <c r="C40" i="1"/>
  <c r="C39" i="1"/>
  <c r="C38" i="1"/>
  <c r="AB20" i="1"/>
  <c r="AC20" i="1" s="1"/>
  <c r="AD20" i="1" s="1"/>
  <c r="AE20" i="1" s="1"/>
  <c r="E21" i="1"/>
  <c r="F21" i="1" s="1"/>
  <c r="G21" i="1" s="1"/>
  <c r="H21" i="1" s="1"/>
  <c r="I21" i="1" s="1"/>
  <c r="J21" i="1" s="1"/>
  <c r="K21" i="1" s="1"/>
  <c r="L21" i="1" s="1"/>
  <c r="M21" i="1" s="1"/>
  <c r="N21" i="1" s="1"/>
  <c r="O21" i="1" s="1"/>
  <c r="P21" i="1" s="1"/>
  <c r="Q21" i="1" s="1"/>
  <c r="R21" i="1" s="1"/>
  <c r="S21" i="1" s="1"/>
  <c r="T21" i="1" s="1"/>
  <c r="U21" i="1" s="1"/>
  <c r="V21" i="1" s="1"/>
  <c r="W21" i="1" s="1"/>
  <c r="X21" i="1" s="1"/>
  <c r="Y21" i="1" s="1"/>
  <c r="Z21" i="1" s="1"/>
  <c r="AA21" i="1" s="1"/>
  <c r="AB21" i="1" s="1"/>
  <c r="AC21" i="1" s="1"/>
  <c r="AD21" i="1" s="1"/>
  <c r="AE21" i="1" s="1"/>
  <c r="E20" i="1"/>
  <c r="F20" i="1" s="1"/>
  <c r="G20" i="1" s="1"/>
  <c r="H20" i="1" s="1"/>
  <c r="I20" i="1" s="1"/>
  <c r="J20" i="1" s="1"/>
  <c r="K20" i="1" s="1"/>
  <c r="L20" i="1" s="1"/>
  <c r="M20" i="1" s="1"/>
  <c r="N20" i="1" s="1"/>
  <c r="O20" i="1" s="1"/>
  <c r="P20" i="1" s="1"/>
  <c r="Q20" i="1" s="1"/>
  <c r="R20" i="1" s="1"/>
  <c r="S20" i="1" s="1"/>
  <c r="T20" i="1" s="1"/>
  <c r="U20" i="1" s="1"/>
  <c r="V20" i="1" s="1"/>
  <c r="W20" i="1" s="1"/>
  <c r="X20" i="1" s="1"/>
  <c r="Y20" i="1" s="1"/>
  <c r="Z20" i="1" s="1"/>
  <c r="AA20" i="1" s="1"/>
  <c r="F43" i="1"/>
  <c r="F42" i="1"/>
  <c r="F41" i="1"/>
  <c r="F40" i="1"/>
  <c r="F38" i="1"/>
  <c r="D38" i="1" l="1"/>
  <c r="F44" i="1"/>
  <c r="E38" i="1"/>
  <c r="D40" i="1"/>
  <c r="D41" i="1"/>
  <c r="D42" i="1"/>
  <c r="D43" i="1"/>
  <c r="E40" i="1"/>
  <c r="E41" i="1"/>
  <c r="E42" i="1"/>
  <c r="E43" i="1"/>
  <c r="C44" i="1"/>
  <c r="F35" i="1"/>
  <c r="E35" i="1"/>
  <c r="D35" i="1"/>
  <c r="C35" i="1"/>
  <c r="F2" i="2"/>
  <c r="G2" i="2" s="1"/>
  <c r="D17" i="1" s="1"/>
  <c r="E2" i="2"/>
  <c r="C21" i="2"/>
  <c r="C20" i="2"/>
  <c r="C19" i="2"/>
  <c r="C18" i="2"/>
  <c r="C17" i="2"/>
  <c r="C16" i="2"/>
  <c r="C15" i="2"/>
  <c r="C14" i="2"/>
  <c r="C13" i="2"/>
  <c r="C12" i="2"/>
  <c r="C11" i="2"/>
  <c r="C10" i="2"/>
  <c r="C9" i="2"/>
  <c r="C8" i="2"/>
  <c r="C7" i="2"/>
  <c r="C6" i="2"/>
  <c r="C5" i="2"/>
  <c r="C4" i="2"/>
  <c r="D21" i="2" s="1"/>
  <c r="B22" i="2" s="1"/>
  <c r="C3" i="2"/>
  <c r="A3" i="2"/>
  <c r="A4" i="2" s="1"/>
  <c r="I7" i="1"/>
  <c r="H7" i="1"/>
  <c r="G7" i="1"/>
  <c r="I4" i="1"/>
  <c r="I13" i="1" s="1"/>
  <c r="J13" i="1" s="1"/>
  <c r="H4" i="1"/>
  <c r="G4" i="1"/>
  <c r="F4" i="1"/>
  <c r="F13" i="1" s="1"/>
  <c r="E4" i="1"/>
  <c r="E13" i="1" s="1"/>
  <c r="D4" i="1"/>
  <c r="D13" i="1" s="1"/>
  <c r="E3" i="1"/>
  <c r="F3" i="1" s="1"/>
  <c r="G3" i="1" s="1"/>
  <c r="H3" i="1" s="1"/>
  <c r="I3" i="1" s="1"/>
  <c r="J3" i="1" s="1"/>
  <c r="K3" i="1" s="1"/>
  <c r="L3" i="1" s="1"/>
  <c r="M3" i="1" s="1"/>
  <c r="N3" i="1" s="1"/>
  <c r="O3" i="1" s="1"/>
  <c r="P3" i="1" s="1"/>
  <c r="Q3" i="1" s="1"/>
  <c r="R3" i="1" s="1"/>
  <c r="S3" i="1" s="1"/>
  <c r="T3" i="1" s="1"/>
  <c r="U3" i="1" s="1"/>
  <c r="V3" i="1" s="1"/>
  <c r="W3" i="1" s="1"/>
  <c r="X3" i="1" s="1"/>
  <c r="Y3" i="1" s="1"/>
  <c r="Z3" i="1" s="1"/>
  <c r="AA3" i="1" s="1"/>
  <c r="AB3" i="1" s="1"/>
  <c r="AC3" i="1" s="1"/>
  <c r="AD3" i="1" s="1"/>
  <c r="AE3" i="1" s="1"/>
  <c r="F3" i="2" l="1"/>
  <c r="G3" i="2" s="1"/>
  <c r="E17" i="1" s="1"/>
  <c r="E23" i="1" s="1"/>
  <c r="B23" i="2"/>
  <c r="A5" i="2"/>
  <c r="E4" i="2"/>
  <c r="E3" i="2"/>
  <c r="D44" i="1"/>
  <c r="I23" i="1"/>
  <c r="K13" i="1"/>
  <c r="E44" i="1"/>
  <c r="D22" i="1"/>
  <c r="G22" i="1"/>
  <c r="F22" i="1"/>
  <c r="E22" i="1"/>
  <c r="I22" i="1"/>
  <c r="H13" i="1"/>
  <c r="H22" i="1" s="1"/>
  <c r="J22" i="1"/>
  <c r="G13" i="1"/>
  <c r="K22" i="1"/>
  <c r="J23" i="1" l="1"/>
  <c r="B24" i="2"/>
  <c r="F23" i="1"/>
  <c r="A6" i="2"/>
  <c r="E5" i="2"/>
  <c r="F4" i="2"/>
  <c r="G4" i="2" s="1"/>
  <c r="F17" i="1" s="1"/>
  <c r="B22" i="1"/>
  <c r="B49" i="1" s="1"/>
  <c r="H23" i="1"/>
  <c r="H24" i="1"/>
  <c r="L13" i="1"/>
  <c r="K24" i="1"/>
  <c r="K23" i="1"/>
  <c r="G23" i="1"/>
  <c r="B23" i="1" s="1"/>
  <c r="B50" i="1" s="1"/>
  <c r="G24" i="1"/>
  <c r="A7" i="2" l="1"/>
  <c r="E6" i="2"/>
  <c r="F24" i="1"/>
  <c r="B24" i="1" s="1"/>
  <c r="B51" i="1" s="1"/>
  <c r="I24" i="1"/>
  <c r="J24" i="1"/>
  <c r="B25" i="2"/>
  <c r="F6" i="2"/>
  <c r="G6" i="2" s="1"/>
  <c r="F5" i="2"/>
  <c r="G5" i="2" s="1"/>
  <c r="G17" i="1" s="1"/>
  <c r="L25" i="1" s="1"/>
  <c r="M13" i="1"/>
  <c r="L24" i="1"/>
  <c r="L23" i="1"/>
  <c r="L22" i="1"/>
  <c r="B26" i="2" l="1"/>
  <c r="F7" i="2"/>
  <c r="G7" i="2" s="1"/>
  <c r="J25" i="1"/>
  <c r="I25" i="1"/>
  <c r="H25" i="1"/>
  <c r="K25" i="1"/>
  <c r="G25" i="1"/>
  <c r="B25" i="1" s="1"/>
  <c r="B52" i="1" s="1"/>
  <c r="B53" i="1" s="1"/>
  <c r="A8" i="2"/>
  <c r="E7" i="2"/>
  <c r="N13" i="1"/>
  <c r="M24" i="1"/>
  <c r="M25" i="1"/>
  <c r="M23" i="1"/>
  <c r="M22" i="1"/>
  <c r="A9" i="2" l="1"/>
  <c r="E8" i="2"/>
  <c r="B27" i="2"/>
  <c r="F8" i="2"/>
  <c r="G8" i="2" s="1"/>
  <c r="O13" i="1"/>
  <c r="N25" i="1"/>
  <c r="N23" i="1"/>
  <c r="N24" i="1"/>
  <c r="N22" i="1"/>
  <c r="B28" i="2" l="1"/>
  <c r="A10" i="2"/>
  <c r="E9" i="2"/>
  <c r="P13" i="1"/>
  <c r="O25" i="1"/>
  <c r="O24" i="1"/>
  <c r="O23" i="1"/>
  <c r="O22" i="1"/>
  <c r="B29" i="2" l="1"/>
  <c r="F10" i="2"/>
  <c r="G10" i="2" s="1"/>
  <c r="A11" i="2"/>
  <c r="E10" i="2"/>
  <c r="F9" i="2"/>
  <c r="G9" i="2" s="1"/>
  <c r="Q13" i="1"/>
  <c r="P24" i="1"/>
  <c r="P23" i="1"/>
  <c r="P25" i="1"/>
  <c r="P22" i="1"/>
  <c r="A12" i="2" l="1"/>
  <c r="E11" i="2"/>
  <c r="B30" i="2"/>
  <c r="F11" i="2"/>
  <c r="G11" i="2" s="1"/>
  <c r="R13" i="1"/>
  <c r="Q24" i="1"/>
  <c r="Q25" i="1"/>
  <c r="Q23" i="1"/>
  <c r="Q22" i="1"/>
  <c r="A13" i="2" l="1"/>
  <c r="E12" i="2"/>
  <c r="B31" i="2"/>
  <c r="S13" i="1"/>
  <c r="R25" i="1"/>
  <c r="R23" i="1"/>
  <c r="R24" i="1"/>
  <c r="R22" i="1"/>
  <c r="B32" i="2" l="1"/>
  <c r="F12" i="2"/>
  <c r="G12" i="2" s="1"/>
  <c r="A14" i="2"/>
  <c r="E13" i="2"/>
  <c r="T13" i="1"/>
  <c r="S23" i="1"/>
  <c r="S25" i="1"/>
  <c r="S24" i="1"/>
  <c r="S22" i="1"/>
  <c r="A15" i="2" l="1"/>
  <c r="E14" i="2"/>
  <c r="B33" i="2"/>
  <c r="F13" i="2"/>
  <c r="G13" i="2" s="1"/>
  <c r="U13" i="1"/>
  <c r="T23" i="1"/>
  <c r="T25" i="1"/>
  <c r="T24" i="1"/>
  <c r="T22" i="1"/>
  <c r="A16" i="2" l="1"/>
  <c r="E15" i="2"/>
  <c r="B34" i="2"/>
  <c r="F14" i="2"/>
  <c r="G14" i="2" s="1"/>
  <c r="V13" i="1"/>
  <c r="U24" i="1"/>
  <c r="U23" i="1"/>
  <c r="U25" i="1"/>
  <c r="U22" i="1"/>
  <c r="B35" i="2" l="1"/>
  <c r="F15" i="2"/>
  <c r="G15" i="2" s="1"/>
  <c r="A17" i="2"/>
  <c r="E16" i="2"/>
  <c r="W13" i="1"/>
  <c r="V24" i="1"/>
  <c r="V23" i="1"/>
  <c r="V25" i="1"/>
  <c r="V22" i="1"/>
  <c r="A18" i="2" l="1"/>
  <c r="E17" i="2"/>
  <c r="B36" i="2"/>
  <c r="F16" i="2"/>
  <c r="G16" i="2" s="1"/>
  <c r="X13" i="1"/>
  <c r="W23" i="1"/>
  <c r="W24" i="1"/>
  <c r="W25" i="1"/>
  <c r="W22" i="1"/>
  <c r="B37" i="2" l="1"/>
  <c r="F17" i="2"/>
  <c r="G17" i="2" s="1"/>
  <c r="A19" i="2"/>
  <c r="E18" i="2"/>
  <c r="Y13" i="1"/>
  <c r="X23" i="1"/>
  <c r="X25" i="1"/>
  <c r="X24" i="1"/>
  <c r="X22" i="1"/>
  <c r="A20" i="2" l="1"/>
  <c r="E19" i="2"/>
  <c r="B38" i="2"/>
  <c r="F18" i="2"/>
  <c r="G18" i="2" s="1"/>
  <c r="Z13" i="1"/>
  <c r="Y24" i="1"/>
  <c r="Y25" i="1"/>
  <c r="Y23" i="1"/>
  <c r="Y22" i="1"/>
  <c r="B39" i="2" l="1"/>
  <c r="F19" i="2"/>
  <c r="G19" i="2" s="1"/>
  <c r="A21" i="2"/>
  <c r="E20" i="2"/>
  <c r="AA13" i="1"/>
  <c r="Z25" i="1"/>
  <c r="Z24" i="1"/>
  <c r="Z23" i="1"/>
  <c r="Z22" i="1"/>
  <c r="E21" i="2" l="1"/>
  <c r="A22" i="2"/>
  <c r="B40" i="2"/>
  <c r="F20" i="2"/>
  <c r="G20" i="2" s="1"/>
  <c r="AB13" i="1"/>
  <c r="AA24" i="1"/>
  <c r="AA25" i="1"/>
  <c r="AA23" i="1"/>
  <c r="AA22" i="1"/>
  <c r="B41" i="2" l="1"/>
  <c r="F21" i="2"/>
  <c r="G21" i="2" s="1"/>
  <c r="A23" i="2"/>
  <c r="E22" i="2"/>
  <c r="AC13" i="1"/>
  <c r="AB25" i="1"/>
  <c r="AB23" i="1"/>
  <c r="AB24" i="1"/>
  <c r="AB22" i="1"/>
  <c r="C22" i="1" s="1"/>
  <c r="B56" i="1" s="1"/>
  <c r="A24" i="2" l="1"/>
  <c r="E23" i="2"/>
  <c r="B42" i="2"/>
  <c r="F22" i="2"/>
  <c r="G22" i="2" s="1"/>
  <c r="AD13" i="1"/>
  <c r="AC25" i="1"/>
  <c r="AC24" i="1"/>
  <c r="AC23" i="1"/>
  <c r="C23" i="1" s="1"/>
  <c r="B57" i="1" s="1"/>
  <c r="B43" i="2" l="1"/>
  <c r="F23" i="2"/>
  <c r="G23" i="2" s="1"/>
  <c r="A25" i="2"/>
  <c r="E24" i="2"/>
  <c r="AE13" i="1"/>
  <c r="AE25" i="1" s="1"/>
  <c r="AD24" i="1"/>
  <c r="C24" i="1" s="1"/>
  <c r="B58" i="1" s="1"/>
  <c r="AD25" i="1"/>
  <c r="A26" i="2" l="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E25" i="2"/>
  <c r="B44" i="2"/>
  <c r="F24" i="2"/>
  <c r="G24" i="2" s="1"/>
  <c r="C25" i="1"/>
  <c r="B59" i="1" s="1"/>
  <c r="B60" i="1" s="1"/>
  <c r="B45" i="2" l="1"/>
  <c r="B46" i="2" s="1"/>
  <c r="B47" i="2" s="1"/>
  <c r="B48" i="2" s="1"/>
  <c r="F25" i="2"/>
  <c r="G25" i="2" s="1"/>
</calcChain>
</file>

<file path=xl/sharedStrings.xml><?xml version="1.0" encoding="utf-8"?>
<sst xmlns="http://schemas.openxmlformats.org/spreadsheetml/2006/main" count="58" uniqueCount="41">
  <si>
    <t>Average Tier 1 REC Price</t>
  </si>
  <si>
    <t>r</t>
  </si>
  <si>
    <t>Central Hudson</t>
  </si>
  <si>
    <t>National Grid</t>
  </si>
  <si>
    <t>NYSEG</t>
  </si>
  <si>
    <t>O&amp;R</t>
  </si>
  <si>
    <t>RGE</t>
  </si>
  <si>
    <t>Con Edison</t>
  </si>
  <si>
    <t>Weighted Average REC Price</t>
  </si>
  <si>
    <t>Projected REC Prices</t>
  </si>
  <si>
    <t>New Value Stack MW By Year</t>
  </si>
  <si>
    <t>2018 Vintage</t>
  </si>
  <si>
    <t>2019 Vintage</t>
  </si>
  <si>
    <t>2020 Vintage</t>
  </si>
  <si>
    <t>2021 Vintage</t>
  </si>
  <si>
    <t>Projected Social Cost of Carbon Premium Over REC Price</t>
  </si>
  <si>
    <t>Year</t>
  </si>
  <si>
    <t>Long Run REC Price Forecast = $21.99</t>
  </si>
  <si>
    <t>Total MW Statewide</t>
  </si>
  <si>
    <t>Total Annual MWh Statewide</t>
  </si>
  <si>
    <t>Annual MWh (E Credit) by Year</t>
  </si>
  <si>
    <t>Capacity Factor</t>
  </si>
  <si>
    <t>TOTAL</t>
  </si>
  <si>
    <t>Through 2021</t>
  </si>
  <si>
    <t>Lifetime</t>
  </si>
  <si>
    <t>NPV through 2021 (r=2%)</t>
  </si>
  <si>
    <t>Lifetime NPV (r=2%)</t>
  </si>
  <si>
    <t>Existing Tier 1 Resources (MWh)*</t>
  </si>
  <si>
    <t xml:space="preserve">* Statewide load from the NYISO Gold Book multiplied by 0.15%, which is the 2018 statewide LSE compliance obligation under the Clean Energy Standard. 
Assumes this is a reasonable proxy for the quantity of RECs NYSERDA expects to procure from existing resources. </t>
  </si>
  <si>
    <t>2016 Tier 1 Solicitation (MWh)**</t>
  </si>
  <si>
    <t xml:space="preserve">** Price and quantity derived from NYSERDA's 2016 Large-Scale Renewables solicitiation, linked below. Uses a 26% capacity factor for wind and a 70% capacity factor for run of river hydro and fuel cell assets combined:
 https://www.nyserda.ny.gov/All%20Programs/Programs/Clean%20Energy%20Standard/Renewable%20Portfolio%20Standard/Past%20Main%20Tier%20Solicitations </t>
  </si>
  <si>
    <t>2017 Tier 1 Solicitation (MWh)***</t>
  </si>
  <si>
    <t>*** Price and quantity taken from NYSERDA's 2017 Large-Scale Renewables solicittion results, linked below:
https://www.nyserda.ny.gov/All-Programs/Programs/Clean-Energy-Standard/Renewable-Generators-and-Developers/RES-Tier-One-Eligibility/Solicitations-for-Long-term-Contracts/2017-Solicitation</t>
  </si>
  <si>
    <t xml:space="preserve">Social Cost of Carbon**** </t>
  </si>
  <si>
    <t>**** Social Cost of Carbon figures are taken and extrapolated from DPS Staff's spreadsheet filed in the Value of DER proceeding (Case 15-E-0751) on March 28, 2018.</t>
  </si>
  <si>
    <t>These projections are intended to capture a reasonable estimate of future costs to illustrate potential long-run impacts of recent policy changes. Estimates are based on publically available information concerning REC prices and quantities and on the Joint Utilities' projected VDER Value Stack eligible DER interconnection queues. Timing of REC production from DER is based on interconnecting DER meeting their requested and scheduled in-service dates.</t>
  </si>
  <si>
    <t>Appendix A: Estimated Impacts of Recent Policy Changes on Out-of-Market REC Charges Billed to Customers</t>
  </si>
  <si>
    <t>Projected Incremental Costs to Customers (NPV)</t>
  </si>
  <si>
    <t>Notes</t>
  </si>
  <si>
    <t>Social Cost of Carbon Less RGGI - 25 Year Payment</t>
  </si>
  <si>
    <t>Projected Quantity of "E Credits" by DER Vintage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</si>
</sst>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7" formatCode="&quot;$&quot;#,##0.00_);\(&quot;$&quot;#,##0.00\)"/>
    <numFmt numFmtId="8" formatCode="&quot;$&quot;#,##0.00_);[Red]\(&quot;$&quot;#,##0.00\)"/>
    <numFmt numFmtId="164" formatCode="&quot;$&quot;#,##0.00"/>
    <numFmt numFmtId="165" formatCode="0.0%"/>
  </numFmts>
  <fonts count="9" x14ac:knownFonts="1">
    <font>
      <sz val="11"/>
      <color theme="1"/>
      <name val="Calibri"/>
      <family val="2"/>
      <scheme val="minor"/>
    </font>
    <font>
      <b/>
      <sz val="11"/>
      <color theme="1"/>
      <name val="Calibri"/>
      <family val="2"/>
      <scheme val="minor"/>
    </font>
    <font>
      <u/>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i/>
      <sz val="11"/>
      <color theme="1"/>
      <name val="Calibri"/>
      <family val="2"/>
      <scheme val="minor"/>
    </font>
    <font>
      <b/>
      <i/>
      <sz val="11"/>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4" tint="-0.499984740745262"/>
        <bgColor indexed="64"/>
      </patternFill>
    </fill>
    <fill>
      <patternFill patternType="solid">
        <fgColor theme="2" tint="-9.9978637043366805E-2"/>
        <bgColor indexed="64"/>
      </patternFill>
    </fill>
  </fills>
  <borders count="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1">
    <xf numFmtId="0" fontId="0" fillId="0" borderId="0" xfId="0"/>
    <xf numFmtId="8" fontId="0" fillId="0" borderId="0" xfId="0" applyNumberFormat="1"/>
    <xf numFmtId="0" fontId="0" fillId="0" borderId="1" xfId="0" applyBorder="1"/>
    <xf numFmtId="0" fontId="0" fillId="0" borderId="0" xfId="0"/>
    <xf numFmtId="7" fontId="0" fillId="0" borderId="0" xfId="0" applyNumberFormat="1"/>
    <xf numFmtId="7" fontId="2" fillId="0" borderId="0" xfId="0" applyNumberFormat="1" applyFont="1"/>
    <xf numFmtId="3" fontId="0" fillId="0" borderId="0" xfId="0" applyNumberFormat="1"/>
    <xf numFmtId="0" fontId="0" fillId="0" borderId="0" xfId="0"/>
    <xf numFmtId="7" fontId="0" fillId="0" borderId="0" xfId="0" applyNumberFormat="1"/>
    <xf numFmtId="8" fontId="0" fillId="0" borderId="0" xfId="0" applyNumberFormat="1"/>
    <xf numFmtId="0" fontId="1" fillId="0" borderId="0" xfId="0" applyFont="1"/>
    <xf numFmtId="6" fontId="0" fillId="0" borderId="0" xfId="0" applyNumberFormat="1"/>
    <xf numFmtId="0" fontId="0" fillId="3" borderId="0" xfId="0" applyFill="1"/>
    <xf numFmtId="0" fontId="3" fillId="3" borderId="0" xfId="0" applyFont="1" applyFill="1"/>
    <xf numFmtId="164" fontId="0" fillId="0" borderId="1" xfId="0" applyNumberFormat="1" applyBorder="1"/>
    <xf numFmtId="7" fontId="0" fillId="0" borderId="0" xfId="0" applyNumberFormat="1" applyBorder="1"/>
    <xf numFmtId="0" fontId="1" fillId="0" borderId="1" xfId="0" applyFont="1" applyBorder="1"/>
    <xf numFmtId="0" fontId="1" fillId="0" borderId="0" xfId="0" applyFont="1" applyBorder="1"/>
    <xf numFmtId="0" fontId="0" fillId="0" borderId="0" xfId="0" applyFont="1" applyBorder="1"/>
    <xf numFmtId="7" fontId="0" fillId="0" borderId="0" xfId="0" applyNumberFormat="1" applyFont="1" applyBorder="1"/>
    <xf numFmtId="0" fontId="3" fillId="0" borderId="0" xfId="0" applyFont="1" applyFill="1"/>
    <xf numFmtId="0" fontId="0" fillId="0" borderId="0" xfId="0" applyFill="1"/>
    <xf numFmtId="0" fontId="3" fillId="3" borderId="0" xfId="0" applyFont="1" applyFill="1" applyBorder="1"/>
    <xf numFmtId="7" fontId="3" fillId="3" borderId="0" xfId="0" applyNumberFormat="1" applyFont="1" applyFill="1" applyBorder="1"/>
    <xf numFmtId="7" fontId="4" fillId="3" borderId="0" xfId="0" applyNumberFormat="1" applyFont="1" applyFill="1" applyBorder="1"/>
    <xf numFmtId="3" fontId="0" fillId="0" borderId="0" xfId="0" applyNumberFormat="1" applyFill="1"/>
    <xf numFmtId="3" fontId="0" fillId="4" borderId="0" xfId="0" applyNumberFormat="1" applyFill="1"/>
    <xf numFmtId="8" fontId="0" fillId="4" borderId="0" xfId="0" applyNumberFormat="1" applyFill="1"/>
    <xf numFmtId="0" fontId="0" fillId="4" borderId="0" xfId="0" applyFill="1"/>
    <xf numFmtId="0" fontId="6" fillId="0" borderId="0" xfId="0" applyFont="1" applyBorder="1"/>
    <xf numFmtId="0" fontId="1" fillId="0" borderId="0" xfId="0" applyFont="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center" vertical="center"/>
    </xf>
    <xf numFmtId="0" fontId="6" fillId="0" borderId="4" xfId="0" applyFont="1" applyBorder="1"/>
    <xf numFmtId="8" fontId="0" fillId="0" borderId="4" xfId="0" applyNumberFormat="1" applyFont="1" applyBorder="1"/>
    <xf numFmtId="8" fontId="0" fillId="0" borderId="5" xfId="0" applyNumberFormat="1" applyFont="1" applyBorder="1"/>
    <xf numFmtId="6" fontId="1" fillId="0" borderId="2" xfId="0" applyNumberFormat="1" applyFont="1" applyBorder="1"/>
    <xf numFmtId="0" fontId="1" fillId="0" borderId="0" xfId="0" applyFont="1" applyFill="1" applyBorder="1" applyAlignment="1"/>
    <xf numFmtId="0" fontId="5" fillId="0" borderId="0" xfId="0" applyFont="1" applyFill="1" applyBorder="1" applyAlignment="1"/>
    <xf numFmtId="0" fontId="1" fillId="0" borderId="3" xfId="0" applyFont="1" applyBorder="1" applyAlignment="1">
      <alignment horizontal="center" vertical="center" wrapText="1"/>
    </xf>
    <xf numFmtId="3" fontId="1" fillId="0" borderId="1" xfId="0" applyNumberFormat="1" applyFont="1" applyBorder="1"/>
    <xf numFmtId="3" fontId="1" fillId="0" borderId="2" xfId="0" applyNumberFormat="1" applyFont="1" applyBorder="1"/>
    <xf numFmtId="165" fontId="0" fillId="0" borderId="0" xfId="0" applyNumberFormat="1" applyFill="1"/>
    <xf numFmtId="0" fontId="8" fillId="0" borderId="0" xfId="0" applyFont="1" applyAlignment="1">
      <alignment vertical="center"/>
    </xf>
    <xf numFmtId="6" fontId="1" fillId="0" borderId="0" xfId="0" applyNumberFormat="1" applyFont="1" applyBorder="1"/>
    <xf numFmtId="0" fontId="0" fillId="0" borderId="0" xfId="0"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xf>
    <xf numFmtId="3" fontId="7" fillId="4" borderId="0" xfId="0" applyNumberFormat="1" applyFont="1" applyFill="1" applyAlignment="1">
      <alignment horizontal="center"/>
    </xf>
    <xf numFmtId="0" fontId="1" fillId="2" borderId="0" xfId="0" applyFont="1" applyFill="1" applyBorder="1" applyAlignment="1">
      <alignment horizontal="center"/>
    </xf>
    <xf numFmtId="0" fontId="5" fillId="2"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8"/>
  <sheetViews>
    <sheetView tabSelected="1" workbookViewId="0">
      <selection activeCell="H33" sqref="H33"/>
    </sheetView>
  </sheetViews>
  <sheetFormatPr defaultRowHeight="14.4" x14ac:dyDescent="0.3"/>
  <cols>
    <col min="1" max="1" width="30.109375" customWidth="1"/>
    <col min="2" max="2" width="17.44140625" style="7" customWidth="1"/>
    <col min="3" max="3" width="15" style="7" customWidth="1"/>
    <col min="4" max="4" width="14.5546875" bestFit="1" customWidth="1"/>
    <col min="5" max="5" width="13.5546875" bestFit="1" customWidth="1"/>
    <col min="6" max="6" width="14.5546875" bestFit="1" customWidth="1"/>
    <col min="7" max="7" width="13.5546875" bestFit="1" customWidth="1"/>
  </cols>
  <sheetData>
    <row r="1" spans="1:31" s="7" customFormat="1" ht="55.5" customHeight="1" x14ac:dyDescent="0.3">
      <c r="A1" s="43" t="s">
        <v>36</v>
      </c>
    </row>
    <row r="2" spans="1:31" s="7" customFormat="1" x14ac:dyDescent="0.3">
      <c r="A2" s="13" t="s">
        <v>9</v>
      </c>
      <c r="B2" s="13"/>
      <c r="C2" s="13"/>
      <c r="D2" s="13"/>
      <c r="E2" s="13"/>
      <c r="F2" s="13"/>
      <c r="G2" s="13"/>
      <c r="H2" s="13"/>
      <c r="I2" s="13"/>
      <c r="J2" s="13"/>
      <c r="K2" s="13"/>
      <c r="L2" s="13"/>
      <c r="M2" s="13"/>
      <c r="N2" s="13"/>
      <c r="O2" s="13"/>
      <c r="P2" s="13"/>
      <c r="Q2" s="13"/>
      <c r="R2" s="13"/>
      <c r="S2" s="13"/>
      <c r="T2" s="13"/>
      <c r="U2" s="13"/>
      <c r="V2" s="13"/>
      <c r="W2" s="13"/>
      <c r="X2" s="13"/>
      <c r="Y2" s="13"/>
      <c r="Z2" s="13"/>
      <c r="AA2" s="13"/>
      <c r="AB2" s="12"/>
      <c r="AC2" s="12"/>
      <c r="AD2" s="12"/>
      <c r="AE2" s="12"/>
    </row>
    <row r="3" spans="1:31" x14ac:dyDescent="0.3">
      <c r="D3" s="30">
        <v>2018</v>
      </c>
      <c r="E3" s="30">
        <f>D3+1</f>
        <v>2019</v>
      </c>
      <c r="F3" s="30">
        <f t="shared" ref="F3:AA3" si="0">E3+1</f>
        <v>2020</v>
      </c>
      <c r="G3" s="30">
        <f t="shared" si="0"/>
        <v>2021</v>
      </c>
      <c r="H3" s="30">
        <f t="shared" si="0"/>
        <v>2022</v>
      </c>
      <c r="I3" s="30">
        <f t="shared" si="0"/>
        <v>2023</v>
      </c>
      <c r="J3" s="30">
        <f t="shared" si="0"/>
        <v>2024</v>
      </c>
      <c r="K3" s="30">
        <f t="shared" si="0"/>
        <v>2025</v>
      </c>
      <c r="L3" s="30">
        <f t="shared" si="0"/>
        <v>2026</v>
      </c>
      <c r="M3" s="30">
        <f t="shared" si="0"/>
        <v>2027</v>
      </c>
      <c r="N3" s="30">
        <f t="shared" si="0"/>
        <v>2028</v>
      </c>
      <c r="O3" s="30">
        <f t="shared" si="0"/>
        <v>2029</v>
      </c>
      <c r="P3" s="30">
        <f t="shared" si="0"/>
        <v>2030</v>
      </c>
      <c r="Q3" s="30">
        <f t="shared" si="0"/>
        <v>2031</v>
      </c>
      <c r="R3" s="30">
        <f t="shared" si="0"/>
        <v>2032</v>
      </c>
      <c r="S3" s="30">
        <f t="shared" si="0"/>
        <v>2033</v>
      </c>
      <c r="T3" s="30">
        <f t="shared" si="0"/>
        <v>2034</v>
      </c>
      <c r="U3" s="30">
        <f t="shared" si="0"/>
        <v>2035</v>
      </c>
      <c r="V3" s="30">
        <f t="shared" si="0"/>
        <v>2036</v>
      </c>
      <c r="W3" s="30">
        <f t="shared" si="0"/>
        <v>2037</v>
      </c>
      <c r="X3" s="30">
        <f t="shared" si="0"/>
        <v>2038</v>
      </c>
      <c r="Y3" s="30">
        <f t="shared" si="0"/>
        <v>2039</v>
      </c>
      <c r="Z3" s="30">
        <f t="shared" si="0"/>
        <v>2040</v>
      </c>
      <c r="AA3" s="30">
        <f t="shared" si="0"/>
        <v>2041</v>
      </c>
      <c r="AB3" s="30">
        <f t="shared" ref="AB3" si="1">AA3+1</f>
        <v>2042</v>
      </c>
      <c r="AC3" s="30">
        <f t="shared" ref="AC3" si="2">AB3+1</f>
        <v>2043</v>
      </c>
      <c r="AD3" s="30">
        <f t="shared" ref="AD3" si="3">AC3+1</f>
        <v>2044</v>
      </c>
      <c r="AE3" s="30">
        <f t="shared" ref="AE3" si="4">AD3+1</f>
        <v>2045</v>
      </c>
    </row>
    <row r="4" spans="1:31" x14ac:dyDescent="0.3">
      <c r="A4" t="s">
        <v>27</v>
      </c>
      <c r="D4" s="6">
        <f>156120000*0.0015</f>
        <v>234180</v>
      </c>
      <c r="E4" s="6">
        <f t="shared" ref="E4:I4" si="5">156120000*0.0015</f>
        <v>234180</v>
      </c>
      <c r="F4" s="6">
        <f t="shared" si="5"/>
        <v>234180</v>
      </c>
      <c r="G4" s="6">
        <f t="shared" si="5"/>
        <v>234180</v>
      </c>
      <c r="H4" s="6">
        <f t="shared" si="5"/>
        <v>234180</v>
      </c>
      <c r="I4" s="6">
        <f t="shared" si="5"/>
        <v>234180</v>
      </c>
      <c r="J4" s="26"/>
      <c r="K4" s="26"/>
      <c r="L4" s="26"/>
      <c r="M4" s="26"/>
      <c r="N4" s="26"/>
      <c r="O4" s="26"/>
      <c r="P4" s="26"/>
      <c r="Q4" s="26"/>
      <c r="R4" s="26"/>
      <c r="S4" s="26"/>
      <c r="T4" s="26"/>
      <c r="U4" s="26"/>
      <c r="V4" s="26"/>
      <c r="W4" s="26"/>
      <c r="X4" s="26"/>
      <c r="Y4" s="26"/>
      <c r="Z4" s="26"/>
      <c r="AA4" s="26"/>
      <c r="AB4" s="28"/>
      <c r="AC4" s="28"/>
      <c r="AD4" s="28"/>
      <c r="AE4" s="28"/>
    </row>
    <row r="5" spans="1:31" x14ac:dyDescent="0.3">
      <c r="A5" t="s">
        <v>0</v>
      </c>
      <c r="D5" s="1">
        <v>17.010000000000002</v>
      </c>
      <c r="E5" s="1">
        <v>17.010000000000002</v>
      </c>
      <c r="F5" s="1">
        <v>17.010000000000002</v>
      </c>
      <c r="G5" s="1">
        <v>17.010000000000002</v>
      </c>
      <c r="H5" s="1">
        <v>17.010000000000002</v>
      </c>
      <c r="I5" s="1">
        <v>17.010000000000002</v>
      </c>
      <c r="J5" s="27"/>
      <c r="K5" s="27"/>
      <c r="L5" s="27"/>
      <c r="M5" s="27"/>
      <c r="N5" s="27"/>
      <c r="O5" s="27"/>
      <c r="P5" s="27"/>
      <c r="Q5" s="27"/>
      <c r="R5" s="27"/>
      <c r="S5" s="27"/>
      <c r="T5" s="27"/>
      <c r="U5" s="27"/>
      <c r="V5" s="27"/>
      <c r="W5" s="27"/>
      <c r="X5" s="27"/>
      <c r="Y5" s="27"/>
      <c r="Z5" s="27"/>
      <c r="AA5" s="27"/>
      <c r="AB5" s="28"/>
      <c r="AC5" s="28"/>
      <c r="AD5" s="28"/>
      <c r="AE5" s="28"/>
    </row>
    <row r="6" spans="1:31" x14ac:dyDescent="0.3">
      <c r="J6" s="28"/>
      <c r="K6" s="28"/>
      <c r="L6" s="28"/>
      <c r="M6" s="28"/>
      <c r="N6" s="28"/>
      <c r="O6" s="28"/>
      <c r="P6" s="28"/>
      <c r="Q6" s="28"/>
      <c r="R6" s="28"/>
      <c r="S6" s="28"/>
      <c r="T6" s="28"/>
      <c r="U6" s="28"/>
      <c r="V6" s="28"/>
      <c r="W6" s="28"/>
      <c r="X6" s="28"/>
      <c r="Y6" s="28"/>
      <c r="Z6" s="28"/>
      <c r="AA6" s="28"/>
      <c r="AB6" s="28"/>
      <c r="AC6" s="28"/>
      <c r="AD6" s="28"/>
      <c r="AE6" s="28"/>
    </row>
    <row r="7" spans="1:31" x14ac:dyDescent="0.3">
      <c r="A7" t="s">
        <v>29</v>
      </c>
      <c r="D7">
        <v>0</v>
      </c>
      <c r="E7">
        <v>0</v>
      </c>
      <c r="F7">
        <v>0</v>
      </c>
      <c r="G7" s="6">
        <f>(200*0.26*8760)+(70*0.75*8760)</f>
        <v>915420</v>
      </c>
      <c r="H7" s="6">
        <f t="shared" ref="H7:I7" si="6">(200*0.26*8760)+(70*0.75*8760)</f>
        <v>915420</v>
      </c>
      <c r="I7" s="6">
        <f t="shared" si="6"/>
        <v>915420</v>
      </c>
      <c r="J7" s="48" t="s">
        <v>17</v>
      </c>
      <c r="K7" s="48"/>
      <c r="L7" s="48"/>
      <c r="M7" s="48"/>
      <c r="N7" s="48"/>
      <c r="O7" s="48"/>
      <c r="P7" s="48"/>
      <c r="Q7" s="48"/>
      <c r="R7" s="48"/>
      <c r="S7" s="48"/>
      <c r="T7" s="48"/>
      <c r="U7" s="48"/>
      <c r="V7" s="48"/>
      <c r="W7" s="48"/>
      <c r="X7" s="48"/>
      <c r="Y7" s="48"/>
      <c r="Z7" s="48"/>
      <c r="AA7" s="48"/>
      <c r="AB7" s="48"/>
      <c r="AC7" s="48"/>
      <c r="AD7" s="48"/>
      <c r="AE7" s="48"/>
    </row>
    <row r="8" spans="1:31" x14ac:dyDescent="0.3">
      <c r="A8" t="s">
        <v>0</v>
      </c>
      <c r="D8" s="1">
        <v>24.24</v>
      </c>
      <c r="E8" s="1">
        <v>24.24</v>
      </c>
      <c r="F8" s="1">
        <v>24.24</v>
      </c>
      <c r="G8" s="1">
        <v>24.24</v>
      </c>
      <c r="H8" s="1">
        <v>24.24</v>
      </c>
      <c r="I8" s="1">
        <v>24.24</v>
      </c>
      <c r="J8" s="27"/>
      <c r="K8" s="27"/>
      <c r="L8" s="27"/>
      <c r="M8" s="27"/>
      <c r="N8" s="27"/>
      <c r="O8" s="27"/>
      <c r="P8" s="27"/>
      <c r="Q8" s="27"/>
      <c r="R8" s="27"/>
      <c r="S8" s="27"/>
      <c r="T8" s="27"/>
      <c r="U8" s="27"/>
      <c r="V8" s="27"/>
      <c r="W8" s="27"/>
      <c r="X8" s="27"/>
      <c r="Y8" s="27"/>
      <c r="Z8" s="27"/>
      <c r="AA8" s="27"/>
      <c r="AB8" s="28"/>
      <c r="AC8" s="28"/>
      <c r="AD8" s="28"/>
      <c r="AE8" s="28"/>
    </row>
    <row r="9" spans="1:31" x14ac:dyDescent="0.3">
      <c r="J9" s="28"/>
      <c r="K9" s="28"/>
      <c r="L9" s="28"/>
      <c r="M9" s="28"/>
      <c r="N9" s="28"/>
      <c r="O9" s="28"/>
      <c r="P9" s="28"/>
      <c r="Q9" s="28"/>
      <c r="R9" s="28"/>
      <c r="S9" s="28"/>
      <c r="T9" s="28"/>
      <c r="U9" s="28"/>
      <c r="V9" s="28"/>
      <c r="W9" s="28"/>
      <c r="X9" s="28"/>
      <c r="Y9" s="28"/>
      <c r="Z9" s="28"/>
      <c r="AA9" s="28"/>
      <c r="AB9" s="28"/>
      <c r="AC9" s="28"/>
      <c r="AD9" s="28"/>
      <c r="AE9" s="28"/>
    </row>
    <row r="10" spans="1:31" x14ac:dyDescent="0.3">
      <c r="A10" t="s">
        <v>31</v>
      </c>
      <c r="D10" s="6">
        <v>0</v>
      </c>
      <c r="E10" s="6">
        <v>0</v>
      </c>
      <c r="F10" s="6">
        <v>0</v>
      </c>
      <c r="G10" s="6">
        <v>0</v>
      </c>
      <c r="H10" s="6">
        <v>3250000</v>
      </c>
      <c r="I10" s="6">
        <v>3250000</v>
      </c>
      <c r="J10" s="26"/>
      <c r="K10" s="26"/>
      <c r="L10" s="26"/>
      <c r="M10" s="26"/>
      <c r="N10" s="26"/>
      <c r="O10" s="26"/>
      <c r="P10" s="26"/>
      <c r="Q10" s="26"/>
      <c r="R10" s="26"/>
      <c r="S10" s="26"/>
      <c r="T10" s="26"/>
      <c r="U10" s="26"/>
      <c r="V10" s="26"/>
      <c r="W10" s="26"/>
      <c r="X10" s="26"/>
      <c r="Y10" s="26"/>
      <c r="Z10" s="26"/>
      <c r="AA10" s="26"/>
      <c r="AB10" s="28"/>
      <c r="AC10" s="28"/>
      <c r="AD10" s="28"/>
      <c r="AE10" s="28"/>
    </row>
    <row r="11" spans="1:31" x14ac:dyDescent="0.3">
      <c r="A11" t="s">
        <v>0</v>
      </c>
      <c r="D11" s="1">
        <v>21.71</v>
      </c>
      <c r="E11" s="1">
        <v>21.71</v>
      </c>
      <c r="F11" s="1">
        <v>21.71</v>
      </c>
      <c r="G11" s="1">
        <v>21.71</v>
      </c>
      <c r="H11" s="1">
        <v>21.71</v>
      </c>
      <c r="I11" s="1">
        <v>21.71</v>
      </c>
      <c r="J11" s="27"/>
      <c r="K11" s="27"/>
      <c r="L11" s="27"/>
      <c r="M11" s="27"/>
      <c r="N11" s="27"/>
      <c r="O11" s="27"/>
      <c r="P11" s="27"/>
      <c r="Q11" s="27"/>
      <c r="R11" s="27"/>
      <c r="S11" s="27"/>
      <c r="T11" s="27"/>
      <c r="U11" s="27"/>
      <c r="V11" s="27"/>
      <c r="W11" s="27"/>
      <c r="X11" s="27"/>
      <c r="Y11" s="27"/>
      <c r="Z11" s="27"/>
      <c r="AA11" s="27"/>
      <c r="AB11" s="28"/>
      <c r="AC11" s="28"/>
      <c r="AD11" s="28"/>
      <c r="AE11" s="28"/>
    </row>
    <row r="13" spans="1:31" x14ac:dyDescent="0.3">
      <c r="A13" s="2" t="s">
        <v>8</v>
      </c>
      <c r="B13" s="2"/>
      <c r="C13" s="2"/>
      <c r="D13" s="14">
        <f>((D4*D5)+(D7*D8)+(D10*D11))/(D4+D7+D10)</f>
        <v>17.010000000000002</v>
      </c>
      <c r="E13" s="14">
        <f t="shared" ref="E13:I13" si="7">((E4*E5)+(E7*E8)+(E10*E11))/(E4+E7+E10)</f>
        <v>17.010000000000002</v>
      </c>
      <c r="F13" s="14">
        <f t="shared" si="7"/>
        <v>17.010000000000002</v>
      </c>
      <c r="G13" s="14">
        <f t="shared" si="7"/>
        <v>22.767208246346552</v>
      </c>
      <c r="H13" s="14">
        <f t="shared" si="7"/>
        <v>21.98624479498136</v>
      </c>
      <c r="I13" s="14">
        <f t="shared" si="7"/>
        <v>21.98624479498136</v>
      </c>
      <c r="J13" s="14">
        <f>I13</f>
        <v>21.98624479498136</v>
      </c>
      <c r="K13" s="14">
        <f t="shared" ref="K13:AE13" si="8">J13</f>
        <v>21.98624479498136</v>
      </c>
      <c r="L13" s="14">
        <f t="shared" si="8"/>
        <v>21.98624479498136</v>
      </c>
      <c r="M13" s="14">
        <f t="shared" si="8"/>
        <v>21.98624479498136</v>
      </c>
      <c r="N13" s="14">
        <f t="shared" si="8"/>
        <v>21.98624479498136</v>
      </c>
      <c r="O13" s="14">
        <f t="shared" si="8"/>
        <v>21.98624479498136</v>
      </c>
      <c r="P13" s="14">
        <f t="shared" si="8"/>
        <v>21.98624479498136</v>
      </c>
      <c r="Q13" s="14">
        <f t="shared" si="8"/>
        <v>21.98624479498136</v>
      </c>
      <c r="R13" s="14">
        <f t="shared" si="8"/>
        <v>21.98624479498136</v>
      </c>
      <c r="S13" s="14">
        <f t="shared" si="8"/>
        <v>21.98624479498136</v>
      </c>
      <c r="T13" s="14">
        <f t="shared" si="8"/>
        <v>21.98624479498136</v>
      </c>
      <c r="U13" s="14">
        <f t="shared" si="8"/>
        <v>21.98624479498136</v>
      </c>
      <c r="V13" s="14">
        <f t="shared" si="8"/>
        <v>21.98624479498136</v>
      </c>
      <c r="W13" s="14">
        <f t="shared" si="8"/>
        <v>21.98624479498136</v>
      </c>
      <c r="X13" s="14">
        <f t="shared" si="8"/>
        <v>21.98624479498136</v>
      </c>
      <c r="Y13" s="14">
        <f t="shared" si="8"/>
        <v>21.98624479498136</v>
      </c>
      <c r="Z13" s="14">
        <f t="shared" si="8"/>
        <v>21.98624479498136</v>
      </c>
      <c r="AA13" s="14">
        <f t="shared" si="8"/>
        <v>21.98624479498136</v>
      </c>
      <c r="AB13" s="14">
        <f t="shared" si="8"/>
        <v>21.98624479498136</v>
      </c>
      <c r="AC13" s="14">
        <f t="shared" si="8"/>
        <v>21.98624479498136</v>
      </c>
      <c r="AD13" s="14">
        <f t="shared" si="8"/>
        <v>21.98624479498136</v>
      </c>
      <c r="AE13" s="14">
        <f t="shared" si="8"/>
        <v>21.98624479498136</v>
      </c>
    </row>
    <row r="15" spans="1:31" s="7" customFormat="1" x14ac:dyDescent="0.3">
      <c r="A15" s="13" t="s">
        <v>39</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2"/>
      <c r="AC15" s="12"/>
      <c r="AD15" s="12"/>
      <c r="AE15" s="12"/>
    </row>
    <row r="16" spans="1:31" s="21" customFormat="1" x14ac:dyDescent="0.3">
      <c r="A16" s="20"/>
      <c r="B16" s="20"/>
      <c r="C16" s="20"/>
      <c r="D16" s="31">
        <v>2018</v>
      </c>
      <c r="E16" s="31">
        <v>2019</v>
      </c>
      <c r="F16" s="31">
        <v>2020</v>
      </c>
      <c r="G16" s="31">
        <v>2021</v>
      </c>
      <c r="H16" s="20"/>
      <c r="I16" s="20"/>
      <c r="J16" s="20"/>
      <c r="K16" s="20"/>
      <c r="L16" s="20"/>
      <c r="M16" s="20"/>
      <c r="N16" s="20"/>
      <c r="O16" s="20"/>
      <c r="P16" s="20"/>
      <c r="Q16" s="20"/>
      <c r="R16" s="20"/>
      <c r="S16" s="20"/>
      <c r="T16" s="20"/>
      <c r="U16" s="20"/>
      <c r="V16" s="20"/>
      <c r="W16" s="20"/>
      <c r="X16" s="20"/>
      <c r="Y16" s="20"/>
      <c r="Z16" s="20"/>
      <c r="AA16" s="20"/>
    </row>
    <row r="17" spans="1:31" x14ac:dyDescent="0.3">
      <c r="A17" s="18" t="s">
        <v>33</v>
      </c>
      <c r="B17" s="18"/>
      <c r="C17" s="18"/>
      <c r="D17" s="19">
        <f>Sheet2!G2</f>
        <v>27.405758444067366</v>
      </c>
      <c r="E17" s="19">
        <f>Sheet2!G3</f>
        <v>28.38709828781413</v>
      </c>
      <c r="F17" s="19">
        <f>Sheet2!G4</f>
        <v>29.384236443685499</v>
      </c>
      <c r="G17" s="19">
        <f>Sheet2!G5</f>
        <v>30.398354091439629</v>
      </c>
      <c r="H17" s="15"/>
      <c r="I17" s="15"/>
      <c r="J17" s="15"/>
      <c r="K17" s="15"/>
      <c r="L17" s="15"/>
      <c r="M17" s="15"/>
      <c r="N17" s="15"/>
      <c r="O17" s="15"/>
      <c r="P17" s="15"/>
      <c r="Q17" s="15"/>
      <c r="R17" s="15"/>
      <c r="S17" s="15"/>
      <c r="T17" s="15"/>
      <c r="U17" s="15"/>
      <c r="V17" s="15"/>
      <c r="W17" s="15"/>
      <c r="X17" s="15"/>
      <c r="Y17" s="15"/>
      <c r="Z17" s="15"/>
      <c r="AA17" s="15"/>
    </row>
    <row r="18" spans="1:31" s="7" customFormat="1" x14ac:dyDescent="0.3">
      <c r="A18" s="18"/>
      <c r="B18" s="18"/>
      <c r="C18" s="18"/>
      <c r="D18" s="19"/>
      <c r="E18" s="19"/>
      <c r="F18" s="19"/>
      <c r="G18" s="19"/>
      <c r="H18" s="15"/>
      <c r="I18" s="15"/>
      <c r="J18" s="15"/>
      <c r="K18" s="15"/>
      <c r="L18" s="15"/>
      <c r="M18" s="15"/>
      <c r="N18" s="15"/>
      <c r="O18" s="15"/>
      <c r="P18" s="15"/>
      <c r="Q18" s="15"/>
      <c r="R18" s="15"/>
      <c r="S18" s="15"/>
      <c r="T18" s="15"/>
      <c r="U18" s="15"/>
      <c r="V18" s="15"/>
      <c r="W18" s="15"/>
      <c r="X18" s="15"/>
      <c r="Y18" s="15"/>
      <c r="Z18" s="15"/>
      <c r="AA18" s="15"/>
    </row>
    <row r="19" spans="1:31" s="7" customFormat="1" x14ac:dyDescent="0.3">
      <c r="A19" s="22" t="s">
        <v>15</v>
      </c>
      <c r="B19" s="22"/>
      <c r="C19" s="22"/>
      <c r="D19" s="23"/>
      <c r="E19" s="23"/>
      <c r="F19" s="23"/>
      <c r="G19" s="23"/>
      <c r="H19" s="24"/>
      <c r="I19" s="24"/>
      <c r="J19" s="24"/>
      <c r="K19" s="24"/>
      <c r="L19" s="24"/>
      <c r="M19" s="24"/>
      <c r="N19" s="24"/>
      <c r="O19" s="24"/>
      <c r="P19" s="24"/>
      <c r="Q19" s="24"/>
      <c r="R19" s="24"/>
      <c r="S19" s="24"/>
      <c r="T19" s="24"/>
      <c r="U19" s="24"/>
      <c r="V19" s="24"/>
      <c r="W19" s="24"/>
      <c r="X19" s="24"/>
      <c r="Y19" s="24"/>
      <c r="Z19" s="24"/>
      <c r="AA19" s="24"/>
      <c r="AB19" s="12"/>
      <c r="AC19" s="12"/>
      <c r="AD19" s="12"/>
      <c r="AE19" s="12"/>
    </row>
    <row r="20" spans="1:31" s="7" customFormat="1" ht="28.8" x14ac:dyDescent="0.3">
      <c r="A20" s="17"/>
      <c r="B20" s="39" t="s">
        <v>25</v>
      </c>
      <c r="C20" s="39" t="s">
        <v>26</v>
      </c>
      <c r="D20" s="30">
        <v>2018</v>
      </c>
      <c r="E20" s="30">
        <f>D20+1</f>
        <v>2019</v>
      </c>
      <c r="F20" s="30">
        <f t="shared" ref="F20:F21" si="9">E20+1</f>
        <v>2020</v>
      </c>
      <c r="G20" s="30">
        <f t="shared" ref="G20:G21" si="10">F20+1</f>
        <v>2021</v>
      </c>
      <c r="H20" s="30">
        <f t="shared" ref="H20:H21" si="11">G20+1</f>
        <v>2022</v>
      </c>
      <c r="I20" s="30">
        <f t="shared" ref="I20:I21" si="12">H20+1</f>
        <v>2023</v>
      </c>
      <c r="J20" s="30">
        <f t="shared" ref="J20:J21" si="13">I20+1</f>
        <v>2024</v>
      </c>
      <c r="K20" s="30">
        <f t="shared" ref="K20:K21" si="14">J20+1</f>
        <v>2025</v>
      </c>
      <c r="L20" s="30">
        <f t="shared" ref="L20:L21" si="15">K20+1</f>
        <v>2026</v>
      </c>
      <c r="M20" s="30">
        <f t="shared" ref="M20:M21" si="16">L20+1</f>
        <v>2027</v>
      </c>
      <c r="N20" s="30">
        <f t="shared" ref="N20:N21" si="17">M20+1</f>
        <v>2028</v>
      </c>
      <c r="O20" s="30">
        <f t="shared" ref="O20:O21" si="18">N20+1</f>
        <v>2029</v>
      </c>
      <c r="P20" s="30">
        <f t="shared" ref="P20:P21" si="19">O20+1</f>
        <v>2030</v>
      </c>
      <c r="Q20" s="30">
        <f t="shared" ref="Q20:Q21" si="20">P20+1</f>
        <v>2031</v>
      </c>
      <c r="R20" s="30">
        <f t="shared" ref="R20:R21" si="21">Q20+1</f>
        <v>2032</v>
      </c>
      <c r="S20" s="30">
        <f t="shared" ref="S20:S21" si="22">R20+1</f>
        <v>2033</v>
      </c>
      <c r="T20" s="30">
        <f t="shared" ref="T20:T21" si="23">S20+1</f>
        <v>2034</v>
      </c>
      <c r="U20" s="30">
        <f t="shared" ref="U20:U21" si="24">T20+1</f>
        <v>2035</v>
      </c>
      <c r="V20" s="30">
        <f t="shared" ref="V20:V21" si="25">U20+1</f>
        <v>2036</v>
      </c>
      <c r="W20" s="30">
        <f t="shared" ref="W20:W21" si="26">V20+1</f>
        <v>2037</v>
      </c>
      <c r="X20" s="30">
        <f t="shared" ref="X20:X21" si="27">W20+1</f>
        <v>2038</v>
      </c>
      <c r="Y20" s="30">
        <f t="shared" ref="Y20:Y21" si="28">X20+1</f>
        <v>2039</v>
      </c>
      <c r="Z20" s="30">
        <f t="shared" ref="Z20:Z21" si="29">Y20+1</f>
        <v>2040</v>
      </c>
      <c r="AA20" s="30">
        <f t="shared" ref="AA20:AA21" si="30">Z20+1</f>
        <v>2041</v>
      </c>
      <c r="AB20" s="30">
        <f t="shared" ref="AB20:AB21" si="31">AA20+1</f>
        <v>2042</v>
      </c>
      <c r="AC20" s="30">
        <f t="shared" ref="AC20:AC21" si="32">AB20+1</f>
        <v>2043</v>
      </c>
      <c r="AD20" s="30">
        <f t="shared" ref="AD20:AD21" si="33">AC20+1</f>
        <v>2044</v>
      </c>
      <c r="AE20" s="30">
        <f t="shared" ref="AE20:AE21" si="34">AD20+1</f>
        <v>2045</v>
      </c>
    </row>
    <row r="21" spans="1:31" s="7" customFormat="1" x14ac:dyDescent="0.3">
      <c r="A21" s="29" t="s">
        <v>16</v>
      </c>
      <c r="B21" s="33"/>
      <c r="C21" s="33"/>
      <c r="D21" s="32">
        <v>1</v>
      </c>
      <c r="E21" s="32">
        <f>D21+1</f>
        <v>2</v>
      </c>
      <c r="F21" s="32">
        <f t="shared" si="9"/>
        <v>3</v>
      </c>
      <c r="G21" s="32">
        <f t="shared" si="10"/>
        <v>4</v>
      </c>
      <c r="H21" s="32">
        <f t="shared" si="11"/>
        <v>5</v>
      </c>
      <c r="I21" s="32">
        <f t="shared" si="12"/>
        <v>6</v>
      </c>
      <c r="J21" s="32">
        <f t="shared" si="13"/>
        <v>7</v>
      </c>
      <c r="K21" s="32">
        <f t="shared" si="14"/>
        <v>8</v>
      </c>
      <c r="L21" s="32">
        <f t="shared" si="15"/>
        <v>9</v>
      </c>
      <c r="M21" s="32">
        <f t="shared" si="16"/>
        <v>10</v>
      </c>
      <c r="N21" s="32">
        <f t="shared" si="17"/>
        <v>11</v>
      </c>
      <c r="O21" s="32">
        <f t="shared" si="18"/>
        <v>12</v>
      </c>
      <c r="P21" s="32">
        <f t="shared" si="19"/>
        <v>13</v>
      </c>
      <c r="Q21" s="32">
        <f t="shared" si="20"/>
        <v>14</v>
      </c>
      <c r="R21" s="32">
        <f t="shared" si="21"/>
        <v>15</v>
      </c>
      <c r="S21" s="32">
        <f t="shared" si="22"/>
        <v>16</v>
      </c>
      <c r="T21" s="32">
        <f t="shared" si="23"/>
        <v>17</v>
      </c>
      <c r="U21" s="32">
        <f t="shared" si="24"/>
        <v>18</v>
      </c>
      <c r="V21" s="32">
        <f t="shared" si="25"/>
        <v>19</v>
      </c>
      <c r="W21" s="32">
        <f t="shared" si="26"/>
        <v>20</v>
      </c>
      <c r="X21" s="32">
        <f t="shared" si="27"/>
        <v>21</v>
      </c>
      <c r="Y21" s="32">
        <f t="shared" si="28"/>
        <v>22</v>
      </c>
      <c r="Z21" s="32">
        <f t="shared" si="29"/>
        <v>23</v>
      </c>
      <c r="AA21" s="32">
        <f t="shared" si="30"/>
        <v>24</v>
      </c>
      <c r="AB21" s="32">
        <f t="shared" si="31"/>
        <v>25</v>
      </c>
      <c r="AC21" s="32">
        <f t="shared" si="32"/>
        <v>26</v>
      </c>
      <c r="AD21" s="32">
        <f t="shared" si="33"/>
        <v>27</v>
      </c>
      <c r="AE21" s="32">
        <f t="shared" si="34"/>
        <v>28</v>
      </c>
    </row>
    <row r="22" spans="1:31" s="7" customFormat="1" x14ac:dyDescent="0.3">
      <c r="A22" s="18" t="s">
        <v>11</v>
      </c>
      <c r="B22" s="34">
        <f>NPV(0.02,D22:G22)</f>
        <v>34.265457266891488</v>
      </c>
      <c r="C22" s="34">
        <f>NPV(0.02,D22:AB22)</f>
        <v>119.43705844834578</v>
      </c>
      <c r="D22" s="19">
        <f>$D$17-D13</f>
        <v>10.395758444067365</v>
      </c>
      <c r="E22" s="19">
        <f t="shared" ref="E22:AB22" si="35">$D$17-E13</f>
        <v>10.395758444067365</v>
      </c>
      <c r="F22" s="19">
        <f t="shared" si="35"/>
        <v>10.395758444067365</v>
      </c>
      <c r="G22" s="19">
        <f t="shared" si="35"/>
        <v>4.6385501977208143</v>
      </c>
      <c r="H22" s="19">
        <f t="shared" si="35"/>
        <v>5.4195136490860065</v>
      </c>
      <c r="I22" s="19">
        <f t="shared" si="35"/>
        <v>5.4195136490860065</v>
      </c>
      <c r="J22" s="19">
        <f t="shared" si="35"/>
        <v>5.4195136490860065</v>
      </c>
      <c r="K22" s="19">
        <f t="shared" si="35"/>
        <v>5.4195136490860065</v>
      </c>
      <c r="L22" s="19">
        <f t="shared" si="35"/>
        <v>5.4195136490860065</v>
      </c>
      <c r="M22" s="19">
        <f t="shared" si="35"/>
        <v>5.4195136490860065</v>
      </c>
      <c r="N22" s="19">
        <f t="shared" si="35"/>
        <v>5.4195136490860065</v>
      </c>
      <c r="O22" s="19">
        <f t="shared" si="35"/>
        <v>5.4195136490860065</v>
      </c>
      <c r="P22" s="19">
        <f t="shared" si="35"/>
        <v>5.4195136490860065</v>
      </c>
      <c r="Q22" s="19">
        <f t="shared" si="35"/>
        <v>5.4195136490860065</v>
      </c>
      <c r="R22" s="19">
        <f t="shared" si="35"/>
        <v>5.4195136490860065</v>
      </c>
      <c r="S22" s="19">
        <f t="shared" si="35"/>
        <v>5.4195136490860065</v>
      </c>
      <c r="T22" s="19">
        <f t="shared" si="35"/>
        <v>5.4195136490860065</v>
      </c>
      <c r="U22" s="19">
        <f t="shared" si="35"/>
        <v>5.4195136490860065</v>
      </c>
      <c r="V22" s="19">
        <f t="shared" si="35"/>
        <v>5.4195136490860065</v>
      </c>
      <c r="W22" s="19">
        <f t="shared" si="35"/>
        <v>5.4195136490860065</v>
      </c>
      <c r="X22" s="19">
        <f t="shared" si="35"/>
        <v>5.4195136490860065</v>
      </c>
      <c r="Y22" s="19">
        <f t="shared" si="35"/>
        <v>5.4195136490860065</v>
      </c>
      <c r="Z22" s="19">
        <f t="shared" si="35"/>
        <v>5.4195136490860065</v>
      </c>
      <c r="AA22" s="19">
        <f t="shared" si="35"/>
        <v>5.4195136490860065</v>
      </c>
      <c r="AB22" s="19">
        <f t="shared" si="35"/>
        <v>5.4195136490860065</v>
      </c>
    </row>
    <row r="23" spans="1:31" s="7" customFormat="1" x14ac:dyDescent="0.3">
      <c r="A23" s="18" t="s">
        <v>12</v>
      </c>
      <c r="B23" s="34">
        <f>NPV(0.02,E23:G23)</f>
        <v>27.385077528326029</v>
      </c>
      <c r="C23" s="34">
        <f>NPV(0.02,E23:AC23)</f>
        <v>133.89254777079822</v>
      </c>
      <c r="D23" s="19"/>
      <c r="E23" s="19">
        <f>$E$17-E13</f>
        <v>11.377098287814128</v>
      </c>
      <c r="F23" s="19">
        <f t="shared" ref="F23:AC23" si="36">$E$17-F13</f>
        <v>11.377098287814128</v>
      </c>
      <c r="G23" s="19">
        <f t="shared" si="36"/>
        <v>5.6198900414675776</v>
      </c>
      <c r="H23" s="19">
        <f t="shared" si="36"/>
        <v>6.4008534928327698</v>
      </c>
      <c r="I23" s="19">
        <f t="shared" si="36"/>
        <v>6.4008534928327698</v>
      </c>
      <c r="J23" s="19">
        <f t="shared" si="36"/>
        <v>6.4008534928327698</v>
      </c>
      <c r="K23" s="19">
        <f t="shared" si="36"/>
        <v>6.4008534928327698</v>
      </c>
      <c r="L23" s="19">
        <f t="shared" si="36"/>
        <v>6.4008534928327698</v>
      </c>
      <c r="M23" s="19">
        <f t="shared" si="36"/>
        <v>6.4008534928327698</v>
      </c>
      <c r="N23" s="19">
        <f t="shared" si="36"/>
        <v>6.4008534928327698</v>
      </c>
      <c r="O23" s="19">
        <f t="shared" si="36"/>
        <v>6.4008534928327698</v>
      </c>
      <c r="P23" s="19">
        <f t="shared" si="36"/>
        <v>6.4008534928327698</v>
      </c>
      <c r="Q23" s="19">
        <f t="shared" si="36"/>
        <v>6.4008534928327698</v>
      </c>
      <c r="R23" s="19">
        <f t="shared" si="36"/>
        <v>6.4008534928327698</v>
      </c>
      <c r="S23" s="19">
        <f t="shared" si="36"/>
        <v>6.4008534928327698</v>
      </c>
      <c r="T23" s="19">
        <f t="shared" si="36"/>
        <v>6.4008534928327698</v>
      </c>
      <c r="U23" s="19">
        <f t="shared" si="36"/>
        <v>6.4008534928327698</v>
      </c>
      <c r="V23" s="19">
        <f t="shared" si="36"/>
        <v>6.4008534928327698</v>
      </c>
      <c r="W23" s="19">
        <f t="shared" si="36"/>
        <v>6.4008534928327698</v>
      </c>
      <c r="X23" s="19">
        <f t="shared" si="36"/>
        <v>6.4008534928327698</v>
      </c>
      <c r="Y23" s="19">
        <f t="shared" si="36"/>
        <v>6.4008534928327698</v>
      </c>
      <c r="Z23" s="19">
        <f t="shared" si="36"/>
        <v>6.4008534928327698</v>
      </c>
      <c r="AA23" s="19">
        <f t="shared" si="36"/>
        <v>6.4008534928327698</v>
      </c>
      <c r="AB23" s="19">
        <f t="shared" si="36"/>
        <v>6.4008534928327698</v>
      </c>
      <c r="AC23" s="19">
        <f t="shared" si="36"/>
        <v>6.4008534928327698</v>
      </c>
    </row>
    <row r="24" spans="1:31" s="7" customFormat="1" x14ac:dyDescent="0.3">
      <c r="A24" s="18" t="s">
        <v>13</v>
      </c>
      <c r="B24" s="34">
        <f>NPV(0.02,F24:G24)</f>
        <v>18.491685284408067</v>
      </c>
      <c r="C24" s="34">
        <f>NPV(0.02,F24:AD24)</f>
        <v>148.56240162431695</v>
      </c>
      <c r="D24" s="19"/>
      <c r="E24" s="19"/>
      <c r="F24" s="19">
        <f>$F$17-F13</f>
        <v>12.374236443685497</v>
      </c>
      <c r="G24" s="19">
        <f t="shared" ref="G24:AD24" si="37">$F$17-G13</f>
        <v>6.6170281973389464</v>
      </c>
      <c r="H24" s="19">
        <f t="shared" si="37"/>
        <v>7.3979916487041386</v>
      </c>
      <c r="I24" s="19">
        <f t="shared" si="37"/>
        <v>7.3979916487041386</v>
      </c>
      <c r="J24" s="19">
        <f t="shared" si="37"/>
        <v>7.3979916487041386</v>
      </c>
      <c r="K24" s="19">
        <f t="shared" si="37"/>
        <v>7.3979916487041386</v>
      </c>
      <c r="L24" s="19">
        <f t="shared" si="37"/>
        <v>7.3979916487041386</v>
      </c>
      <c r="M24" s="19">
        <f t="shared" si="37"/>
        <v>7.3979916487041386</v>
      </c>
      <c r="N24" s="19">
        <f t="shared" si="37"/>
        <v>7.3979916487041386</v>
      </c>
      <c r="O24" s="19">
        <f t="shared" si="37"/>
        <v>7.3979916487041386</v>
      </c>
      <c r="P24" s="19">
        <f t="shared" si="37"/>
        <v>7.3979916487041386</v>
      </c>
      <c r="Q24" s="19">
        <f t="shared" si="37"/>
        <v>7.3979916487041386</v>
      </c>
      <c r="R24" s="19">
        <f t="shared" si="37"/>
        <v>7.3979916487041386</v>
      </c>
      <c r="S24" s="19">
        <f t="shared" si="37"/>
        <v>7.3979916487041386</v>
      </c>
      <c r="T24" s="19">
        <f t="shared" si="37"/>
        <v>7.3979916487041386</v>
      </c>
      <c r="U24" s="19">
        <f t="shared" si="37"/>
        <v>7.3979916487041386</v>
      </c>
      <c r="V24" s="19">
        <f t="shared" si="37"/>
        <v>7.3979916487041386</v>
      </c>
      <c r="W24" s="19">
        <f t="shared" si="37"/>
        <v>7.3979916487041386</v>
      </c>
      <c r="X24" s="19">
        <f t="shared" si="37"/>
        <v>7.3979916487041386</v>
      </c>
      <c r="Y24" s="19">
        <f t="shared" si="37"/>
        <v>7.3979916487041386</v>
      </c>
      <c r="Z24" s="19">
        <f t="shared" si="37"/>
        <v>7.3979916487041386</v>
      </c>
      <c r="AA24" s="19">
        <f t="shared" si="37"/>
        <v>7.3979916487041386</v>
      </c>
      <c r="AB24" s="19">
        <f t="shared" si="37"/>
        <v>7.3979916487041386</v>
      </c>
      <c r="AC24" s="19">
        <f t="shared" si="37"/>
        <v>7.3979916487041386</v>
      </c>
      <c r="AD24" s="19">
        <f t="shared" si="37"/>
        <v>7.3979916487041386</v>
      </c>
    </row>
    <row r="25" spans="1:31" s="7" customFormat="1" x14ac:dyDescent="0.3">
      <c r="A25" s="18" t="s">
        <v>14</v>
      </c>
      <c r="B25" s="35">
        <f>NPV(0.02,G25)</f>
        <v>7.4815155344049771</v>
      </c>
      <c r="C25" s="35">
        <f>NPV(0.02,G25:AE25)</f>
        <v>163.46779925793655</v>
      </c>
      <c r="D25" s="19"/>
      <c r="E25" s="19"/>
      <c r="F25" s="19"/>
      <c r="G25" s="19">
        <f>$G$17-G13</f>
        <v>7.6311458450930765</v>
      </c>
      <c r="H25" s="19">
        <f t="shared" ref="H25:AE25" si="38">$G$17-H13</f>
        <v>8.4121092964582687</v>
      </c>
      <c r="I25" s="19">
        <f t="shared" si="38"/>
        <v>8.4121092964582687</v>
      </c>
      <c r="J25" s="19">
        <f t="shared" si="38"/>
        <v>8.4121092964582687</v>
      </c>
      <c r="K25" s="19">
        <f t="shared" si="38"/>
        <v>8.4121092964582687</v>
      </c>
      <c r="L25" s="19">
        <f t="shared" si="38"/>
        <v>8.4121092964582687</v>
      </c>
      <c r="M25" s="19">
        <f t="shared" si="38"/>
        <v>8.4121092964582687</v>
      </c>
      <c r="N25" s="19">
        <f t="shared" si="38"/>
        <v>8.4121092964582687</v>
      </c>
      <c r="O25" s="19">
        <f t="shared" si="38"/>
        <v>8.4121092964582687</v>
      </c>
      <c r="P25" s="19">
        <f t="shared" si="38"/>
        <v>8.4121092964582687</v>
      </c>
      <c r="Q25" s="19">
        <f t="shared" si="38"/>
        <v>8.4121092964582687</v>
      </c>
      <c r="R25" s="19">
        <f t="shared" si="38"/>
        <v>8.4121092964582687</v>
      </c>
      <c r="S25" s="19">
        <f t="shared" si="38"/>
        <v>8.4121092964582687</v>
      </c>
      <c r="T25" s="19">
        <f t="shared" si="38"/>
        <v>8.4121092964582687</v>
      </c>
      <c r="U25" s="19">
        <f t="shared" si="38"/>
        <v>8.4121092964582687</v>
      </c>
      <c r="V25" s="19">
        <f t="shared" si="38"/>
        <v>8.4121092964582687</v>
      </c>
      <c r="W25" s="19">
        <f t="shared" si="38"/>
        <v>8.4121092964582687</v>
      </c>
      <c r="X25" s="19">
        <f t="shared" si="38"/>
        <v>8.4121092964582687</v>
      </c>
      <c r="Y25" s="19">
        <f t="shared" si="38"/>
        <v>8.4121092964582687</v>
      </c>
      <c r="Z25" s="19">
        <f t="shared" si="38"/>
        <v>8.4121092964582687</v>
      </c>
      <c r="AA25" s="19">
        <f t="shared" si="38"/>
        <v>8.4121092964582687</v>
      </c>
      <c r="AB25" s="19">
        <f t="shared" si="38"/>
        <v>8.4121092964582687</v>
      </c>
      <c r="AC25" s="19">
        <f t="shared" si="38"/>
        <v>8.4121092964582687</v>
      </c>
      <c r="AD25" s="19">
        <f t="shared" si="38"/>
        <v>8.4121092964582687</v>
      </c>
      <c r="AE25" s="19">
        <f t="shared" si="38"/>
        <v>8.4121092964582687</v>
      </c>
    </row>
    <row r="26" spans="1:31" s="7" customFormat="1" x14ac:dyDescent="0.3">
      <c r="A26" s="17"/>
      <c r="B26" s="17"/>
      <c r="C26" s="17"/>
      <c r="D26" s="19"/>
      <c r="E26" s="19"/>
      <c r="F26" s="19"/>
      <c r="G26" s="19"/>
      <c r="H26" s="19"/>
      <c r="I26" s="19"/>
      <c r="J26" s="19"/>
      <c r="K26" s="19"/>
      <c r="L26" s="19"/>
      <c r="M26" s="19"/>
      <c r="N26" s="19"/>
      <c r="O26" s="19"/>
      <c r="P26" s="19"/>
      <c r="Q26" s="19"/>
      <c r="R26" s="19"/>
      <c r="S26" s="19"/>
      <c r="T26" s="19"/>
      <c r="U26" s="19"/>
      <c r="V26" s="19"/>
      <c r="W26" s="19"/>
      <c r="X26" s="19"/>
      <c r="Y26" s="19"/>
      <c r="Z26" s="19"/>
      <c r="AA26" s="19"/>
    </row>
    <row r="27" spans="1:31" x14ac:dyDescent="0.3">
      <c r="A27" s="13" t="s">
        <v>40</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row>
    <row r="28" spans="1:31" x14ac:dyDescent="0.3">
      <c r="A28" s="10" t="s">
        <v>10</v>
      </c>
      <c r="B28" s="10"/>
      <c r="C28" s="10">
        <v>2018</v>
      </c>
      <c r="D28" s="10">
        <v>2019</v>
      </c>
      <c r="E28" s="10">
        <v>2020</v>
      </c>
      <c r="F28" s="10">
        <v>2021</v>
      </c>
      <c r="G28" s="10" t="s">
        <v>21</v>
      </c>
    </row>
    <row r="29" spans="1:31" x14ac:dyDescent="0.3">
      <c r="A29" t="s">
        <v>2</v>
      </c>
      <c r="C29" s="25">
        <v>36</v>
      </c>
      <c r="D29" s="25">
        <f>111-C29</f>
        <v>75</v>
      </c>
      <c r="E29" s="25">
        <f>140-D29-C29</f>
        <v>29</v>
      </c>
      <c r="F29" s="25">
        <f>154-E29-D29-C29</f>
        <v>14</v>
      </c>
      <c r="G29" s="42">
        <v>0.14000000000000001</v>
      </c>
    </row>
    <row r="30" spans="1:31" s="7" customFormat="1" x14ac:dyDescent="0.3">
      <c r="A30" s="7" t="s">
        <v>7</v>
      </c>
      <c r="C30" s="25">
        <v>20.11</v>
      </c>
      <c r="D30" s="25">
        <v>36.479999999999997</v>
      </c>
      <c r="E30" s="25">
        <v>45.58</v>
      </c>
      <c r="F30" s="25">
        <v>56</v>
      </c>
      <c r="G30" s="42">
        <v>0.13500000000000001</v>
      </c>
    </row>
    <row r="31" spans="1:31" x14ac:dyDescent="0.3">
      <c r="A31" t="s">
        <v>3</v>
      </c>
      <c r="C31" s="25">
        <v>32.299999999999997</v>
      </c>
      <c r="D31" s="25">
        <v>138</v>
      </c>
      <c r="E31" s="25">
        <v>181</v>
      </c>
      <c r="F31" s="25">
        <v>75</v>
      </c>
      <c r="G31" s="42">
        <v>0.14000000000000001</v>
      </c>
    </row>
    <row r="32" spans="1:31" x14ac:dyDescent="0.3">
      <c r="A32" t="s">
        <v>4</v>
      </c>
      <c r="C32" s="25">
        <f>117+43</f>
        <v>160</v>
      </c>
      <c r="D32" s="25">
        <f>(195+47)-C32</f>
        <v>82</v>
      </c>
      <c r="E32" s="25">
        <f>(215+52)-D32-C32</f>
        <v>25</v>
      </c>
      <c r="F32" s="25">
        <f>(236+57)-E32-D32-C32</f>
        <v>26</v>
      </c>
      <c r="G32" s="42">
        <v>0.153</v>
      </c>
    </row>
    <row r="33" spans="1:31" x14ac:dyDescent="0.3">
      <c r="A33" t="s">
        <v>5</v>
      </c>
      <c r="C33" s="25">
        <f>50</f>
        <v>50</v>
      </c>
      <c r="D33" s="25">
        <f>79+12-C33</f>
        <v>41</v>
      </c>
      <c r="E33" s="25">
        <f>(83+14)-D33-C33</f>
        <v>6</v>
      </c>
      <c r="F33" s="25">
        <f>87+16-E33-D33-C33</f>
        <v>6</v>
      </c>
      <c r="G33" s="42">
        <v>0.13500000000000001</v>
      </c>
    </row>
    <row r="34" spans="1:31" x14ac:dyDescent="0.3">
      <c r="A34" t="s">
        <v>6</v>
      </c>
      <c r="C34" s="25">
        <f>35+6</f>
        <v>41</v>
      </c>
      <c r="D34" s="25">
        <f>(58+7)-C34</f>
        <v>24</v>
      </c>
      <c r="E34" s="25">
        <f>(63+7)-D34-C34</f>
        <v>5</v>
      </c>
      <c r="F34" s="25">
        <f>(70+8)-E34-D34-C34</f>
        <v>8</v>
      </c>
      <c r="G34" s="42">
        <v>0.153</v>
      </c>
    </row>
    <row r="35" spans="1:31" x14ac:dyDescent="0.3">
      <c r="A35" s="16" t="s">
        <v>18</v>
      </c>
      <c r="B35" s="16"/>
      <c r="C35" s="40">
        <f>SUM(C29:C34)</f>
        <v>339.40999999999997</v>
      </c>
      <c r="D35" s="40">
        <f t="shared" ref="D35:F35" si="39">SUM(D29:D34)</f>
        <v>396.48</v>
      </c>
      <c r="E35" s="40">
        <f t="shared" si="39"/>
        <v>291.58</v>
      </c>
      <c r="F35" s="41">
        <f t="shared" si="39"/>
        <v>185</v>
      </c>
    </row>
    <row r="37" spans="1:31" x14ac:dyDescent="0.3">
      <c r="A37" s="10" t="s">
        <v>20</v>
      </c>
      <c r="B37" s="10"/>
      <c r="C37" s="10">
        <v>2018</v>
      </c>
      <c r="D37" s="10">
        <v>2019</v>
      </c>
      <c r="E37" s="10">
        <v>2020</v>
      </c>
      <c r="F37" s="10">
        <v>2021</v>
      </c>
    </row>
    <row r="38" spans="1:31" x14ac:dyDescent="0.3">
      <c r="A38" s="7" t="s">
        <v>2</v>
      </c>
      <c r="C38" s="6">
        <f t="shared" ref="C38:F43" si="40">C29*$G29*8760</f>
        <v>44150.400000000009</v>
      </c>
      <c r="D38" s="6">
        <f t="shared" ref="D38:F38" si="41">D29*$G29*8760</f>
        <v>91980.000000000015</v>
      </c>
      <c r="E38" s="6">
        <f t="shared" si="41"/>
        <v>35565.600000000006</v>
      </c>
      <c r="F38" s="6">
        <f t="shared" si="41"/>
        <v>17169.600000000002</v>
      </c>
    </row>
    <row r="39" spans="1:31" x14ac:dyDescent="0.3">
      <c r="A39" s="7" t="s">
        <v>7</v>
      </c>
      <c r="C39" s="25">
        <f t="shared" si="40"/>
        <v>23782.086000000003</v>
      </c>
      <c r="D39" s="25">
        <f t="shared" si="40"/>
        <v>43141.248</v>
      </c>
      <c r="E39" s="25">
        <f t="shared" si="40"/>
        <v>53902.907999999996</v>
      </c>
      <c r="F39" s="25">
        <f t="shared" si="40"/>
        <v>66225.600000000006</v>
      </c>
    </row>
    <row r="40" spans="1:31" x14ac:dyDescent="0.3">
      <c r="A40" s="7" t="s">
        <v>3</v>
      </c>
      <c r="C40" s="6">
        <f t="shared" si="40"/>
        <v>39612.720000000001</v>
      </c>
      <c r="D40" s="6">
        <f t="shared" ref="D40:F43" si="42">D31*$G31*8760</f>
        <v>169243.2</v>
      </c>
      <c r="E40" s="6">
        <f t="shared" si="42"/>
        <v>221978.40000000002</v>
      </c>
      <c r="F40" s="6">
        <f t="shared" si="42"/>
        <v>91980.000000000015</v>
      </c>
    </row>
    <row r="41" spans="1:31" x14ac:dyDescent="0.3">
      <c r="A41" s="7" t="s">
        <v>4</v>
      </c>
      <c r="C41" s="6">
        <f t="shared" si="40"/>
        <v>214444.80000000002</v>
      </c>
      <c r="D41" s="6">
        <f t="shared" si="42"/>
        <v>109902.95999999999</v>
      </c>
      <c r="E41" s="6">
        <f t="shared" si="42"/>
        <v>33507</v>
      </c>
      <c r="F41" s="6">
        <f t="shared" si="42"/>
        <v>34847.279999999999</v>
      </c>
    </row>
    <row r="42" spans="1:31" x14ac:dyDescent="0.3">
      <c r="A42" s="7" t="s">
        <v>5</v>
      </c>
      <c r="C42" s="6">
        <f t="shared" si="40"/>
        <v>59130</v>
      </c>
      <c r="D42" s="6">
        <f t="shared" si="42"/>
        <v>48486.6</v>
      </c>
      <c r="E42" s="6">
        <f t="shared" si="42"/>
        <v>7095.6</v>
      </c>
      <c r="F42" s="6">
        <f t="shared" si="42"/>
        <v>7095.6</v>
      </c>
    </row>
    <row r="43" spans="1:31" x14ac:dyDescent="0.3">
      <c r="A43" s="7" t="s">
        <v>6</v>
      </c>
      <c r="C43" s="6">
        <f t="shared" si="40"/>
        <v>54951.479999999996</v>
      </c>
      <c r="D43" s="6">
        <f t="shared" si="42"/>
        <v>32166.719999999998</v>
      </c>
      <c r="E43" s="6">
        <f t="shared" si="42"/>
        <v>6701.4000000000005</v>
      </c>
      <c r="F43" s="6">
        <f t="shared" si="42"/>
        <v>10722.24</v>
      </c>
    </row>
    <row r="44" spans="1:31" x14ac:dyDescent="0.3">
      <c r="A44" s="16" t="s">
        <v>19</v>
      </c>
      <c r="B44" s="16"/>
      <c r="C44" s="40">
        <f>SUM(C38:C43)</f>
        <v>436071.48600000003</v>
      </c>
      <c r="D44" s="40">
        <f t="shared" ref="D44:F44" si="43">SUM(D38:D43)</f>
        <v>494920.728</v>
      </c>
      <c r="E44" s="40">
        <f t="shared" si="43"/>
        <v>358750.90800000005</v>
      </c>
      <c r="F44" s="41">
        <f t="shared" si="43"/>
        <v>228040.32000000001</v>
      </c>
    </row>
    <row r="46" spans="1:31" x14ac:dyDescent="0.3">
      <c r="A46" s="13" t="s">
        <v>37</v>
      </c>
      <c r="B46" s="13"/>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row>
    <row r="48" spans="1:31" s="7" customFormat="1" x14ac:dyDescent="0.3">
      <c r="A48" s="50" t="s">
        <v>23</v>
      </c>
      <c r="B48" s="50"/>
      <c r="C48" s="38"/>
    </row>
    <row r="49" spans="1:10" s="7" customFormat="1" x14ac:dyDescent="0.3">
      <c r="A49" s="7" t="s">
        <v>11</v>
      </c>
      <c r="B49" s="11">
        <f>C44*B22</f>
        <v>14942188.868842872</v>
      </c>
    </row>
    <row r="50" spans="1:10" s="7" customFormat="1" x14ac:dyDescent="0.3">
      <c r="A50" s="7" t="s">
        <v>12</v>
      </c>
      <c r="B50" s="11">
        <f>D44*B23</f>
        <v>13553442.506655559</v>
      </c>
    </row>
    <row r="51" spans="1:10" s="7" customFormat="1" x14ac:dyDescent="0.3">
      <c r="A51" s="7" t="s">
        <v>13</v>
      </c>
      <c r="B51" s="11">
        <f>E44*B24</f>
        <v>6633908.8862316329</v>
      </c>
    </row>
    <row r="52" spans="1:10" s="7" customFormat="1" x14ac:dyDescent="0.3">
      <c r="A52" s="7" t="s">
        <v>14</v>
      </c>
      <c r="B52" s="11">
        <f>F44*B25</f>
        <v>1706087.196550682</v>
      </c>
    </row>
    <row r="53" spans="1:10" s="7" customFormat="1" x14ac:dyDescent="0.3">
      <c r="A53" s="16" t="s">
        <v>22</v>
      </c>
      <c r="B53" s="36">
        <f>SUM(B49:B52)</f>
        <v>36835627.458280742</v>
      </c>
    </row>
    <row r="54" spans="1:10" s="7" customFormat="1" x14ac:dyDescent="0.3"/>
    <row r="55" spans="1:10" s="7" customFormat="1" x14ac:dyDescent="0.3">
      <c r="A55" s="49" t="s">
        <v>24</v>
      </c>
      <c r="B55" s="49"/>
      <c r="C55" s="37"/>
    </row>
    <row r="56" spans="1:10" x14ac:dyDescent="0.3">
      <c r="A56" t="s">
        <v>11</v>
      </c>
      <c r="B56" s="11">
        <f>C44*C22</f>
        <v>52083095.561039001</v>
      </c>
    </row>
    <row r="57" spans="1:10" x14ac:dyDescent="0.3">
      <c r="A57" t="s">
        <v>12</v>
      </c>
      <c r="B57" s="11">
        <f>D44*C23</f>
        <v>66266197.216498233</v>
      </c>
    </row>
    <row r="58" spans="1:10" x14ac:dyDescent="0.3">
      <c r="A58" t="s">
        <v>13</v>
      </c>
      <c r="B58" s="11">
        <f>E44*C24</f>
        <v>53296896.477384388</v>
      </c>
    </row>
    <row r="59" spans="1:10" x14ac:dyDescent="0.3">
      <c r="A59" t="s">
        <v>14</v>
      </c>
      <c r="B59" s="11">
        <f>F44*C25</f>
        <v>37277249.252475612</v>
      </c>
    </row>
    <row r="60" spans="1:10" x14ac:dyDescent="0.3">
      <c r="A60" s="16" t="s">
        <v>22</v>
      </c>
      <c r="B60" s="36">
        <f>SUM(B56:B59)</f>
        <v>208923438.50739723</v>
      </c>
    </row>
    <row r="61" spans="1:10" s="7" customFormat="1" x14ac:dyDescent="0.3">
      <c r="A61" s="17"/>
      <c r="B61" s="44"/>
    </row>
    <row r="63" spans="1:10" s="7" customFormat="1" x14ac:dyDescent="0.3">
      <c r="A63" s="13" t="s">
        <v>38</v>
      </c>
      <c r="B63" s="12"/>
      <c r="C63" s="12"/>
      <c r="D63" s="12"/>
      <c r="E63" s="12"/>
      <c r="F63" s="12"/>
      <c r="G63" s="12"/>
      <c r="H63" s="12"/>
      <c r="I63" s="12"/>
      <c r="J63" s="12"/>
    </row>
    <row r="64" spans="1:10" s="7" customFormat="1" ht="51" customHeight="1" x14ac:dyDescent="0.3">
      <c r="A64" s="46" t="s">
        <v>35</v>
      </c>
      <c r="B64" s="46"/>
      <c r="C64" s="46"/>
      <c r="D64" s="46"/>
      <c r="E64" s="46"/>
      <c r="F64" s="46"/>
      <c r="G64" s="46"/>
      <c r="H64" s="46"/>
      <c r="I64" s="46"/>
      <c r="J64" s="46"/>
    </row>
    <row r="65" spans="1:10" ht="40.5" customHeight="1" x14ac:dyDescent="0.3">
      <c r="A65" s="45" t="s">
        <v>28</v>
      </c>
      <c r="B65" s="45"/>
      <c r="C65" s="45"/>
      <c r="D65" s="45"/>
      <c r="E65" s="45"/>
      <c r="F65" s="45"/>
      <c r="G65" s="45"/>
      <c r="H65" s="45"/>
      <c r="I65" s="45"/>
      <c r="J65" s="45"/>
    </row>
    <row r="66" spans="1:10" ht="59.25" customHeight="1" x14ac:dyDescent="0.3">
      <c r="A66" s="45" t="s">
        <v>30</v>
      </c>
      <c r="B66" s="45"/>
      <c r="C66" s="45"/>
      <c r="D66" s="45"/>
      <c r="E66" s="45"/>
      <c r="F66" s="45"/>
      <c r="G66" s="45"/>
      <c r="H66" s="45"/>
      <c r="I66" s="45"/>
      <c r="J66" s="45"/>
    </row>
    <row r="67" spans="1:10" ht="57.75" customHeight="1" x14ac:dyDescent="0.3">
      <c r="A67" s="45" t="s">
        <v>32</v>
      </c>
      <c r="B67" s="47"/>
      <c r="C67" s="47"/>
      <c r="D67" s="47"/>
      <c r="E67" s="47"/>
      <c r="F67" s="47"/>
      <c r="G67" s="47"/>
      <c r="H67" s="47"/>
      <c r="I67" s="47"/>
      <c r="J67" s="47"/>
    </row>
    <row r="68" spans="1:10" x14ac:dyDescent="0.3">
      <c r="A68" t="s">
        <v>34</v>
      </c>
    </row>
  </sheetData>
  <mergeCells count="7">
    <mergeCell ref="A66:J66"/>
    <mergeCell ref="A64:J64"/>
    <mergeCell ref="A67:J67"/>
    <mergeCell ref="J7:AE7"/>
    <mergeCell ref="A55:B55"/>
    <mergeCell ref="A48:B48"/>
    <mergeCell ref="A65:J6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workbookViewId="0">
      <selection activeCell="G3" sqref="G3"/>
    </sheetView>
  </sheetViews>
  <sheetFormatPr defaultRowHeight="14.4" x14ac:dyDescent="0.3"/>
  <cols>
    <col min="1" max="1" width="9.109375" style="3"/>
  </cols>
  <sheetData>
    <row r="1" spans="1:7" s="3" customFormat="1" x14ac:dyDescent="0.3">
      <c r="A1" s="3" t="s">
        <v>1</v>
      </c>
      <c r="B1" s="7">
        <v>6.9449999999999998E-2</v>
      </c>
    </row>
    <row r="2" spans="1:7" x14ac:dyDescent="0.3">
      <c r="A2" s="3">
        <v>2018</v>
      </c>
      <c r="B2" s="4">
        <v>20.634204219822021</v>
      </c>
      <c r="E2">
        <f>A2</f>
        <v>2018</v>
      </c>
      <c r="F2" s="9">
        <f>NPV($B$1,B2:B21)</f>
        <v>291.58225906370723</v>
      </c>
      <c r="G2" s="9">
        <f>-PMT($B$1,20,F2)</f>
        <v>27.405758444067366</v>
      </c>
    </row>
    <row r="3" spans="1:7" x14ac:dyDescent="0.3">
      <c r="A3" s="3">
        <f>A2+1</f>
        <v>2019</v>
      </c>
      <c r="B3" s="4">
        <v>21.575900209474558</v>
      </c>
      <c r="C3">
        <f>B3/B2</f>
        <v>1.0456376208949172</v>
      </c>
      <c r="E3" s="7">
        <f t="shared" ref="E3:E21" si="0">A3</f>
        <v>2019</v>
      </c>
      <c r="F3" s="9">
        <f t="shared" ref="F3:F21" si="1">NPV($B$1,B3:B22)</f>
        <v>302.02317749816302</v>
      </c>
      <c r="G3" s="9">
        <f t="shared" ref="G3:G25" si="2">-PMT($B$1,20,F3)</f>
        <v>28.38709828781413</v>
      </c>
    </row>
    <row r="4" spans="1:7" x14ac:dyDescent="0.3">
      <c r="A4" s="3">
        <f t="shared" ref="A4:A43" si="3">A3+1</f>
        <v>2020</v>
      </c>
      <c r="B4" s="4">
        <v>22.530371596163118</v>
      </c>
      <c r="C4" s="3">
        <f t="shared" ref="C4:C21" si="4">B4/B3</f>
        <v>1.0442378476643781</v>
      </c>
      <c r="E4" s="7">
        <f t="shared" si="0"/>
        <v>2020</v>
      </c>
      <c r="F4" s="9">
        <f t="shared" si="1"/>
        <v>312.632181320516</v>
      </c>
      <c r="G4" s="9">
        <f t="shared" si="2"/>
        <v>29.384236443685499</v>
      </c>
    </row>
    <row r="5" spans="1:7" x14ac:dyDescent="0.3">
      <c r="A5" s="3">
        <f t="shared" si="3"/>
        <v>2021</v>
      </c>
      <c r="B5" s="4">
        <v>22.849274013015872</v>
      </c>
      <c r="C5" s="3">
        <f t="shared" si="4"/>
        <v>1.014154334538675</v>
      </c>
      <c r="E5" s="7">
        <f t="shared" si="0"/>
        <v>2021</v>
      </c>
      <c r="F5" s="9">
        <f t="shared" si="1"/>
        <v>323.42183763643283</v>
      </c>
      <c r="G5" s="9">
        <f t="shared" si="2"/>
        <v>30.398354091439629</v>
      </c>
    </row>
    <row r="6" spans="1:7" x14ac:dyDescent="0.3">
      <c r="A6" s="3">
        <f t="shared" si="3"/>
        <v>2022</v>
      </c>
      <c r="B6" s="4">
        <v>23.828955594050051</v>
      </c>
      <c r="C6" s="3">
        <f t="shared" si="4"/>
        <v>1.0428758296861473</v>
      </c>
      <c r="E6" s="7">
        <f t="shared" si="0"/>
        <v>2022</v>
      </c>
      <c r="F6" s="9">
        <f t="shared" si="1"/>
        <v>335.05441643421608</v>
      </c>
      <c r="G6" s="9">
        <f t="shared" si="2"/>
        <v>31.491697855348026</v>
      </c>
    </row>
    <row r="7" spans="1:7" x14ac:dyDescent="0.3">
      <c r="A7" s="3">
        <f t="shared" si="3"/>
        <v>2023</v>
      </c>
      <c r="B7" s="4">
        <v>24.847683351017935</v>
      </c>
      <c r="C7" s="3">
        <f t="shared" si="4"/>
        <v>1.0427516746567884</v>
      </c>
      <c r="E7" s="7">
        <f t="shared" si="0"/>
        <v>2023</v>
      </c>
      <c r="F7" s="9">
        <f t="shared" si="1"/>
        <v>346.94233720965735</v>
      </c>
      <c r="G7" s="9">
        <f t="shared" si="2"/>
        <v>32.609041160870504</v>
      </c>
    </row>
    <row r="8" spans="1:7" x14ac:dyDescent="0.3">
      <c r="A8" s="3">
        <f t="shared" si="3"/>
        <v>2024</v>
      </c>
      <c r="B8" s="4">
        <v>25.783060236648165</v>
      </c>
      <c r="C8" s="3">
        <f t="shared" si="4"/>
        <v>1.0376444303646486</v>
      </c>
      <c r="E8" s="7">
        <f t="shared" si="0"/>
        <v>2024</v>
      </c>
      <c r="F8" s="9">
        <f t="shared" si="1"/>
        <v>359.07946584549893</v>
      </c>
      <c r="G8" s="9">
        <f t="shared" si="2"/>
        <v>33.749807463547967</v>
      </c>
    </row>
    <row r="9" spans="1:7" x14ac:dyDescent="0.3">
      <c r="A9" s="3">
        <f t="shared" si="3"/>
        <v>2025</v>
      </c>
      <c r="B9" s="4">
        <v>26.759725114987059</v>
      </c>
      <c r="C9" s="3">
        <f t="shared" si="4"/>
        <v>1.0378800991571457</v>
      </c>
      <c r="E9" s="7">
        <f t="shared" si="0"/>
        <v>2025</v>
      </c>
      <c r="F9" s="9">
        <f t="shared" si="1"/>
        <v>371.58217863108723</v>
      </c>
      <c r="G9" s="9">
        <f t="shared" si="2"/>
        <v>34.924934947633069</v>
      </c>
    </row>
    <row r="10" spans="1:7" x14ac:dyDescent="0.3">
      <c r="A10" s="3">
        <f t="shared" si="3"/>
        <v>2026</v>
      </c>
      <c r="B10" s="4">
        <v>27.778843501801827</v>
      </c>
      <c r="C10" s="3">
        <f t="shared" si="4"/>
        <v>1.0380840379501506</v>
      </c>
      <c r="E10" s="7">
        <f t="shared" si="0"/>
        <v>2026</v>
      </c>
      <c r="F10" s="9">
        <f t="shared" si="1"/>
        <v>384.4508538655711</v>
      </c>
      <c r="G10" s="9">
        <f t="shared" si="2"/>
        <v>36.134459169387455</v>
      </c>
    </row>
    <row r="11" spans="1:7" x14ac:dyDescent="0.3">
      <c r="A11" s="3">
        <f t="shared" si="3"/>
        <v>2027</v>
      </c>
      <c r="B11" s="4">
        <v>28.854514989850426</v>
      </c>
      <c r="C11" s="3">
        <f t="shared" si="4"/>
        <v>1.0387226879325926</v>
      </c>
      <c r="E11" s="7">
        <f t="shared" si="0"/>
        <v>2027</v>
      </c>
      <c r="F11" s="9">
        <f t="shared" si="1"/>
        <v>397.68530899363742</v>
      </c>
      <c r="G11" s="9">
        <f t="shared" si="2"/>
        <v>37.378362970473617</v>
      </c>
    </row>
    <row r="12" spans="1:7" x14ac:dyDescent="0.3">
      <c r="A12" s="3">
        <f t="shared" si="3"/>
        <v>2028</v>
      </c>
      <c r="B12" s="4">
        <v>29.975064026122784</v>
      </c>
      <c r="C12" s="3">
        <f t="shared" si="4"/>
        <v>1.0388344436448338</v>
      </c>
      <c r="E12" s="7">
        <f t="shared" si="0"/>
        <v>2028</v>
      </c>
      <c r="F12" s="9">
        <f t="shared" si="1"/>
        <v>411.27184813035211</v>
      </c>
      <c r="G12" s="9">
        <f t="shared" si="2"/>
        <v>38.655359077394913</v>
      </c>
    </row>
    <row r="13" spans="1:7" x14ac:dyDescent="0.3">
      <c r="A13" s="3">
        <f t="shared" si="3"/>
        <v>2029</v>
      </c>
      <c r="B13" s="4">
        <v>30.390840894004697</v>
      </c>
      <c r="C13" s="3">
        <f t="shared" si="4"/>
        <v>1.0138707582916111</v>
      </c>
      <c r="E13" s="7">
        <f t="shared" si="0"/>
        <v>2029</v>
      </c>
      <c r="F13" s="9">
        <f t="shared" si="1"/>
        <v>425.20811998972175</v>
      </c>
      <c r="G13" s="9">
        <f t="shared" si="2"/>
        <v>39.965226493249212</v>
      </c>
    </row>
    <row r="14" spans="1:7" x14ac:dyDescent="0.3">
      <c r="A14" s="3">
        <f t="shared" si="3"/>
        <v>2030</v>
      </c>
      <c r="B14" s="4">
        <v>31.521337429253514</v>
      </c>
      <c r="C14" s="3">
        <f t="shared" si="4"/>
        <v>1.0371985934575385</v>
      </c>
      <c r="E14" s="7">
        <f t="shared" si="0"/>
        <v>2030</v>
      </c>
      <c r="F14" s="9">
        <f t="shared" si="1"/>
        <v>440.24190197054617</v>
      </c>
      <c r="G14" s="9">
        <f t="shared" si="2"/>
        <v>41.378248666786959</v>
      </c>
    </row>
    <row r="15" spans="1:7" x14ac:dyDescent="0.3">
      <c r="A15" s="3">
        <f t="shared" si="3"/>
        <v>2031</v>
      </c>
      <c r="B15" s="4">
        <v>32.674155282477919</v>
      </c>
      <c r="C15" s="3">
        <f t="shared" si="4"/>
        <v>1.0365726186527393</v>
      </c>
      <c r="E15" s="7">
        <f t="shared" si="0"/>
        <v>2031</v>
      </c>
      <c r="F15" s="9">
        <f t="shared" si="1"/>
        <v>455.75407786424836</v>
      </c>
      <c r="G15" s="9">
        <f t="shared" si="2"/>
        <v>42.836234988896507</v>
      </c>
    </row>
    <row r="16" spans="1:7" x14ac:dyDescent="0.3">
      <c r="A16" s="3">
        <f t="shared" si="3"/>
        <v>2032</v>
      </c>
      <c r="B16" s="4">
        <v>33.848982723149255</v>
      </c>
      <c r="C16" s="3">
        <f t="shared" si="4"/>
        <v>1.0359558626845775</v>
      </c>
      <c r="E16" s="7">
        <f t="shared" si="0"/>
        <v>2032</v>
      </c>
      <c r="F16" s="9">
        <f t="shared" si="1"/>
        <v>471.77562091305725</v>
      </c>
      <c r="G16" s="9">
        <f t="shared" si="2"/>
        <v>44.342096628444843</v>
      </c>
    </row>
    <row r="17" spans="1:7" x14ac:dyDescent="0.3">
      <c r="A17" s="3">
        <f t="shared" si="3"/>
        <v>2033</v>
      </c>
      <c r="B17" s="4">
        <v>35.045437154832122</v>
      </c>
      <c r="C17" s="3">
        <f t="shared" si="4"/>
        <v>1.0353468357223219</v>
      </c>
      <c r="E17" s="7">
        <f t="shared" si="0"/>
        <v>2033</v>
      </c>
      <c r="F17" s="9">
        <f t="shared" si="1"/>
        <v>488.3406803774115</v>
      </c>
      <c r="G17" s="9">
        <f t="shared" si="2"/>
        <v>45.899043267617827</v>
      </c>
    </row>
    <row r="18" spans="1:7" x14ac:dyDescent="0.3">
      <c r="A18" s="3">
        <f t="shared" si="3"/>
        <v>2034</v>
      </c>
      <c r="B18" s="4">
        <v>36.263059216065805</v>
      </c>
      <c r="C18" s="3">
        <f t="shared" si="4"/>
        <v>1.0347440968093558</v>
      </c>
      <c r="E18" s="7">
        <f t="shared" si="0"/>
        <v>2034</v>
      </c>
      <c r="F18" s="9">
        <f t="shared" si="1"/>
        <v>505.48689831992436</v>
      </c>
      <c r="G18" s="9">
        <f t="shared" si="2"/>
        <v>47.510612876381899</v>
      </c>
    </row>
    <row r="19" spans="1:7" x14ac:dyDescent="0.3">
      <c r="A19" s="3">
        <f t="shared" si="3"/>
        <v>2035</v>
      </c>
      <c r="B19" s="4">
        <v>37.501306469344293</v>
      </c>
      <c r="C19" s="3">
        <f t="shared" si="4"/>
        <v>1.0341462435891207</v>
      </c>
      <c r="E19" s="7">
        <f t="shared" si="0"/>
        <v>2035</v>
      </c>
      <c r="F19" s="9">
        <f t="shared" si="1"/>
        <v>523.25575518970561</v>
      </c>
      <c r="G19" s="9">
        <f t="shared" si="2"/>
        <v>49.18070419388566</v>
      </c>
    </row>
    <row r="20" spans="1:7" x14ac:dyDescent="0.3">
      <c r="A20" s="3">
        <f t="shared" si="3"/>
        <v>2036</v>
      </c>
      <c r="B20" s="4">
        <v>38.759546651020983</v>
      </c>
      <c r="C20" s="3">
        <f t="shared" si="4"/>
        <v>1.0335519025905204</v>
      </c>
      <c r="E20" s="7">
        <f t="shared" si="0"/>
        <v>2036</v>
      </c>
      <c r="F20" s="9">
        <f t="shared" si="1"/>
        <v>541.69294665112761</v>
      </c>
      <c r="G20" s="9">
        <f t="shared" si="2"/>
        <v>50.913612146520585</v>
      </c>
    </row>
    <row r="21" spans="1:7" x14ac:dyDescent="0.3">
      <c r="A21" s="3">
        <f t="shared" si="3"/>
        <v>2037</v>
      </c>
      <c r="B21" s="5">
        <v>40.037050453208273</v>
      </c>
      <c r="C21" s="3">
        <f t="shared" si="4"/>
        <v>1.0329597199288614</v>
      </c>
      <c r="D21">
        <f>AVERAGE(C3:C21)</f>
        <v>1.0355352441166803</v>
      </c>
      <c r="E21" s="7">
        <f t="shared" si="0"/>
        <v>2037</v>
      </c>
      <c r="F21" s="9">
        <f t="shared" si="1"/>
        <v>560.84879429917839</v>
      </c>
      <c r="G21" s="9">
        <f t="shared" si="2"/>
        <v>52.714066450975139</v>
      </c>
    </row>
    <row r="22" spans="1:7" x14ac:dyDescent="0.3">
      <c r="A22" s="3">
        <f t="shared" si="3"/>
        <v>2038</v>
      </c>
      <c r="B22" s="4">
        <f>B21*$D$21</f>
        <v>41.459776814774877</v>
      </c>
      <c r="E22" s="7">
        <f t="shared" ref="E22:E25" si="5">A22</f>
        <v>2038</v>
      </c>
      <c r="F22" s="9">
        <f t="shared" ref="F22:F25" si="6">NPV($B$1,B22:B41)</f>
        <v>580.77869311714562</v>
      </c>
      <c r="G22" s="9">
        <f t="shared" si="2"/>
        <v>54.587273670693456</v>
      </c>
    </row>
    <row r="23" spans="1:7" x14ac:dyDescent="0.3">
      <c r="A23" s="3">
        <f t="shared" si="3"/>
        <v>2039</v>
      </c>
      <c r="B23" s="4">
        <f t="shared" ref="B23:B43" si="7">B22*$D$21</f>
        <v>42.933060104910986</v>
      </c>
      <c r="E23" s="7">
        <f t="shared" si="5"/>
        <v>2039</v>
      </c>
      <c r="F23" s="9">
        <f t="shared" si="6"/>
        <v>601.41680575483008</v>
      </c>
      <c r="G23" s="9">
        <f t="shared" si="2"/>
        <v>56.5270457662456</v>
      </c>
    </row>
    <row r="24" spans="1:7" x14ac:dyDescent="0.3">
      <c r="A24" s="3">
        <f t="shared" si="3"/>
        <v>2040</v>
      </c>
      <c r="B24" s="4">
        <f t="shared" si="7"/>
        <v>44.458696876415104</v>
      </c>
      <c r="E24" s="7">
        <f t="shared" si="5"/>
        <v>2040</v>
      </c>
      <c r="F24" s="9">
        <f t="shared" si="6"/>
        <v>622.78829876320196</v>
      </c>
      <c r="G24" s="9">
        <f t="shared" si="2"/>
        <v>58.535748136743884</v>
      </c>
    </row>
    <row r="25" spans="1:7" x14ac:dyDescent="0.3">
      <c r="A25" s="3">
        <f t="shared" si="3"/>
        <v>2041</v>
      </c>
      <c r="B25" s="4">
        <f t="shared" si="7"/>
        <v>46.038547523028008</v>
      </c>
      <c r="E25" s="7">
        <f t="shared" si="5"/>
        <v>2041</v>
      </c>
      <c r="F25" s="9">
        <f t="shared" si="6"/>
        <v>644.91923299276425</v>
      </c>
      <c r="G25" s="9">
        <f t="shared" si="2"/>
        <v>60.615830236335583</v>
      </c>
    </row>
    <row r="26" spans="1:7" x14ac:dyDescent="0.3">
      <c r="A26" s="3">
        <f t="shared" si="3"/>
        <v>2042</v>
      </c>
      <c r="B26" s="4">
        <f t="shared" si="7"/>
        <v>47.674538548036196</v>
      </c>
    </row>
    <row r="27" spans="1:7" x14ac:dyDescent="0.3">
      <c r="A27" s="3">
        <f t="shared" si="3"/>
        <v>2043</v>
      </c>
      <c r="B27" s="4">
        <f t="shared" si="7"/>
        <v>49.368664913490747</v>
      </c>
    </row>
    <row r="28" spans="1:7" x14ac:dyDescent="0.3">
      <c r="A28" s="3">
        <f t="shared" si="3"/>
        <v>2044</v>
      </c>
      <c r="B28" s="4">
        <f t="shared" si="7"/>
        <v>51.122992472906233</v>
      </c>
    </row>
    <row r="29" spans="1:7" x14ac:dyDescent="0.3">
      <c r="A29" s="3">
        <f t="shared" si="3"/>
        <v>2045</v>
      </c>
      <c r="B29" s="4">
        <f t="shared" si="7"/>
        <v>52.939660490406169</v>
      </c>
    </row>
    <row r="30" spans="1:7" x14ac:dyDescent="0.3">
      <c r="A30" s="3">
        <f t="shared" si="3"/>
        <v>2046</v>
      </c>
      <c r="B30" s="4">
        <f t="shared" si="7"/>
        <v>54.820884249386928</v>
      </c>
    </row>
    <row r="31" spans="1:7" x14ac:dyDescent="0.3">
      <c r="A31" s="3">
        <f t="shared" si="3"/>
        <v>2047</v>
      </c>
      <c r="B31" s="4">
        <f t="shared" si="7"/>
        <v>56.768957753881168</v>
      </c>
    </row>
    <row r="32" spans="1:7" x14ac:dyDescent="0.3">
      <c r="A32" s="3">
        <f t="shared" si="3"/>
        <v>2048</v>
      </c>
      <c r="B32" s="4">
        <f t="shared" si="7"/>
        <v>58.786256525914844</v>
      </c>
    </row>
    <row r="33" spans="1:2" x14ac:dyDescent="0.3">
      <c r="A33" s="3">
        <f t="shared" si="3"/>
        <v>2049</v>
      </c>
      <c r="B33" s="4">
        <f t="shared" si="7"/>
        <v>60.875240502269016</v>
      </c>
    </row>
    <row r="34" spans="1:2" x14ac:dyDescent="0.3">
      <c r="A34" s="3">
        <f t="shared" si="3"/>
        <v>2050</v>
      </c>
      <c r="B34" s="4">
        <f t="shared" si="7"/>
        <v>63.038457034178769</v>
      </c>
    </row>
    <row r="35" spans="1:2" x14ac:dyDescent="0.3">
      <c r="A35" s="3">
        <f t="shared" si="3"/>
        <v>2051</v>
      </c>
      <c r="B35" s="4">
        <f t="shared" si="7"/>
        <v>65.278543993627167</v>
      </c>
    </row>
    <row r="36" spans="1:2" x14ac:dyDescent="0.3">
      <c r="A36" s="3">
        <f t="shared" si="3"/>
        <v>2052</v>
      </c>
      <c r="B36" s="4">
        <f t="shared" si="7"/>
        <v>67.598232990022169</v>
      </c>
    </row>
    <row r="37" spans="1:2" x14ac:dyDescent="0.3">
      <c r="A37" s="3">
        <f t="shared" si="3"/>
        <v>2053</v>
      </c>
      <c r="B37" s="4">
        <f t="shared" si="7"/>
        <v>70.000352701178841</v>
      </c>
    </row>
    <row r="38" spans="1:2" x14ac:dyDescent="0.3">
      <c r="A38" s="3">
        <f t="shared" si="3"/>
        <v>2054</v>
      </c>
      <c r="B38" s="4">
        <f t="shared" si="7"/>
        <v>72.48783232266895</v>
      </c>
    </row>
    <row r="39" spans="1:2" x14ac:dyDescent="0.3">
      <c r="A39" s="3">
        <f t="shared" si="3"/>
        <v>2055</v>
      </c>
      <c r="B39" s="4">
        <f t="shared" si="7"/>
        <v>75.063705139743973</v>
      </c>
    </row>
    <row r="40" spans="1:2" x14ac:dyDescent="0.3">
      <c r="A40" s="3">
        <f t="shared" si="3"/>
        <v>2056</v>
      </c>
      <c r="B40" s="4">
        <f t="shared" si="7"/>
        <v>77.731112226187278</v>
      </c>
    </row>
    <row r="41" spans="1:2" x14ac:dyDescent="0.3">
      <c r="A41" s="3">
        <f t="shared" si="3"/>
        <v>2057</v>
      </c>
      <c r="B41" s="4">
        <f t="shared" si="7"/>
        <v>80.493306274605914</v>
      </c>
    </row>
    <row r="42" spans="1:2" x14ac:dyDescent="0.3">
      <c r="A42" s="3">
        <f t="shared" si="3"/>
        <v>2058</v>
      </c>
      <c r="B42" s="4">
        <f t="shared" si="7"/>
        <v>83.353655562832742</v>
      </c>
    </row>
    <row r="43" spans="1:2" x14ac:dyDescent="0.3">
      <c r="A43" s="3">
        <f t="shared" si="3"/>
        <v>2059</v>
      </c>
      <c r="B43" s="4">
        <f t="shared" si="7"/>
        <v>86.315648061275695</v>
      </c>
    </row>
    <row r="44" spans="1:2" x14ac:dyDescent="0.3">
      <c r="A44" s="7">
        <f t="shared" ref="A44:A48" si="8">A43+1</f>
        <v>2060</v>
      </c>
      <c r="B44" s="8">
        <f t="shared" ref="B44:B48" si="9">B43*$D$21</f>
        <v>89.382895686222597</v>
      </c>
    </row>
    <row r="45" spans="1:2" x14ac:dyDescent="0.3">
      <c r="A45" s="7">
        <f t="shared" si="8"/>
        <v>2061</v>
      </c>
      <c r="B45" s="8">
        <f t="shared" si="9"/>
        <v>92.559138704288287</v>
      </c>
    </row>
    <row r="46" spans="1:2" x14ac:dyDescent="0.3">
      <c r="A46" s="7">
        <f t="shared" si="8"/>
        <v>2062</v>
      </c>
      <c r="B46" s="8">
        <f t="shared" si="9"/>
        <v>95.848250293374846</v>
      </c>
    </row>
    <row r="47" spans="1:2" x14ac:dyDescent="0.3">
      <c r="A47" s="7">
        <f t="shared" si="8"/>
        <v>2063</v>
      </c>
      <c r="B47" s="8">
        <f t="shared" si="9"/>
        <v>99.254241265706597</v>
      </c>
    </row>
    <row r="48" spans="1:2" x14ac:dyDescent="0.3">
      <c r="A48" s="7">
        <f t="shared" si="8"/>
        <v>2064</v>
      </c>
      <c r="B48" s="8">
        <f t="shared" si="9"/>
        <v>102.78126495869937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Con Edison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Ziegler, Kelly</dc:creator>
  <cp:lastModifiedBy>Theresa Kaplan,TRK</cp:lastModifiedBy>
  <dcterms:created xsi:type="dcterms:W3CDTF">2018-04-30T21:24:49Z</dcterms:created>
  <dcterms:modified xsi:type="dcterms:W3CDTF">2018-05-21T20:14:04Z</dcterms:modified>
</cp:coreProperties>
</file>